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M:\DADOS REDE\PREGÃO ELETRÔNICO\2025\096 - projetos de engenharia - RP (prot 5476)\"/>
    </mc:Choice>
  </mc:AlternateContent>
  <xr:revisionPtr revIDLastSave="0" documentId="8_{1746B230-5854-44B2-9919-C5C0988E471A}" xr6:coauthVersionLast="47" xr6:coauthVersionMax="47" xr10:uidLastSave="{00000000-0000-0000-0000-000000000000}"/>
  <bookViews>
    <workbookView xWindow="4200" yWindow="4200" windowWidth="21600" windowHeight="11385" xr2:uid="{BE09DD7E-A7AE-465E-930E-C85A868886CA}"/>
  </bookViews>
  <sheets>
    <sheet name="Identificação" sheetId="2" r:id="rId1"/>
    <sheet name="Orçamento-base" sheetId="3" r:id="rId2"/>
    <sheet name="Plan1" sheetId="12" r:id="rId3"/>
    <sheet name="BDI" sheetId="13" r:id="rId4"/>
    <sheet name="Composições" sheetId="11" r:id="rId5"/>
    <sheet name="Proposta" sheetId="6" r:id="rId6"/>
    <sheet name="Obras" sheetId="14" r:id="rId7"/>
    <sheet name="Encargos Sociais" sheetId="15" r:id="rId8"/>
    <sheet name="Tipo de Objeto x Familia" sheetId="8" state="hidden" r:id="rId9"/>
  </sheets>
  <externalReferences>
    <externalReference r:id="rId10"/>
    <externalReference r:id="rId11"/>
  </externalReferences>
  <definedNames>
    <definedName name="_xlnm.Print_Area" localSheetId="4">Composições!$A$1:$H$236</definedName>
    <definedName name="_xlnm.Print_Area" localSheetId="7">'Encargos Sociais'!$A$1:$D$54</definedName>
    <definedName name="_xlnm.Print_Area" localSheetId="1">'Orçamento-base'!$A$1:$R$34</definedName>
    <definedName name="F_10">#REF!</definedName>
    <definedName name="F_105">#REF!</definedName>
    <definedName name="F_107">#REF!</definedName>
    <definedName name="F_11">#REF!</definedName>
    <definedName name="F_112">#REF!</definedName>
    <definedName name="F_113">#REF!</definedName>
    <definedName name="F_117">#REF!</definedName>
    <definedName name="F_12">#REF!</definedName>
    <definedName name="F_120">#REF!</definedName>
    <definedName name="F_122">#REF!</definedName>
    <definedName name="F_127">#REF!</definedName>
    <definedName name="F_13">#REF!</definedName>
    <definedName name="F_14">#REF!</definedName>
    <definedName name="F_140">#REF!</definedName>
    <definedName name="F_15">#REF!</definedName>
    <definedName name="F_150">#REF!</definedName>
    <definedName name="F_16">#REF!</definedName>
    <definedName name="F_160">#REF!</definedName>
    <definedName name="F_17">#REF!</definedName>
    <definedName name="F_185">#REF!</definedName>
    <definedName name="F_2">#REF!</definedName>
    <definedName name="F_205">#REF!</definedName>
    <definedName name="F_215">#REF!</definedName>
    <definedName name="F_245">#REF!</definedName>
    <definedName name="F_250">#REF!</definedName>
    <definedName name="F_255">#REF!</definedName>
    <definedName name="F_260">#REF!</definedName>
    <definedName name="F_270">#REF!</definedName>
    <definedName name="F_285">#REF!</definedName>
    <definedName name="F_29">#REF!</definedName>
    <definedName name="F_290">#REF!</definedName>
    <definedName name="F_295">#REF!</definedName>
    <definedName name="F_3">#REF!</definedName>
    <definedName name="F_30">#REF!</definedName>
    <definedName name="F_31">#REF!</definedName>
    <definedName name="F_320">#REF!</definedName>
    <definedName name="F_33">#REF!</definedName>
    <definedName name="F_34">#REF!</definedName>
    <definedName name="F_345">#REF!</definedName>
    <definedName name="F_35">#REF!</definedName>
    <definedName name="F_350">#REF!</definedName>
    <definedName name="F_360">#REF!</definedName>
    <definedName name="F_37">#REF!</definedName>
    <definedName name="F_380">#REF!</definedName>
    <definedName name="F_390">#REF!</definedName>
    <definedName name="F_395">#REF!</definedName>
    <definedName name="F_397">#REF!</definedName>
    <definedName name="F_400">#REF!</definedName>
    <definedName name="F_405">#REF!</definedName>
    <definedName name="F_410">#REF!</definedName>
    <definedName name="F_42">#REF!</definedName>
    <definedName name="F_420">#REF!</definedName>
    <definedName name="F_428">#REF!</definedName>
    <definedName name="F_435">#REF!</definedName>
    <definedName name="F_440">#REF!</definedName>
    <definedName name="F_445">#REF!</definedName>
    <definedName name="F_45">#REF!</definedName>
    <definedName name="F_450">#REF!</definedName>
    <definedName name="F_452">#REF!</definedName>
    <definedName name="F_460">#REF!</definedName>
    <definedName name="F_461">#REF!</definedName>
    <definedName name="F_463">#REF!</definedName>
    <definedName name="F_465">#REF!</definedName>
    <definedName name="F_47">#REF!</definedName>
    <definedName name="F_475">#REF!</definedName>
    <definedName name="F_480">#REF!</definedName>
    <definedName name="F_495">#REF!</definedName>
    <definedName name="F_505">#REF!</definedName>
    <definedName name="F_510">#REF!</definedName>
    <definedName name="F_515">#REF!</definedName>
    <definedName name="F_52">#REF!</definedName>
    <definedName name="F_535">#REF!</definedName>
    <definedName name="F_540">#REF!</definedName>
    <definedName name="F_548">#REF!</definedName>
    <definedName name="F_550">#REF!</definedName>
    <definedName name="F_555">#REF!</definedName>
    <definedName name="F_565">#REF!</definedName>
    <definedName name="F_57">#REF!</definedName>
    <definedName name="F_580">#REF!</definedName>
    <definedName name="F_59">#REF!</definedName>
    <definedName name="F_593">#REF!</definedName>
    <definedName name="F_595">#REF!</definedName>
    <definedName name="F_600">#REF!</definedName>
    <definedName name="F_62">#REF!</definedName>
    <definedName name="F_63">#REF!</definedName>
    <definedName name="F_64">#REF!</definedName>
    <definedName name="F_685">#REF!</definedName>
    <definedName name="F_7">#REF!</definedName>
    <definedName name="F_70">#REF!</definedName>
    <definedName name="F_72">#REF!</definedName>
    <definedName name="F_736">#REF!</definedName>
    <definedName name="F_745">#REF!</definedName>
    <definedName name="F_748">#REF!</definedName>
    <definedName name="F_750">#REF!</definedName>
    <definedName name="F_754">#REF!</definedName>
    <definedName name="F_757">#REF!</definedName>
    <definedName name="F_758">#REF!</definedName>
    <definedName name="F_760">#REF!</definedName>
    <definedName name="F_77">#REF!</definedName>
    <definedName name="F_773">#REF!</definedName>
    <definedName name="F_775">#REF!</definedName>
    <definedName name="F_779">#REF!</definedName>
    <definedName name="F_784">#REF!</definedName>
    <definedName name="F_788">#REF!</definedName>
    <definedName name="F_792">#REF!</definedName>
    <definedName name="F_796">#REF!</definedName>
    <definedName name="F_8">#REF!</definedName>
    <definedName name="F_802">#REF!</definedName>
    <definedName name="F_803">#REF!</definedName>
    <definedName name="F_805">#REF!</definedName>
    <definedName name="F_82">#REF!</definedName>
    <definedName name="F_820">#REF!</definedName>
    <definedName name="F_830">#REF!</definedName>
    <definedName name="F_855">#REF!</definedName>
    <definedName name="F_870">#REF!</definedName>
    <definedName name="F_880">#REF!</definedName>
    <definedName name="F_882">#REF!</definedName>
    <definedName name="F_884">#REF!</definedName>
    <definedName name="F_886">#REF!</definedName>
    <definedName name="F_888">#REF!</definedName>
    <definedName name="F_890">#REF!</definedName>
    <definedName name="F_9">#REF!</definedName>
    <definedName name="F_905">#REF!</definedName>
    <definedName name="F_910">#REF!</definedName>
    <definedName name="F_930">#REF!</definedName>
    <definedName name="F_950">#REF!</definedName>
    <definedName name="F_960">#REF!</definedName>
    <definedName name="F_965">#REF!</definedName>
    <definedName name="F_97">#REF!</definedName>
    <definedName name="F_970">#REF!</definedName>
    <definedName name="F_980">#REF!</definedName>
    <definedName name="F_990">#REF!</definedName>
    <definedName name="k">#REF!</definedName>
    <definedName name="Modalidades">#REF!</definedName>
  </definedNames>
  <calcPr calcId="191029"/>
</workbook>
</file>

<file path=xl/calcChain.xml><?xml version="1.0" encoding="utf-8"?>
<calcChain xmlns="http://schemas.openxmlformats.org/spreadsheetml/2006/main">
  <c r="A32" i="6" l="1"/>
  <c r="A33" i="6"/>
  <c r="C32" i="6"/>
  <c r="C33" i="6"/>
  <c r="F32" i="6"/>
  <c r="F33" i="6"/>
  <c r="E32" i="6"/>
  <c r="E33" i="6"/>
  <c r="H33" i="6" s="1"/>
  <c r="D33" i="6"/>
  <c r="D32" i="6"/>
  <c r="D49" i="15"/>
  <c r="C49" i="15"/>
  <c r="D45" i="15"/>
  <c r="C45" i="15"/>
  <c r="D38" i="15"/>
  <c r="C38" i="15"/>
  <c r="C50" i="15" l="1"/>
  <c r="D50" i="15"/>
  <c r="E3" i="12" l="1"/>
  <c r="E4" i="12"/>
  <c r="E5" i="12"/>
  <c r="E6" i="12"/>
  <c r="E7" i="12"/>
  <c r="E8" i="12"/>
  <c r="E9" i="12"/>
  <c r="E10" i="12"/>
  <c r="E11" i="12"/>
  <c r="E12" i="12"/>
  <c r="E13" i="12"/>
  <c r="E14" i="12"/>
  <c r="E15" i="12"/>
  <c r="E16" i="12"/>
  <c r="E17" i="12"/>
  <c r="E18" i="12"/>
  <c r="E19" i="12"/>
  <c r="E20" i="12"/>
  <c r="E21" i="12"/>
  <c r="E22" i="12"/>
  <c r="E23" i="12"/>
  <c r="E2" i="12"/>
  <c r="J17" i="11"/>
  <c r="J27" i="11"/>
  <c r="Q32" i="3"/>
  <c r="O32" i="3"/>
  <c r="G220" i="11"/>
  <c r="H220" i="11" s="1"/>
  <c r="G219" i="11"/>
  <c r="H219" i="11" s="1"/>
  <c r="G218" i="11"/>
  <c r="H218" i="11" s="1"/>
  <c r="G217" i="11"/>
  <c r="H217" i="11" s="1"/>
  <c r="G216" i="11"/>
  <c r="H216" i="11" s="1"/>
  <c r="H221" i="11" l="1"/>
  <c r="J32" i="3" s="1"/>
  <c r="K32" i="3" s="1"/>
  <c r="H32" i="6"/>
  <c r="G227" i="11"/>
  <c r="H227" i="11" s="1"/>
  <c r="G228" i="11"/>
  <c r="H228" i="11" s="1"/>
  <c r="G229" i="11"/>
  <c r="G230" i="11"/>
  <c r="H230" i="11" s="1"/>
  <c r="G226" i="11"/>
  <c r="H226" i="11" s="1"/>
  <c r="G207" i="11"/>
  <c r="H207" i="11" s="1"/>
  <c r="G208" i="11"/>
  <c r="H208" i="11" s="1"/>
  <c r="G209" i="11"/>
  <c r="H209" i="11" s="1"/>
  <c r="G210" i="11"/>
  <c r="G206" i="11"/>
  <c r="H206" i="11" s="1"/>
  <c r="G197" i="11"/>
  <c r="H197" i="11" s="1"/>
  <c r="G198" i="11"/>
  <c r="H198" i="11" s="1"/>
  <c r="G199" i="11"/>
  <c r="H199" i="11" s="1"/>
  <c r="G200" i="11"/>
  <c r="H200" i="11" s="1"/>
  <c r="G196" i="11"/>
  <c r="H196" i="11" s="1"/>
  <c r="G187" i="11"/>
  <c r="H187" i="11" s="1"/>
  <c r="G188" i="11"/>
  <c r="H188" i="11" s="1"/>
  <c r="G189" i="11"/>
  <c r="H189" i="11" s="1"/>
  <c r="G190" i="11"/>
  <c r="H190" i="11" s="1"/>
  <c r="G186" i="11"/>
  <c r="H186" i="11" s="1"/>
  <c r="G177" i="11"/>
  <c r="H177" i="11" s="1"/>
  <c r="G178" i="11"/>
  <c r="H178" i="11" s="1"/>
  <c r="G179" i="11"/>
  <c r="H179" i="11" s="1"/>
  <c r="G180" i="11"/>
  <c r="H180" i="11" s="1"/>
  <c r="G176" i="11"/>
  <c r="H176" i="11" s="1"/>
  <c r="G167" i="11"/>
  <c r="G168" i="11"/>
  <c r="H168" i="11" s="1"/>
  <c r="G169" i="11"/>
  <c r="H169" i="11" s="1"/>
  <c r="G170" i="11"/>
  <c r="H170" i="11" s="1"/>
  <c r="G166" i="11"/>
  <c r="H166" i="11" s="1"/>
  <c r="G157" i="11"/>
  <c r="H157" i="11" s="1"/>
  <c r="G158" i="11"/>
  <c r="H158" i="11" s="1"/>
  <c r="G159" i="11"/>
  <c r="H159" i="11" s="1"/>
  <c r="G160" i="11"/>
  <c r="H160" i="11" s="1"/>
  <c r="G156" i="11"/>
  <c r="H156" i="11" s="1"/>
  <c r="G147" i="11"/>
  <c r="H147" i="11" s="1"/>
  <c r="G148" i="11"/>
  <c r="H148" i="11" s="1"/>
  <c r="G149" i="11"/>
  <c r="H149" i="11" s="1"/>
  <c r="G150" i="11"/>
  <c r="H150" i="11" s="1"/>
  <c r="G146" i="11"/>
  <c r="H146" i="11" s="1"/>
  <c r="G137" i="11"/>
  <c r="H137" i="11" s="1"/>
  <c r="G138" i="11"/>
  <c r="G139" i="11"/>
  <c r="H139" i="11" s="1"/>
  <c r="G140" i="11"/>
  <c r="H140" i="11" s="1"/>
  <c r="G136" i="11"/>
  <c r="H136" i="11" s="1"/>
  <c r="G127" i="11"/>
  <c r="H127" i="11" s="1"/>
  <c r="G128" i="11"/>
  <c r="H128" i="11" s="1"/>
  <c r="G129" i="11"/>
  <c r="G130" i="11"/>
  <c r="H130" i="11" s="1"/>
  <c r="G126" i="11"/>
  <c r="H126" i="11" s="1"/>
  <c r="G117" i="11"/>
  <c r="H117" i="11" s="1"/>
  <c r="G118" i="11"/>
  <c r="H118" i="11" s="1"/>
  <c r="G119" i="11"/>
  <c r="H119" i="11" s="1"/>
  <c r="G120" i="11"/>
  <c r="H120" i="11" s="1"/>
  <c r="G116" i="11"/>
  <c r="H116" i="11" s="1"/>
  <c r="G107" i="11"/>
  <c r="H107" i="11" s="1"/>
  <c r="G108" i="11"/>
  <c r="H108" i="11" s="1"/>
  <c r="G109" i="11"/>
  <c r="H109" i="11" s="1"/>
  <c r="G110" i="11"/>
  <c r="H110" i="11" s="1"/>
  <c r="G106" i="11"/>
  <c r="H106" i="11" s="1"/>
  <c r="G97" i="11"/>
  <c r="H97" i="11" s="1"/>
  <c r="G98" i="11"/>
  <c r="H98" i="11" s="1"/>
  <c r="G99" i="11"/>
  <c r="H99" i="11" s="1"/>
  <c r="G100" i="11"/>
  <c r="H100" i="11" s="1"/>
  <c r="G96" i="11"/>
  <c r="H96" i="11" s="1"/>
  <c r="G87" i="11"/>
  <c r="H87" i="11" s="1"/>
  <c r="G88" i="11"/>
  <c r="H88" i="11" s="1"/>
  <c r="G89" i="11"/>
  <c r="H89" i="11" s="1"/>
  <c r="G90" i="11"/>
  <c r="H90" i="11" s="1"/>
  <c r="G86" i="11"/>
  <c r="H86" i="11" s="1"/>
  <c r="G77" i="11"/>
  <c r="H77" i="11" s="1"/>
  <c r="G78" i="11"/>
  <c r="H78" i="11" s="1"/>
  <c r="G79" i="11"/>
  <c r="H79" i="11" s="1"/>
  <c r="G80" i="11"/>
  <c r="H80" i="11" s="1"/>
  <c r="G76" i="11"/>
  <c r="H76" i="11" s="1"/>
  <c r="G67" i="11"/>
  <c r="H67" i="11" s="1"/>
  <c r="G68" i="11"/>
  <c r="H68" i="11" s="1"/>
  <c r="G69" i="11"/>
  <c r="H69" i="11" s="1"/>
  <c r="G70" i="11"/>
  <c r="H70" i="11" s="1"/>
  <c r="G66" i="11"/>
  <c r="H66" i="11" s="1"/>
  <c r="G57" i="11"/>
  <c r="H57" i="11" s="1"/>
  <c r="G58" i="11"/>
  <c r="H58" i="11" s="1"/>
  <c r="G59" i="11"/>
  <c r="H59" i="11" s="1"/>
  <c r="G60" i="11"/>
  <c r="H60" i="11" s="1"/>
  <c r="G56" i="11"/>
  <c r="H56" i="11" s="1"/>
  <c r="G47" i="11"/>
  <c r="H47" i="11" s="1"/>
  <c r="G48" i="11"/>
  <c r="H48" i="11" s="1"/>
  <c r="G49" i="11"/>
  <c r="H49" i="11" s="1"/>
  <c r="G50" i="11"/>
  <c r="H50" i="11" s="1"/>
  <c r="G46" i="11"/>
  <c r="H46" i="11" s="1"/>
  <c r="G37" i="11"/>
  <c r="H37" i="11" s="1"/>
  <c r="G38" i="11"/>
  <c r="H38" i="11" s="1"/>
  <c r="G39" i="11"/>
  <c r="H39" i="11" s="1"/>
  <c r="G40" i="11"/>
  <c r="H40" i="11" s="1"/>
  <c r="G36" i="11"/>
  <c r="H36" i="11" s="1"/>
  <c r="G27" i="11"/>
  <c r="H27" i="11" s="1"/>
  <c r="G28" i="11"/>
  <c r="H28" i="11" s="1"/>
  <c r="G29" i="11"/>
  <c r="H29" i="11" s="1"/>
  <c r="G30" i="11"/>
  <c r="G26" i="11"/>
  <c r="H26" i="11" s="1"/>
  <c r="G17" i="11"/>
  <c r="H17" i="11" s="1"/>
  <c r="G18" i="11"/>
  <c r="H18" i="11" s="1"/>
  <c r="G19" i="11"/>
  <c r="H19" i="11" s="1"/>
  <c r="G20" i="11"/>
  <c r="H20" i="11" s="1"/>
  <c r="G16" i="11"/>
  <c r="H16" i="11" s="1"/>
  <c r="Q33" i="3"/>
  <c r="O33" i="3"/>
  <c r="H229" i="11"/>
  <c r="G46" i="13"/>
  <c r="F46" i="13"/>
  <c r="G45" i="13"/>
  <c r="G44" i="13"/>
  <c r="G43" i="13"/>
  <c r="E42" i="13"/>
  <c r="C42" i="13"/>
  <c r="G41" i="13" s="1"/>
  <c r="E40" i="13"/>
  <c r="C40" i="13"/>
  <c r="G39" i="13" s="1"/>
  <c r="E38" i="13"/>
  <c r="C38" i="13"/>
  <c r="G37" i="13"/>
  <c r="E36" i="13"/>
  <c r="C36" i="13"/>
  <c r="G35" i="13" s="1"/>
  <c r="Q35" i="13"/>
  <c r="Q34" i="13"/>
  <c r="E34" i="13"/>
  <c r="C34" i="13"/>
  <c r="G33" i="13"/>
  <c r="AC32" i="13"/>
  <c r="AA32" i="13"/>
  <c r="Z32" i="13"/>
  <c r="B23" i="13" s="1"/>
  <c r="AD32" i="13" s="1"/>
  <c r="AB31" i="13"/>
  <c r="Z31" i="13"/>
  <c r="Y31" i="13"/>
  <c r="X31" i="13"/>
  <c r="W31" i="13"/>
  <c r="I11" i="13"/>
  <c r="A31" i="6"/>
  <c r="C31" i="6"/>
  <c r="D31" i="6"/>
  <c r="E31" i="6"/>
  <c r="H31" i="6" s="1"/>
  <c r="F31" i="6"/>
  <c r="A22" i="6"/>
  <c r="C22" i="6"/>
  <c r="D22" i="6"/>
  <c r="E22" i="6"/>
  <c r="H22" i="6" s="1"/>
  <c r="F22" i="6"/>
  <c r="A23" i="6"/>
  <c r="C23" i="6"/>
  <c r="D23" i="6"/>
  <c r="E23" i="6"/>
  <c r="H23" i="6" s="1"/>
  <c r="F23" i="6"/>
  <c r="A24" i="6"/>
  <c r="C24" i="6"/>
  <c r="D24" i="6"/>
  <c r="E24" i="6"/>
  <c r="H24" i="6" s="1"/>
  <c r="F24" i="6"/>
  <c r="A25" i="6"/>
  <c r="C25" i="6"/>
  <c r="D25" i="6"/>
  <c r="E25" i="6"/>
  <c r="H25" i="6" s="1"/>
  <c r="F25" i="6"/>
  <c r="A26" i="6"/>
  <c r="C26" i="6"/>
  <c r="D26" i="6"/>
  <c r="E26" i="6"/>
  <c r="H26" i="6" s="1"/>
  <c r="F26" i="6"/>
  <c r="A27" i="6"/>
  <c r="C27" i="6"/>
  <c r="D27" i="6"/>
  <c r="E27" i="6"/>
  <c r="H27" i="6" s="1"/>
  <c r="F27" i="6"/>
  <c r="A28" i="6"/>
  <c r="C28" i="6"/>
  <c r="D28" i="6"/>
  <c r="E28" i="6"/>
  <c r="H28" i="6" s="1"/>
  <c r="F28" i="6"/>
  <c r="A29" i="6"/>
  <c r="C29" i="6"/>
  <c r="D29" i="6"/>
  <c r="E29" i="6"/>
  <c r="H29" i="6" s="1"/>
  <c r="F29" i="6"/>
  <c r="A30" i="6"/>
  <c r="C30" i="6"/>
  <c r="D30" i="6"/>
  <c r="E30" i="6"/>
  <c r="H30" i="6" s="1"/>
  <c r="F30" i="6"/>
  <c r="A14" i="6"/>
  <c r="C14" i="6"/>
  <c r="D14" i="6"/>
  <c r="E14" i="6"/>
  <c r="H14" i="6" s="1"/>
  <c r="F14" i="6"/>
  <c r="A15" i="6"/>
  <c r="C15" i="6"/>
  <c r="D15" i="6"/>
  <c r="E15" i="6"/>
  <c r="H15" i="6" s="1"/>
  <c r="F15" i="6"/>
  <c r="A16" i="6"/>
  <c r="C16" i="6"/>
  <c r="D16" i="6"/>
  <c r="E16" i="6"/>
  <c r="H16" i="6" s="1"/>
  <c r="F16" i="6"/>
  <c r="A17" i="6"/>
  <c r="C17" i="6"/>
  <c r="D17" i="6"/>
  <c r="E17" i="6"/>
  <c r="H17" i="6" s="1"/>
  <c r="F17" i="6"/>
  <c r="A18" i="6"/>
  <c r="C18" i="6"/>
  <c r="D18" i="6"/>
  <c r="E18" i="6"/>
  <c r="H18" i="6" s="1"/>
  <c r="F18" i="6"/>
  <c r="A19" i="6"/>
  <c r="C19" i="6"/>
  <c r="D19" i="6"/>
  <c r="E19" i="6"/>
  <c r="H19" i="6" s="1"/>
  <c r="F19" i="6"/>
  <c r="A20" i="6"/>
  <c r="C20" i="6"/>
  <c r="D20" i="6"/>
  <c r="E20" i="6"/>
  <c r="H20" i="6" s="1"/>
  <c r="F20" i="6"/>
  <c r="A21" i="6"/>
  <c r="C21" i="6"/>
  <c r="D21" i="6"/>
  <c r="E21" i="6"/>
  <c r="H21" i="6" s="1"/>
  <c r="F21" i="6"/>
  <c r="H210" i="11"/>
  <c r="H167" i="11"/>
  <c r="H138" i="11"/>
  <c r="H129" i="11"/>
  <c r="H30" i="11"/>
  <c r="B11" i="11"/>
  <c r="B8" i="11"/>
  <c r="A8" i="11"/>
  <c r="H231" i="11" l="1"/>
  <c r="J33" i="3" s="1"/>
  <c r="K33" i="3" s="1"/>
  <c r="C22" i="2" s="1"/>
  <c r="H151" i="11"/>
  <c r="J25" i="3" s="1"/>
  <c r="H101" i="11"/>
  <c r="J20" i="3" s="1"/>
  <c r="H191" i="11"/>
  <c r="J29" i="3" s="1"/>
  <c r="F17" i="13"/>
  <c r="B17" i="13" s="1"/>
  <c r="H181" i="11"/>
  <c r="J28" i="3" s="1"/>
  <c r="H51" i="11"/>
  <c r="J15" i="3" s="1"/>
  <c r="K15" i="3" s="1"/>
  <c r="H201" i="11"/>
  <c r="J30" i="3" s="1"/>
  <c r="H71" i="11"/>
  <c r="J17" i="3" s="1"/>
  <c r="H31" i="11"/>
  <c r="J13" i="3" s="1"/>
  <c r="H161" i="11"/>
  <c r="J26" i="3" s="1"/>
  <c r="H141" i="11"/>
  <c r="J24" i="3" s="1"/>
  <c r="H61" i="11"/>
  <c r="J16" i="3" s="1"/>
  <c r="H131" i="11"/>
  <c r="J23" i="3" s="1"/>
  <c r="H111" i="11"/>
  <c r="J21" i="3" s="1"/>
  <c r="H91" i="11"/>
  <c r="J19" i="3" s="1"/>
  <c r="H211" i="11"/>
  <c r="J31" i="3" s="1"/>
  <c r="H21" i="11"/>
  <c r="H171" i="11"/>
  <c r="J27" i="3" s="1"/>
  <c r="H121" i="11"/>
  <c r="J22" i="3" s="1"/>
  <c r="H41" i="11"/>
  <c r="J14" i="3" s="1"/>
  <c r="H81" i="11"/>
  <c r="J18" i="3" s="1"/>
  <c r="J12" i="3" l="1"/>
  <c r="J2" i="12"/>
  <c r="K14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4" i="3"/>
  <c r="B34" i="3" s="1"/>
  <c r="K35" i="3"/>
  <c r="B35" i="3" s="1"/>
  <c r="K36" i="3"/>
  <c r="B36" i="3" s="1"/>
  <c r="K37" i="3"/>
  <c r="B37" i="3" s="1"/>
  <c r="K38" i="3"/>
  <c r="B38" i="3" s="1"/>
  <c r="K39" i="3"/>
  <c r="B39" i="3" s="1"/>
  <c r="K40" i="3"/>
  <c r="B40" i="3" s="1"/>
  <c r="K41" i="3"/>
  <c r="B41" i="3" s="1"/>
  <c r="K42" i="3"/>
  <c r="B42" i="3" s="1"/>
  <c r="K43" i="3"/>
  <c r="B43" i="3" s="1"/>
  <c r="K44" i="3"/>
  <c r="B44" i="3" s="1"/>
  <c r="K45" i="3"/>
  <c r="B45" i="3" s="1"/>
  <c r="K46" i="3"/>
  <c r="B46" i="3" s="1"/>
  <c r="K47" i="3"/>
  <c r="B47" i="3" s="1"/>
  <c r="K48" i="3"/>
  <c r="B48" i="3" s="1"/>
  <c r="K49" i="3"/>
  <c r="B49" i="3" s="1"/>
  <c r="K50" i="3"/>
  <c r="B50" i="3" s="1"/>
  <c r="K51" i="3"/>
  <c r="B51" i="3" s="1"/>
  <c r="K52" i="3"/>
  <c r="B52" i="3" s="1"/>
  <c r="K53" i="3"/>
  <c r="B53" i="3" s="1"/>
  <c r="K54" i="3"/>
  <c r="B54" i="3" s="1"/>
  <c r="K55" i="3"/>
  <c r="B55" i="3" s="1"/>
  <c r="K56" i="3"/>
  <c r="B56" i="3" s="1"/>
  <c r="K57" i="3"/>
  <c r="B57" i="3" s="1"/>
  <c r="K58" i="3"/>
  <c r="B58" i="3" s="1"/>
  <c r="K59" i="3"/>
  <c r="B59" i="3" s="1"/>
  <c r="K60" i="3"/>
  <c r="B60" i="3" s="1"/>
  <c r="K61" i="3"/>
  <c r="B61" i="3" s="1"/>
  <c r="K62" i="3"/>
  <c r="B62" i="3" s="1"/>
  <c r="K63" i="3"/>
  <c r="B63" i="3" s="1"/>
  <c r="K64" i="3"/>
  <c r="B64" i="3" s="1"/>
  <c r="K65" i="3"/>
  <c r="B65" i="3" s="1"/>
  <c r="K66" i="3"/>
  <c r="B66" i="3" s="1"/>
  <c r="K67" i="3"/>
  <c r="B67" i="3" s="1"/>
  <c r="K68" i="3"/>
  <c r="B68" i="3" s="1"/>
  <c r="K69" i="3"/>
  <c r="B69" i="3" s="1"/>
  <c r="K13" i="3"/>
  <c r="C21" i="2" l="1"/>
  <c r="K12" i="3"/>
  <c r="B12" i="3" s="1"/>
  <c r="B13" i="3" l="1"/>
  <c r="E12" i="6"/>
  <c r="H12" i="6" s="1"/>
  <c r="C5" i="6" l="1"/>
  <c r="C3" i="6"/>
  <c r="H2" i="6"/>
  <c r="F2" i="6"/>
  <c r="C2" i="6"/>
  <c r="K4" i="3"/>
  <c r="K2" i="3"/>
  <c r="C3" i="3"/>
  <c r="C4" i="3"/>
  <c r="C5" i="3"/>
  <c r="I2" i="3"/>
  <c r="C2" i="3"/>
  <c r="B14" i="3" l="1"/>
  <c r="O14" i="3"/>
  <c r="Q14" i="3"/>
  <c r="O15" i="3"/>
  <c r="Q15" i="3"/>
  <c r="O16" i="3"/>
  <c r="Q16" i="3"/>
  <c r="O17" i="3"/>
  <c r="Q17" i="3"/>
  <c r="O18" i="3"/>
  <c r="Q18" i="3"/>
  <c r="O19" i="3"/>
  <c r="Q19" i="3"/>
  <c r="O20" i="3"/>
  <c r="Q20" i="3"/>
  <c r="O21" i="3"/>
  <c r="Q21" i="3"/>
  <c r="O22" i="3"/>
  <c r="Q22" i="3"/>
  <c r="O23" i="3"/>
  <c r="Q23" i="3"/>
  <c r="O24" i="3"/>
  <c r="Q24" i="3"/>
  <c r="O25" i="3"/>
  <c r="Q25" i="3"/>
  <c r="O26" i="3"/>
  <c r="Q26" i="3"/>
  <c r="O27" i="3"/>
  <c r="Q27" i="3"/>
  <c r="O28" i="3"/>
  <c r="Q28" i="3"/>
  <c r="O29" i="3"/>
  <c r="Q29" i="3"/>
  <c r="O30" i="3"/>
  <c r="Q30" i="3"/>
  <c r="O31" i="3"/>
  <c r="Q31" i="3"/>
  <c r="O34" i="3"/>
  <c r="Q34" i="3"/>
  <c r="O35" i="3"/>
  <c r="Q35" i="3"/>
  <c r="O36" i="3"/>
  <c r="Q36" i="3"/>
  <c r="O37" i="3"/>
  <c r="Q37" i="3"/>
  <c r="O38" i="3"/>
  <c r="Q38" i="3"/>
  <c r="O39" i="3"/>
  <c r="Q39" i="3"/>
  <c r="O40" i="3"/>
  <c r="Q40" i="3"/>
  <c r="O41" i="3"/>
  <c r="Q41" i="3"/>
  <c r="O42" i="3"/>
  <c r="Q42" i="3"/>
  <c r="O43" i="3"/>
  <c r="Q43" i="3"/>
  <c r="O44" i="3"/>
  <c r="Q44" i="3"/>
  <c r="O45" i="3"/>
  <c r="Q45" i="3"/>
  <c r="O46" i="3"/>
  <c r="Q46" i="3"/>
  <c r="O47" i="3"/>
  <c r="Q47" i="3"/>
  <c r="O48" i="3"/>
  <c r="Q48" i="3"/>
  <c r="O49" i="3"/>
  <c r="Q49" i="3"/>
  <c r="O50" i="3"/>
  <c r="Q50" i="3"/>
  <c r="O51" i="3"/>
  <c r="Q51" i="3"/>
  <c r="O52" i="3"/>
  <c r="Q52" i="3"/>
  <c r="O53" i="3"/>
  <c r="Q53" i="3"/>
  <c r="O54" i="3"/>
  <c r="Q54" i="3"/>
  <c r="O55" i="3"/>
  <c r="Q55" i="3"/>
  <c r="O56" i="3"/>
  <c r="Q56" i="3"/>
  <c r="O57" i="3"/>
  <c r="Q57" i="3"/>
  <c r="O58" i="3"/>
  <c r="Q58" i="3"/>
  <c r="O59" i="3"/>
  <c r="Q59" i="3"/>
  <c r="O60" i="3"/>
  <c r="Q60" i="3"/>
  <c r="O61" i="3"/>
  <c r="Q61" i="3"/>
  <c r="O62" i="3"/>
  <c r="Q62" i="3"/>
  <c r="O63" i="3"/>
  <c r="Q63" i="3"/>
  <c r="O64" i="3"/>
  <c r="Q64" i="3"/>
  <c r="O65" i="3"/>
  <c r="Q65" i="3"/>
  <c r="O66" i="3"/>
  <c r="Q66" i="3"/>
  <c r="O67" i="3"/>
  <c r="Q67" i="3"/>
  <c r="O68" i="3"/>
  <c r="Q68" i="3"/>
  <c r="O69" i="3"/>
  <c r="Q69" i="3"/>
  <c r="C58" i="2"/>
  <c r="C59" i="2"/>
  <c r="C60" i="2"/>
  <c r="C49" i="2"/>
  <c r="C50" i="2"/>
  <c r="C51" i="2"/>
  <c r="C52" i="2"/>
  <c r="C53" i="2"/>
  <c r="C54" i="2"/>
  <c r="C55" i="2"/>
  <c r="C56" i="2"/>
  <c r="C57" i="2"/>
  <c r="C14" i="2"/>
  <c r="C15" i="2"/>
  <c r="C16" i="2"/>
  <c r="C17" i="2"/>
  <c r="C18" i="2"/>
  <c r="C19" i="2"/>
  <c r="C20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B14" i="6" l="1"/>
  <c r="B15" i="3"/>
  <c r="B15" i="6" s="1"/>
  <c r="E13" i="6"/>
  <c r="H13" i="6" s="1"/>
  <c r="O13" i="3"/>
  <c r="B16" i="3" l="1"/>
  <c r="F2" i="8"/>
  <c r="E238" i="8" s="1"/>
  <c r="F13" i="6"/>
  <c r="D13" i="6"/>
  <c r="C13" i="6"/>
  <c r="A13" i="6"/>
  <c r="F12" i="6"/>
  <c r="D12" i="6"/>
  <c r="C12" i="6"/>
  <c r="A12" i="6"/>
  <c r="G22" i="2" s="1"/>
  <c r="C13" i="2"/>
  <c r="Q12" i="3"/>
  <c r="O12" i="3"/>
  <c r="Q13" i="3"/>
  <c r="G21" i="2" l="1"/>
  <c r="G13" i="2"/>
  <c r="B17" i="3"/>
  <c r="B17" i="6" s="1"/>
  <c r="B16" i="6"/>
  <c r="G58" i="2"/>
  <c r="G59" i="2"/>
  <c r="G60" i="2"/>
  <c r="G49" i="2"/>
  <c r="G50" i="2"/>
  <c r="G51" i="2"/>
  <c r="G52" i="2"/>
  <c r="G53" i="2"/>
  <c r="G54" i="2"/>
  <c r="G55" i="2"/>
  <c r="G56" i="2"/>
  <c r="G57" i="2"/>
  <c r="G14" i="2"/>
  <c r="G15" i="2"/>
  <c r="G16" i="2"/>
  <c r="G17" i="2"/>
  <c r="G18" i="2"/>
  <c r="G19" i="2"/>
  <c r="G20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B18" i="3" l="1"/>
  <c r="B18" i="6" s="1"/>
  <c r="G100" i="8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13" i="6" l="1"/>
  <c r="B19" i="3" l="1"/>
  <c r="B19" i="6" s="1"/>
  <c r="B20" i="3" l="1"/>
  <c r="B20" i="6" s="1"/>
  <c r="B21" i="3" l="1"/>
  <c r="B22" i="3" s="1"/>
  <c r="B21" i="6" l="1"/>
  <c r="B23" i="3"/>
  <c r="B22" i="6"/>
  <c r="B24" i="3" l="1"/>
  <c r="B23" i="6"/>
  <c r="B25" i="3" l="1"/>
  <c r="B24" i="6"/>
  <c r="B25" i="6" l="1"/>
  <c r="B26" i="3" l="1"/>
  <c r="B27" i="3" l="1"/>
  <c r="B26" i="6"/>
  <c r="B28" i="3" l="1"/>
  <c r="B27" i="6"/>
  <c r="B29" i="3" l="1"/>
  <c r="B28" i="6"/>
  <c r="B30" i="3" l="1"/>
  <c r="B29" i="6"/>
  <c r="B31" i="3" l="1"/>
  <c r="B30" i="6"/>
  <c r="B32" i="3" l="1"/>
  <c r="B31" i="6"/>
  <c r="B33" i="3" l="1"/>
  <c r="B33" i="6" s="1"/>
  <c r="C6" i="6" s="1"/>
  <c r="B7" i="2" s="1"/>
  <c r="B32" i="6"/>
  <c r="C6" i="3" l="1"/>
  <c r="B6" i="2" s="1"/>
  <c r="B8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4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4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4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4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4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4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4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4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4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4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4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4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4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<sst xmlns="http://schemas.openxmlformats.org/spreadsheetml/2006/main" count="1659" uniqueCount="539">
  <si>
    <t>Modalidade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</si>
  <si>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</si>
  <si>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</si>
  <si>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</si>
  <si>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</si>
  <si>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</si>
  <si>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</si>
  <si>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</si>
  <si>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</si>
  <si>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</si>
  <si>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</si>
  <si>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</si>
  <si>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</si>
  <si>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</si>
  <si>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</si>
  <si>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</si>
  <si>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</si>
  <si>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</si>
  <si>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</si>
  <si>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</si>
  <si>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</si>
  <si>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</si>
  <si>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</si>
  <si>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</si>
  <si>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</si>
  <si>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</si>
  <si>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</si>
  <si>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</si>
  <si>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</si>
  <si>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</si>
  <si>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</si>
  <si>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</si>
  <si>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</si>
  <si>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</si>
  <si>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</si>
  <si>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</si>
  <si>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</si>
  <si>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</si>
  <si>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</si>
  <si>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</si>
  <si>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</si>
  <si>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</si>
  <si>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</si>
  <si>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</si>
  <si>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</si>
  <si>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</si>
  <si>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</si>
  <si>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</si>
  <si>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</si>
  <si>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</si>
  <si>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</si>
  <si>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</si>
  <si>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</si>
  <si>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</si>
  <si>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</si>
  <si>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</si>
  <si>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</si>
  <si>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</si>
  <si>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</si>
  <si>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</si>
  <si>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</si>
  <si>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</si>
  <si>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</si>
  <si>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</si>
  <si>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</si>
  <si>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</si>
  <si>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</si>
  <si>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</si>
  <si>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</si>
  <si>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</si>
  <si>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</si>
  <si>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</si>
  <si>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</si>
  <si>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</si>
  <si>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</si>
  <si>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</si>
  <si>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</si>
  <si>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</si>
  <si>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</si>
  <si>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</si>
  <si>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</si>
  <si>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</si>
  <si>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</si>
  <si>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</si>
  <si>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</si>
  <si>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</si>
  <si>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</si>
  <si>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</si>
  <si>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</si>
  <si>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</si>
  <si>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</si>
  <si>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</si>
  <si>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</si>
  <si>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</si>
  <si>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</si>
  <si>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</si>
  <si>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</si>
  <si>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</si>
  <si>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</si>
  <si>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</si>
  <si>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</si>
  <si>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</si>
  <si>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</si>
  <si>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</si>
  <si>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</si>
  <si>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</si>
  <si>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</si>
  <si>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</si>
  <si>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</si>
  <si>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</si>
  <si>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</si>
  <si>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</si>
  <si>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</si>
  <si>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</si>
  <si>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</si>
  <si>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</si>
  <si>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</si>
  <si>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</si>
  <si>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</si>
  <si>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</si>
  <si>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</si>
  <si>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</si>
  <si>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</si>
  <si>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</si>
  <si>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</si>
  <si>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</si>
  <si>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</si>
  <si>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</si>
  <si>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</si>
  <si>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</si>
  <si>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</si>
  <si>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</si>
  <si>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</si>
  <si>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</si>
  <si>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</si>
  <si>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</si>
  <si>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</si>
  <si>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</si>
  <si>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</si>
  <si>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</si>
  <si>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</si>
  <si>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</si>
  <si>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</si>
  <si>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</si>
  <si>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</si>
  <si>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</si>
  <si>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</si>
  <si>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</si>
  <si>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</si>
  <si>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</si>
  <si>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</si>
  <si>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</si>
  <si>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</si>
  <si>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</si>
  <si>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</si>
  <si>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</si>
  <si>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</si>
  <si>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</si>
  <si>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</si>
  <si>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</si>
  <si>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</si>
  <si>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Descrição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</si>
  <si>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</si>
  <si>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</si>
  <si>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</si>
  <si>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</si>
  <si>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</si>
  <si>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</si>
  <si>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</si>
  <si>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Outros Serviços</t>
  </si>
  <si>
    <t>Compras</t>
  </si>
  <si>
    <t>Compras e Outros Serviços</t>
  </si>
  <si>
    <t>Locações</t>
  </si>
  <si>
    <t>Mão-de-obra e material</t>
  </si>
  <si>
    <t>un</t>
  </si>
  <si>
    <t>h</t>
  </si>
  <si>
    <t>Qtd. Itens Orçamento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</si>
  <si>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</si>
  <si>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</si>
  <si>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</si>
  <si>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</si>
  <si>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</si>
  <si>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</si>
  <si>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</si>
  <si>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</si>
  <si>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</si>
  <si>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</si>
  <si>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</si>
  <si>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</si>
  <si>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</si>
  <si>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</si>
  <si>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</si>
  <si>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</si>
  <si>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SINAPI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</si>
  <si>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</si>
  <si>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</si>
  <si>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</si>
  <si>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</si>
  <si>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</si>
  <si>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</si>
  <si>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</si>
  <si>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COMPOSICAO_PROPRIA</t>
  </si>
  <si>
    <t>Atenção! Se existirem itens sem preço proposto, deixe a célula do preço unitário proposto em branco.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</si>
  <si>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</si>
  <si>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</si>
  <si>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Para incluir itens da proposta, selecione as células A13 a K13 e arraste para baixo, de acordo com o número de itens cadastrado na planilha Orçamento-base.</t>
  </si>
  <si>
    <t>N° CENTRAL DE COMPRAS</t>
  </si>
  <si>
    <t>Concorrência Lei 14.133/21 Eletrônica</t>
  </si>
  <si>
    <t>Elaboração de projeto executivo de obra de pavimentação asfáltica, incluindo drenagem e sinalização viária</t>
  </si>
  <si>
    <t>Elaboração de PPCI ou PrPCI para edificações</t>
  </si>
  <si>
    <t>Elaboração de projeto executivo de obra de reforma, construção ou ampliação de edificações</t>
  </si>
  <si>
    <t>Elaboração de projeto executivo estrutural de edificação</t>
  </si>
  <si>
    <t>Registro de preços para futura e eventual contratação de projetos de arquitetura/engenharia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</si>
  <si>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</si>
  <si>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</si>
  <si>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</si>
  <si>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</si>
  <si>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</si>
  <si>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</si>
  <si>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</si>
  <si>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</si>
  <si>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</si>
  <si>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</si>
  <si>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</si>
  <si>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</si>
  <si>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</si>
  <si>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</si>
  <si>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</si>
  <si>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</si>
  <si>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</si>
  <si>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</si>
  <si>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</si>
  <si>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</si>
  <si>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</si>
  <si>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</si>
  <si>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X</t>
  </si>
  <si>
    <t>Y</t>
  </si>
  <si>
    <t>Z</t>
  </si>
  <si>
    <t>AA</t>
  </si>
  <si>
    <t>AB</t>
  </si>
  <si>
    <t>Serviço de elaboração de projeto executivo de obra de pavimentação asfáltica, incluindo drenagem e sinalização viária – Vias de até 1km</t>
  </si>
  <si>
    <t>Serviço de elaboração de projeto executivo de instalações elétricas em edificações de até 500m²</t>
  </si>
  <si>
    <t>Serviço de elaboração de projeto executivo de instalações elétricas em edificações de até 1500m²</t>
  </si>
  <si>
    <t>Serviço de elaboração de projeto executivo de instalações elétricas em edificações de até 3000m²</t>
  </si>
  <si>
    <t>Serviço de elaboração de projeto executivo de iluminação pública em vias de até 1,5Km</t>
  </si>
  <si>
    <t>Serviço de elaboração de projeto executivo de iluminação pública em vias de até 3Km</t>
  </si>
  <si>
    <t>Serviço de elaboração de projeto executivo de obra de reforma de edificações de até 500m²</t>
  </si>
  <si>
    <t>Serviço de elaboração de projeto executivo de obra de reforma de edificações de até 1.200m²</t>
  </si>
  <si>
    <t>Serviço de elaboração de projeto executivo de obra de reforma de edificações de até 2.500m²</t>
  </si>
  <si>
    <t>Serviço de elaboração de projeto executivo de obra de construção ou ampliação de edificações de até 500m²</t>
  </si>
  <si>
    <t>Serviço de elaboração de projeto executivo de obra de construção ou ampliação de edificações de até 1200m²</t>
  </si>
  <si>
    <t>Serviço de elaboração de projeto executivo estrutural de edificação com até 500m²</t>
  </si>
  <si>
    <t>Serviço de elaboração de projeto executivo estrutural de edificação com até 1500m²</t>
  </si>
  <si>
    <t>Serviço de elaboração de projeto executivo estrutural de edificação com até 2500m²</t>
  </si>
  <si>
    <t>COMPOSIÇÕES</t>
  </si>
  <si>
    <t>Estado do Rio Grande do Sul</t>
  </si>
  <si>
    <t>Referência de custo:</t>
  </si>
  <si>
    <t>COMP. A - Serviço de elaboração de projeto executivo de obra de pavimentação asfáltica, incluindo drenagem e sinalização viária – Vias de até 1km</t>
  </si>
  <si>
    <t>Referência</t>
  </si>
  <si>
    <t>Descrição dos Serviços</t>
  </si>
  <si>
    <t>Quant.</t>
  </si>
  <si>
    <t>Valor unit</t>
  </si>
  <si>
    <t>Valor Unit com BDI</t>
  </si>
  <si>
    <t>Valor total</t>
  </si>
  <si>
    <t>ENGENHEIRO CIVIL COM ENCARGOS COMPLEMENTARES - LEVANTAMENTO DE CAMPO</t>
  </si>
  <si>
    <t>ENGENHEIRO CIVIL COM ENCARGOS COMPLEMENTARES - PROJETO, PLANILHAS E MEMORIAIS</t>
  </si>
  <si>
    <t>Considerando 7h diárias e 5 dias de trabalho</t>
  </si>
  <si>
    <t>90772</t>
  </si>
  <si>
    <t>AUXILIAR DE ESCRITORIO COM ENCARGOS COMPLEMENTARES - LEVANTAMENTO DE CAMPO E GRAFICAÇÃO</t>
  </si>
  <si>
    <t>Considerando 7h diárias e 2 dias de trabalho</t>
  </si>
  <si>
    <t>SICRO</t>
  </si>
  <si>
    <t>E9093</t>
  </si>
  <si>
    <t>CREA RS</t>
  </si>
  <si>
    <t>ANOTAÇÃO DE RESPONSABILIDADE TÉCNICA</t>
  </si>
  <si>
    <t>unid.</t>
  </si>
  <si>
    <t>ARQUITETO COM ENCARGOS COMPLEMENTARES - LEVANTAMENTO DE CAMPO</t>
  </si>
  <si>
    <t>ARQUITETO COM ENCARGOS COMPLEMENTARES - PROJETO, PLANILHAS E MEMORIAIS</t>
  </si>
  <si>
    <t>Considerando 7h diárias e 2 dias de trabalho + 4h de levantamento de campo</t>
  </si>
  <si>
    <t>CAU RS</t>
  </si>
  <si>
    <t>REGISTRO DE RESPONSABILIDADE TÉCNICA</t>
  </si>
  <si>
    <t>Considerando 7h diárias e 10 dias de trabalho</t>
  </si>
  <si>
    <t>Considerando 7h diárias e 5 dias de trabalho + 4h de levantamento de campo</t>
  </si>
  <si>
    <t>Considerando 7h diárias e 12 dias de trabalho</t>
  </si>
  <si>
    <t>Considerando 7h diárias e 15 dias de trabalho</t>
  </si>
  <si>
    <t>Considerando 7h diárias e 10 dias de trabalho + 4h de levantamento de campo</t>
  </si>
  <si>
    <t>Considerando 7h diárias e 22 dias de trabalho</t>
  </si>
  <si>
    <t>Considerando 7h diárias e 7 dias de trabalho</t>
  </si>
  <si>
    <t>Considerando 7h diárias e 3 dias de trabalho + 4h de levantamento de campo</t>
  </si>
  <si>
    <t>Considerando 7h diárias e 33 dias de trabalho</t>
  </si>
  <si>
    <t>Considerando 7h diárias e 30 dias de trabalho</t>
  </si>
  <si>
    <t>Considerando 7h diárias e 15 dias de trabalho + 4h de levantamento de campo</t>
  </si>
  <si>
    <t>Considerando 7h diárias e 20 dias de trabalho</t>
  </si>
  <si>
    <t>Considerando 7h diárias e 3 dias de trabalho</t>
  </si>
  <si>
    <t>Considerando 7h diárias e 6 dias de trabalho</t>
  </si>
  <si>
    <t>AUXILIAR DE ESCRITORIO COM ENCARGOS COMPLEMENTARES - LEVANTAMENTO DE CAMPO</t>
  </si>
  <si>
    <t>Código de Referência</t>
  </si>
  <si>
    <t>Nº  do Lote</t>
  </si>
  <si>
    <t>Valor Unit. Referência</t>
  </si>
  <si>
    <t>Valor Total de Referência</t>
  </si>
  <si>
    <t>Exclusividade ME/EPP</t>
  </si>
  <si>
    <t>Não</t>
  </si>
  <si>
    <t>Pedido Mín.</t>
  </si>
  <si>
    <t>BDI 1 - Planilha de Cálculo</t>
  </si>
  <si>
    <t>Objeto:</t>
  </si>
  <si>
    <t>Tomador:</t>
  </si>
  <si>
    <t>Prefeitura Municipal de São Marcos</t>
  </si>
  <si>
    <t>Município:</t>
  </si>
  <si>
    <t>São Marcos - RS</t>
  </si>
  <si>
    <t>Em atenção ao estabelecido pelo Acórdão 2622/2013 – TCU – Plenário reformamos a orientação e indicamos a utilização dos seguintes parâmetros para taxas de BDI:</t>
  </si>
  <si>
    <t>Tipo de obra:</t>
  </si>
  <si>
    <t>Construção de edifícios</t>
  </si>
  <si>
    <t>Obras que se enquadram no tipo escolhido:</t>
  </si>
  <si>
    <t>Selecione o CPRB</t>
  </si>
  <si>
    <t>Desonerado</t>
  </si>
  <si>
    <t>Onerado</t>
  </si>
  <si>
    <t>Escolha o tipo de obra</t>
  </si>
  <si>
    <t>Alternativa mais vantajosa para a Administração Pública:</t>
  </si>
  <si>
    <t>Construção de Rodovias e Ferrovias</t>
  </si>
  <si>
    <t>Construção de Redes de Abastecimento de Água, Coleta de Esgoto e Construções Correlatas</t>
  </si>
  <si>
    <t>Construção e Manutenção de Estações e Redes de Distribuição de Energia Elétrica</t>
  </si>
  <si>
    <t>Obras Portuárias, Marítimas e Fluviais</t>
  </si>
  <si>
    <t>Fornecimento de Materiais e Equipamentos</t>
  </si>
  <si>
    <t>Para o tipo de obra “Construção de Edifícios” enquadram-se: a construção e reforma de: edifícios, unidades habitacionais, escolas, hospitais, hotéis, restaurantes, armazéns e depósitos, edifícios para uso agropecuário, estações para trens e metropolitanos, estádios esportivos e quadras cobertas, instalações para embarque e desembarque de passageiros (em aeroportos, rodoviárias, portos, etc.), penitenciárias e presídios, a construção de edifícios industriais (fábricas, oficinas, galpões industriais, etc.), conforme classificação 4120-4 do CNAE 2.0. Também enquadram-se pórticos, mirantes e outros edifícios de finalidade turística.</t>
  </si>
  <si>
    <t>Para o tipo de obra “Construção de Rodovias e Ferrovias” enquadram-se: a construção e recuperação de: auto-estradas, rodovias e outras vias não-urbanas para passagem de veículos, vias férreas de superfície ou subterrâneas (inclusive para metropolitanos), pistas de aeroportos. Esta classe compreende também: a pavimentação de auto-estradas, rodovias e outras vias não-urbanas; construção de pontes, viadutos e túneis; a instalação de barreiras acústicas; a construção de praças de pedágio; a sinalização com pintura em rodovias e aeroportos; a instalação de placas de sinalização de tráfego e semelhantes, conforme classificação 4211-1 do CNAE 2.0. Também enquadram-se a construção, pavimentação e sinalização de vias urbanas, ruas e locais para estacionamento de veículos; a construção de praças e calçadas para pedestres; elevados, passarelas e ciclovias; metrô e VLT.</t>
  </si>
  <si>
    <t>Para o tipo de obra “Construção de Redes de Abastecimento de Água, Coleta de Esgoto e Construções Correlatas” enquadram-se: a construção de sistemas para o abastecimento de água tratada: reservatórios de distribuição, estações elevatórias de bombeamento, linhas principais de adução de longa e média distância e redes de distribuição de água; a construção de redes de coleta de esgoto, inclusive de interceptores, estações de tratamento de esgoto (ETE), estações de bombeamento de esgoto (EBE); a construção de galerias pluviais (obras de micro e macro drenagem). Esta classe compreende também: as obras de irrigação (canais); a manutenção de redes de abastecimento de água tratada; a manutenção de redes de coleta e de sistemas de tratamento de esgoto, conforme classificação 4222-7 do CNAE 2.0. Enquadra-se ainda a construção de estações de tratamento de água (ETA).</t>
  </si>
  <si>
    <t>Para o tipo de obra “Construção e Manutenção de Estações e Redes de Distribuição de Energia Elétrica” enquadram-se: a construção de usinas, estações e subestações hidrelétricas, eólicas, nucleares, termoelétricas; a construção de redes de transmissão e distribuição de energia elétrica, inclusive o serviço de eletrificação rural. Esta subclasse compreende também: a construção de redes de eletrificação para ferrovias e metropolitano, conforme classificação 4221-9/02 do CNAE 2.0. Compreende ainda: a manutenção de redes de distribuição de energia elétrica, quando executada por empresa não-produtora ou distribuidora de energia elétrica, conforme classificação 4221-9/03 do CNAE 2.0. Enquadram-se também obras de iluminação pública e a construção de barragens e represas para geração de energia elétrica.</t>
  </si>
  <si>
    <t xml:space="preserve">Para o tipo de obra “Portuárias, Marítimas e Fluviais” enquadram-se: as obras marítimas e fluviais, tais como, construção de instalações portuárias; construção de portos e marinas; construção de eclusas e canais de navegação (vias navegáveis); enrocamentos; obras de dragagem; aterro hidráulico; barragens, represas e diques, exceto para energia elétrica; a construção de emissários submarinos; a instalação de cabos submarinos, conforme classificação 4291-0 do CNAE 2.0. Enquadram-se também a construção de piers e outras obras com influência direta de cursos d’água. </t>
  </si>
  <si>
    <t>Enquadram-se como “Fornecimento de Materiais e Equipamentos”, conforme tabela apresentada no item 1 desta CE, especificamente o fornecimento de materiais e equipamentos relevantes de natureza específica, como é o caso de: - materiais betuminosos para obras rodoviárias; - tubos de ferro fundido ou PVC para obras de abastecimento de água; - elevadores e escadas rolantes para obras aeroportuárias. Comprovada a inviabilidade técnico-econômica de parcelamento do objeto da licitação, os itens de fornecimento de materiais e equipamentos relevantes de natureza específica, que possam ser fornecidos por empresas com especialidades próprias e diversas e que representem percentual significativo do preço global da obra devem apresentar incidência de taxa de BDI reduzida em relação à taxa aplicável aos demais itens da obra.</t>
  </si>
  <si>
    <t>OBSERVAÇÕES</t>
  </si>
  <si>
    <t>Escolha o regime de contribuição</t>
  </si>
  <si>
    <t>Mín</t>
  </si>
  <si>
    <t>Máx</t>
  </si>
  <si>
    <t>Cálculo s/ os 2%</t>
  </si>
  <si>
    <t>Cálculo c/ os desonerado</t>
  </si>
  <si>
    <r>
      <t xml:space="preserve">Os percentuais de Impostos a serem adotados devem ser indicados pelo Tomador, conforme legislação vigente. </t>
    </r>
    <r>
      <rPr>
        <b/>
        <i/>
        <u/>
        <sz val="9"/>
        <rFont val="Arial"/>
        <family val="2"/>
      </rPr>
      <t>Apresentar declaração informando o percentual de ISS incidente sobre esta obra, considerando a base de cálculo prevista na legislação municipal.</t>
    </r>
  </si>
  <si>
    <t>SEM DESONERAÇÃO</t>
  </si>
  <si>
    <t>Parâmetro</t>
  </si>
  <si>
    <t>%</t>
  </si>
  <si>
    <t>Verificação</t>
  </si>
  <si>
    <t>DESONERADO</t>
  </si>
  <si>
    <t>Falta preencher algum item do BDI:</t>
  </si>
  <si>
    <t>Administração Central</t>
  </si>
  <si>
    <t>Edifícios</t>
  </si>
  <si>
    <t>Rodovias</t>
  </si>
  <si>
    <t>Redes</t>
  </si>
  <si>
    <t>Mín:</t>
  </si>
  <si>
    <t>Máx:</t>
  </si>
  <si>
    <t>Seguros e Garantias</t>
  </si>
  <si>
    <t>Riscos</t>
  </si>
  <si>
    <t>As tabelas que apresentam os limites foram construídas sem considerar a desoneração sobre a folha de pagamento prevista na Lei n° 12.844/2013. Caso o CNAE da empresa indique que a mesma deve considerar a contribuição previdenciária sobre a receita bruta, será somada a alíquota de 2% no item impostos.</t>
  </si>
  <si>
    <t>Despesas Financeiras</t>
  </si>
  <si>
    <t>Elétrica</t>
  </si>
  <si>
    <t>Portos</t>
  </si>
  <si>
    <t>Equipamentos</t>
  </si>
  <si>
    <t>Lucro</t>
  </si>
  <si>
    <t>Impostos: PIS</t>
  </si>
  <si>
    <t>Impostos: COFINS</t>
  </si>
  <si>
    <t>Impostos: ISS (mun.)</t>
  </si>
  <si>
    <t>Regime de desoneração (4,5%)</t>
  </si>
  <si>
    <t>São Marcos / RS, 28 de outubro de 2025.</t>
  </si>
  <si>
    <t xml:space="preserve">Declaramos que será adotado o regime </t>
  </si>
  <si>
    <t xml:space="preserve"> de tributação da folha de pagamento, para a elaboração do orçamento relativo às obras do presente contrato de repasse, por se tratar da opção mais vantajosa para a administração pública. </t>
  </si>
  <si>
    <t>RODRIGO CASTILHOS GIOTTI</t>
  </si>
  <si>
    <t>Eng. Civil CREA/RS 226 963</t>
  </si>
  <si>
    <t>Secretaria Municipal de Planejamento</t>
  </si>
  <si>
    <t>Núcleo de Engenharia</t>
  </si>
  <si>
    <t>LOCALIZAÇÃO</t>
  </si>
  <si>
    <t xml:space="preserve">ANO </t>
  </si>
  <si>
    <t>1.</t>
  </si>
  <si>
    <t>(      ) SIM</t>
  </si>
  <si>
    <t>3.</t>
  </si>
  <si>
    <t>ASFALTAR ESTRADA 720 - SÃO ROQUE ATÉ A EMPRESA  NELSON METALS - 2100M</t>
  </si>
  <si>
    <t>4.</t>
  </si>
  <si>
    <t>5.</t>
  </si>
  <si>
    <t>ASFALTAR ESTRADA 405 - DOS POGGERE ATÉ A SANTANA - 3600M</t>
  </si>
  <si>
    <t>6.</t>
  </si>
  <si>
    <t>7.</t>
  </si>
  <si>
    <t>ASFALTAR NA BR 116 EM PEDRAS BRANCAS (ACESSO A PEDREIRA) - 500M</t>
  </si>
  <si>
    <t>2.</t>
  </si>
  <si>
    <t>ESTRADAS DO INTERIOR</t>
  </si>
  <si>
    <t>REFORMAS E AMPLIÇÕES</t>
  </si>
  <si>
    <t>REFORMA DA ESCOLA JOÃO POLLO</t>
  </si>
  <si>
    <t>-</t>
  </si>
  <si>
    <t>AMPLIAÇÃO DO CENTRO DE SAÚDE</t>
  </si>
  <si>
    <t>RUAS DA CIDADE</t>
  </si>
  <si>
    <t>EXTENSÃO / ÁREA</t>
  </si>
  <si>
    <t>1150 METROS</t>
  </si>
  <si>
    <t>2100 METROS</t>
  </si>
  <si>
    <t>3600 METROS</t>
  </si>
  <si>
    <t>500 METROS</t>
  </si>
  <si>
    <t>ASFALTAR NA BR 116 PELA CARLOS GOMES ATÉ VRS 815 (CENTRO OCUPACIONAL)</t>
  </si>
  <si>
    <t>8.</t>
  </si>
  <si>
    <t>2520 METROS</t>
  </si>
  <si>
    <t>ASFALTAR RUA PADRE FEIJÓ</t>
  </si>
  <si>
    <t>9.</t>
  </si>
  <si>
    <t>ASFALTAR RUA LEDA RECH STÉDILE A DIAMANTINO MICHELON ATÉ RUA SÃO LUIS</t>
  </si>
  <si>
    <t>1000 METROS</t>
  </si>
  <si>
    <t>ASFALTAR RUA AVENIDA TIRADENTES ATÉ RUA MARINGÁ</t>
  </si>
  <si>
    <t>1400 METROS</t>
  </si>
  <si>
    <t>10.</t>
  </si>
  <si>
    <t>11.</t>
  </si>
  <si>
    <t>ASFALTAR RUA RAFAEL RUARO A BENJAMIN MICHELIN, RICIERI CHEMELLO, JOÃO SOGARI, BONFILHO NICOLETTI E AUGUSTO CATAFESTA</t>
  </si>
  <si>
    <t>1555 METROS</t>
  </si>
  <si>
    <t>ASFALTAR RUA JOSÉ POLO A JOAQUIM CHINELATO, JACOB STUDULKI, FIDÉLIS CAPELETTI, ARY MARTININGHI E GIÁCOMO RIZZON</t>
  </si>
  <si>
    <t>1900 METROS</t>
  </si>
  <si>
    <t>ABERTURA DE RUAS</t>
  </si>
  <si>
    <t>12.</t>
  </si>
  <si>
    <t>13.</t>
  </si>
  <si>
    <t>PROLONGAMENTO DA RUA GIÁCOMO SANDRI</t>
  </si>
  <si>
    <t>PROLONGAMENTO DA RUA OSVALDO ARANHA ATÉ A RUA ISIDORO FOCHESATO (ATÉ A EMPRESA FADO)</t>
  </si>
  <si>
    <t>1460 METROS</t>
  </si>
  <si>
    <t>PROJETOS DE DRENAGEM</t>
  </si>
  <si>
    <t>15.</t>
  </si>
  <si>
    <t>16.</t>
  </si>
  <si>
    <t>17.</t>
  </si>
  <si>
    <t>LAGOA DE DETENÇÃO 1</t>
  </si>
  <si>
    <t>LAGOA DE DETENÇÃO 2</t>
  </si>
  <si>
    <t>18.</t>
  </si>
  <si>
    <t>DRENAGEM RUA ANGELO SIOTA</t>
  </si>
  <si>
    <t>480 METROS</t>
  </si>
  <si>
    <t>ASFALTAR ESTRADA 200 - ROSITA ATÉ A EMPRESA DE ÁGUA MINERAL (ÁGUA SERRA MAIOR) - 1150M</t>
  </si>
  <si>
    <t>640,00 METROS QUADRADOS</t>
  </si>
  <si>
    <t>1600,00 METROS QUADRADOS</t>
  </si>
  <si>
    <t>Rodrigo Castilhos Giotti</t>
  </si>
  <si>
    <t>Engº Civil</t>
  </si>
  <si>
    <t>CREA RS 226963</t>
  </si>
  <si>
    <t>COMP. E - Serviço de elaboração de projeto executivo de instalações elétricas em edificações de até 500m²</t>
  </si>
  <si>
    <t>COMP. F - Serviço de elaboração de projeto executivo de instalações elétricas em edificações de até 1500m²</t>
  </si>
  <si>
    <t>COMP. G - Serviço de elaboração de projeto executivo de instalações elétricas em edificações de até 3000m²</t>
  </si>
  <si>
    <t>COMP. B - Serviço de elaboração de projeto executivo de obra de pavimentação asfáltica, incluindo drenagem e sinalização viária – Vias entre 1 e 4km</t>
  </si>
  <si>
    <t>Serviço de elaboração de projeto executivo de obra de pavimentação asfáltica, incluindo drenagem e sinalização viária – Vias entre 1 e 4km</t>
  </si>
  <si>
    <t>Serviço de elaboração de projeto executivo de drenagem de vias até 1Km</t>
  </si>
  <si>
    <t>Serviço de elaboração de projeto executivo de drenagem de vias entre 1 e 3km</t>
  </si>
  <si>
    <t>Sinapi não Desonerado 09/2025 e Sicro 01/2025 - BDI 24,78%</t>
  </si>
  <si>
    <t>Veículo leve - 53 kW - CP</t>
  </si>
  <si>
    <t>COMP. C - Serviço de elaboração de projeto executivo de PPCI ou PrPCI para edificações de até 2.000m²</t>
  </si>
  <si>
    <t>COMP. D - Serviço de elaboração de projeto executivo de PPCI ou PrPCI para edificações de até 5.000m²</t>
  </si>
  <si>
    <t>Serviço de elaboração de projeto executivo de PPCI ou PrPCI para edificações de até 2.000m²</t>
  </si>
  <si>
    <t>Serviço de elaboração de projeto executivo de PPCI ou PrPCI para edificações de até 5.000m²</t>
  </si>
  <si>
    <t>Elaboração de projeto executivo de abertura de ruas até 2 km</t>
  </si>
  <si>
    <t>Elaboração de projeto executivo de drenagem</t>
  </si>
  <si>
    <t>Elaboração de estudo e projeto executivo de lagoa de detenção e drenagem</t>
  </si>
  <si>
    <t>Elaboração de estudo de lagoa de detenção e drenagem</t>
  </si>
  <si>
    <t>Elaboração de estudo para lagoa de detenção e drenagem</t>
  </si>
  <si>
    <t>SINAPI - Composição de Encargos Sociais</t>
  </si>
  <si>
    <r>
      <rPr>
        <b/>
        <sz val="9"/>
        <color rgb="FFFFFFFF"/>
        <rFont val="Calibri"/>
        <family val="1"/>
      </rPr>
      <t>ENCARGOS   SOCIAIS   SOBRE   A   MÃO   DE   OBRA</t>
    </r>
  </si>
  <si>
    <r>
      <rPr>
        <b/>
        <sz val="9"/>
        <rFont val="Calibri"/>
        <family val="1"/>
      </rPr>
      <t>CÓDIGO</t>
    </r>
  </si>
  <si>
    <r>
      <rPr>
        <b/>
        <sz val="9"/>
        <rFont val="Calibri"/>
        <family val="1"/>
      </rPr>
      <t>DESCRIÇÃO</t>
    </r>
  </si>
  <si>
    <r>
      <rPr>
        <b/>
        <sz val="9"/>
        <color rgb="FFFFFFFF"/>
        <rFont val="Calibri"/>
        <family val="1"/>
      </rPr>
      <t>SEM DESONERAÇÃO</t>
    </r>
  </si>
  <si>
    <r>
      <rPr>
        <b/>
        <sz val="9"/>
        <rFont val="Calibri"/>
        <family val="1"/>
      </rPr>
      <t xml:space="preserve">HORISTA
</t>
    </r>
    <r>
      <rPr>
        <b/>
        <sz val="9"/>
        <rFont val="Calibri"/>
        <family val="1"/>
      </rPr>
      <t>%</t>
    </r>
  </si>
  <si>
    <r>
      <rPr>
        <b/>
        <sz val="9"/>
        <rFont val="Calibri"/>
        <family val="1"/>
      </rPr>
      <t xml:space="preserve">MENSALISTA
</t>
    </r>
    <r>
      <rPr>
        <b/>
        <sz val="9"/>
        <rFont val="Calibri"/>
        <family val="1"/>
      </rPr>
      <t>%</t>
    </r>
  </si>
  <si>
    <r>
      <rPr>
        <b/>
        <sz val="9"/>
        <color rgb="FFFFFFFF"/>
        <rFont val="Calibri"/>
        <family val="1"/>
      </rPr>
      <t>GRUPO A</t>
    </r>
  </si>
  <si>
    <r>
      <rPr>
        <sz val="9"/>
        <rFont val="Calibri"/>
        <family val="1"/>
      </rPr>
      <t>A1</t>
    </r>
  </si>
  <si>
    <r>
      <rPr>
        <sz val="9"/>
        <rFont val="Calibri"/>
        <family val="1"/>
      </rPr>
      <t>INSS</t>
    </r>
  </si>
  <si>
    <r>
      <rPr>
        <sz val="9"/>
        <rFont val="Calibri"/>
        <family val="1"/>
      </rPr>
      <t>A2</t>
    </r>
  </si>
  <si>
    <r>
      <rPr>
        <sz val="9"/>
        <rFont val="Calibri"/>
        <family val="1"/>
      </rPr>
      <t>SESI</t>
    </r>
  </si>
  <si>
    <r>
      <rPr>
        <sz val="9"/>
        <rFont val="Calibri"/>
        <family val="1"/>
      </rPr>
      <t>A3</t>
    </r>
  </si>
  <si>
    <r>
      <rPr>
        <sz val="9"/>
        <rFont val="Calibri"/>
        <family val="1"/>
      </rPr>
      <t>SENAI</t>
    </r>
  </si>
  <si>
    <r>
      <rPr>
        <sz val="9"/>
        <rFont val="Calibri"/>
        <family val="1"/>
      </rPr>
      <t>A4</t>
    </r>
  </si>
  <si>
    <r>
      <rPr>
        <sz val="9"/>
        <rFont val="Calibri"/>
        <family val="1"/>
      </rPr>
      <t>INCRA</t>
    </r>
  </si>
  <si>
    <r>
      <rPr>
        <sz val="9"/>
        <rFont val="Calibri"/>
        <family val="1"/>
      </rPr>
      <t>A5</t>
    </r>
  </si>
  <si>
    <r>
      <rPr>
        <sz val="9"/>
        <rFont val="Calibri"/>
        <family val="1"/>
      </rPr>
      <t>SEBRAE</t>
    </r>
  </si>
  <si>
    <r>
      <rPr>
        <sz val="9"/>
        <rFont val="Calibri"/>
        <family val="1"/>
      </rPr>
      <t>A6</t>
    </r>
  </si>
  <si>
    <r>
      <rPr>
        <sz val="9"/>
        <rFont val="Calibri"/>
        <family val="1"/>
      </rPr>
      <t>Salário Educação</t>
    </r>
  </si>
  <si>
    <r>
      <rPr>
        <sz val="9"/>
        <rFont val="Calibri"/>
        <family val="1"/>
      </rPr>
      <t>A7</t>
    </r>
  </si>
  <si>
    <r>
      <rPr>
        <sz val="9"/>
        <rFont val="Calibri"/>
        <family val="1"/>
      </rPr>
      <t>Seguro Contra Acidentes de Trabalho</t>
    </r>
  </si>
  <si>
    <r>
      <rPr>
        <sz val="9"/>
        <rFont val="Calibri"/>
        <family val="1"/>
      </rPr>
      <t>A8</t>
    </r>
  </si>
  <si>
    <r>
      <rPr>
        <sz val="9"/>
        <rFont val="Calibri"/>
        <family val="1"/>
      </rPr>
      <t>FGTS</t>
    </r>
  </si>
  <si>
    <r>
      <rPr>
        <sz val="9"/>
        <rFont val="Calibri"/>
        <family val="1"/>
      </rPr>
      <t>A9</t>
    </r>
  </si>
  <si>
    <r>
      <rPr>
        <sz val="9"/>
        <rFont val="Calibri"/>
        <family val="1"/>
      </rPr>
      <t>SECONCI</t>
    </r>
  </si>
  <si>
    <r>
      <rPr>
        <b/>
        <sz val="9"/>
        <rFont val="Calibri"/>
        <family val="1"/>
      </rPr>
      <t>A</t>
    </r>
  </si>
  <si>
    <r>
      <rPr>
        <b/>
        <sz val="9"/>
        <rFont val="Calibri"/>
        <family val="1"/>
      </rPr>
      <t>Total</t>
    </r>
  </si>
  <si>
    <r>
      <rPr>
        <b/>
        <sz val="9"/>
        <color rgb="FFFFFFFF"/>
        <rFont val="Calibri"/>
        <family val="1"/>
      </rPr>
      <t>GRUPO B</t>
    </r>
  </si>
  <si>
    <r>
      <rPr>
        <sz val="9"/>
        <rFont val="Calibri"/>
        <family val="1"/>
      </rPr>
      <t>B1</t>
    </r>
  </si>
  <si>
    <r>
      <rPr>
        <sz val="9"/>
        <rFont val="Calibri"/>
        <family val="1"/>
      </rPr>
      <t>Repouso Semanal Remunerado</t>
    </r>
  </si>
  <si>
    <r>
      <rPr>
        <sz val="9"/>
        <rFont val="Calibri"/>
        <family val="1"/>
      </rPr>
      <t>Não incide</t>
    </r>
  </si>
  <si>
    <r>
      <rPr>
        <sz val="9"/>
        <rFont val="Calibri"/>
        <family val="1"/>
      </rPr>
      <t>B2</t>
    </r>
  </si>
  <si>
    <r>
      <rPr>
        <sz val="9"/>
        <rFont val="Calibri"/>
        <family val="1"/>
      </rPr>
      <t>Feriados</t>
    </r>
  </si>
  <si>
    <r>
      <rPr>
        <sz val="9"/>
        <rFont val="Calibri"/>
        <family val="1"/>
      </rPr>
      <t>B3</t>
    </r>
  </si>
  <si>
    <r>
      <rPr>
        <sz val="9"/>
        <rFont val="Calibri"/>
        <family val="1"/>
      </rPr>
      <t>Auxílio - Enfermidade</t>
    </r>
  </si>
  <si>
    <r>
      <rPr>
        <sz val="9"/>
        <rFont val="Calibri"/>
        <family val="1"/>
      </rPr>
      <t>B4</t>
    </r>
  </si>
  <si>
    <r>
      <rPr>
        <sz val="9"/>
        <rFont val="Calibri"/>
        <family val="1"/>
      </rPr>
      <t>13º Salário</t>
    </r>
  </si>
  <si>
    <r>
      <rPr>
        <sz val="9"/>
        <rFont val="Calibri"/>
        <family val="1"/>
      </rPr>
      <t>B5</t>
    </r>
  </si>
  <si>
    <r>
      <rPr>
        <sz val="9"/>
        <rFont val="Calibri"/>
        <family val="1"/>
      </rPr>
      <t>Licença Paternidade</t>
    </r>
  </si>
  <si>
    <r>
      <rPr>
        <sz val="9"/>
        <rFont val="Calibri"/>
        <family val="1"/>
      </rPr>
      <t>B6</t>
    </r>
  </si>
  <si>
    <r>
      <rPr>
        <sz val="9"/>
        <rFont val="Calibri"/>
        <family val="1"/>
      </rPr>
      <t>Faltas Justificadas</t>
    </r>
  </si>
  <si>
    <r>
      <rPr>
        <sz val="9"/>
        <rFont val="Calibri"/>
        <family val="1"/>
      </rPr>
      <t>B7</t>
    </r>
  </si>
  <si>
    <r>
      <rPr>
        <sz val="9"/>
        <rFont val="Calibri"/>
        <family val="1"/>
      </rPr>
      <t>Dias de Chuvas</t>
    </r>
  </si>
  <si>
    <r>
      <rPr>
        <sz val="9"/>
        <rFont val="Calibri"/>
        <family val="1"/>
      </rPr>
      <t>B8</t>
    </r>
  </si>
  <si>
    <r>
      <rPr>
        <sz val="9"/>
        <rFont val="Calibri"/>
        <family val="1"/>
      </rPr>
      <t>Auxílio Acidente de Trabalho</t>
    </r>
  </si>
  <si>
    <r>
      <rPr>
        <sz val="9"/>
        <rFont val="Calibri"/>
        <family val="1"/>
      </rPr>
      <t>B9</t>
    </r>
  </si>
  <si>
    <r>
      <rPr>
        <sz val="9"/>
        <rFont val="Calibri"/>
        <family val="1"/>
      </rPr>
      <t>Férias Gozadas</t>
    </r>
  </si>
  <si>
    <r>
      <rPr>
        <sz val="9"/>
        <rFont val="Calibri"/>
        <family val="1"/>
      </rPr>
      <t>B10</t>
    </r>
  </si>
  <si>
    <r>
      <rPr>
        <sz val="9"/>
        <rFont val="Calibri"/>
        <family val="1"/>
      </rPr>
      <t>Salário Maternidade</t>
    </r>
  </si>
  <si>
    <r>
      <rPr>
        <b/>
        <sz val="9"/>
        <rFont val="Calibri"/>
        <family val="1"/>
      </rPr>
      <t>B</t>
    </r>
  </si>
  <si>
    <r>
      <rPr>
        <b/>
        <sz val="9"/>
        <color rgb="FFFFFFFF"/>
        <rFont val="Calibri"/>
        <family val="1"/>
      </rPr>
      <t>GRUPO C</t>
    </r>
  </si>
  <si>
    <r>
      <rPr>
        <sz val="9"/>
        <rFont val="Calibri"/>
        <family val="1"/>
      </rPr>
      <t>C1</t>
    </r>
  </si>
  <si>
    <r>
      <rPr>
        <sz val="9"/>
        <rFont val="Calibri"/>
        <family val="1"/>
      </rPr>
      <t>Aviso Prévio Indenizado</t>
    </r>
  </si>
  <si>
    <r>
      <rPr>
        <sz val="9"/>
        <rFont val="Calibri"/>
        <family val="1"/>
      </rPr>
      <t>C2</t>
    </r>
  </si>
  <si>
    <r>
      <rPr>
        <sz val="9"/>
        <rFont val="Calibri"/>
        <family val="1"/>
      </rPr>
      <t>Aviso Prévio Trabalhado</t>
    </r>
  </si>
  <si>
    <r>
      <rPr>
        <sz val="9"/>
        <rFont val="Calibri"/>
        <family val="1"/>
      </rPr>
      <t>C3</t>
    </r>
  </si>
  <si>
    <r>
      <rPr>
        <sz val="9"/>
        <rFont val="Calibri"/>
        <family val="1"/>
      </rPr>
      <t>Férias Indenizadas</t>
    </r>
  </si>
  <si>
    <r>
      <rPr>
        <sz val="9"/>
        <rFont val="Calibri"/>
        <family val="1"/>
      </rPr>
      <t>C4</t>
    </r>
  </si>
  <si>
    <r>
      <rPr>
        <sz val="9"/>
        <rFont val="Calibri"/>
        <family val="1"/>
      </rPr>
      <t>Depósito Rescisão Sem Justa Causa</t>
    </r>
  </si>
  <si>
    <r>
      <rPr>
        <sz val="9"/>
        <rFont val="Calibri"/>
        <family val="1"/>
      </rPr>
      <t>C5</t>
    </r>
  </si>
  <si>
    <r>
      <rPr>
        <sz val="9"/>
        <rFont val="Calibri"/>
        <family val="1"/>
      </rPr>
      <t>Indenização Adicional</t>
    </r>
  </si>
  <si>
    <r>
      <rPr>
        <b/>
        <sz val="9"/>
        <rFont val="Calibri"/>
        <family val="1"/>
      </rPr>
      <t>C</t>
    </r>
  </si>
  <si>
    <r>
      <rPr>
        <b/>
        <sz val="9"/>
        <color rgb="FFFFFFFF"/>
        <rFont val="Calibri"/>
        <family val="1"/>
      </rPr>
      <t>GRUPO D</t>
    </r>
  </si>
  <si>
    <r>
      <rPr>
        <sz val="9"/>
        <rFont val="Calibri"/>
        <family val="1"/>
      </rPr>
      <t>D1</t>
    </r>
  </si>
  <si>
    <r>
      <rPr>
        <sz val="9"/>
        <rFont val="Calibri"/>
        <family val="1"/>
      </rPr>
      <t>Reincidência de Grupo A sobre Grupo B</t>
    </r>
  </si>
  <si>
    <r>
      <rPr>
        <sz val="9"/>
        <rFont val="Calibri"/>
        <family val="1"/>
      </rPr>
      <t>D2</t>
    </r>
  </si>
  <si>
    <r>
      <rPr>
        <sz val="9"/>
        <rFont val="Calibri"/>
        <family val="1"/>
      </rPr>
      <t xml:space="preserve">Reincidência de Grupo A sobre Aviso Prévio Trabalhado e Reincidência do FGTS sobre Aviso
</t>
    </r>
    <r>
      <rPr>
        <sz val="9"/>
        <rFont val="Calibri"/>
        <family val="1"/>
      </rPr>
      <t>Prévio Indenizado</t>
    </r>
  </si>
  <si>
    <r>
      <rPr>
        <b/>
        <sz val="9"/>
        <rFont val="Calibri"/>
        <family val="1"/>
      </rPr>
      <t>D</t>
    </r>
  </si>
  <si>
    <r>
      <rPr>
        <b/>
        <sz val="9"/>
        <color rgb="FFFFFFFF"/>
        <rFont val="Calibri"/>
        <family val="1"/>
      </rPr>
      <t>TOTAL(A+B+C+D)</t>
    </r>
  </si>
  <si>
    <t>Fonte: Informação Dias de Chuva – INMET</t>
  </si>
  <si>
    <t>Elaboração de projeto executivo de lagoa de detenção e drenagem</t>
  </si>
  <si>
    <t>COMP. H - Serviço de elaboração de projeto executivo de iluminação pública em vias de até 1,5Km</t>
  </si>
  <si>
    <t>COMP. I - Serviço de elaboração de projeto executivo de iluminação pública em vias de até 3Km</t>
  </si>
  <si>
    <t>COMP. J - Serviço de elaboração de projeto executivo de obra de reforma de edificações de até 500m²</t>
  </si>
  <si>
    <t>COMP. K - Serviço de elaboração de projeto executivo de obra de reforma de edificações de até 1.200m²</t>
  </si>
  <si>
    <t>COMP. L - Serviço de elaboração de projeto executivo de obra de reforma de edificações de até 2.500m²</t>
  </si>
  <si>
    <t>COMP. M - Serviço de elaboração de projeto executivo de obra de construção ou ampliação de edificações de até 500m²</t>
  </si>
  <si>
    <t>COMP. N - Serviço de elaboração de projeto executivo de obra de construção ou ampliação de edificações de até 1200m²</t>
  </si>
  <si>
    <t>COMP. O - Serviço de elaboração de projeto executivo estrutural de edificação com até 500m²</t>
  </si>
  <si>
    <t>COMP. P - Serviço de elaboração de projeto executivo estrutural de edificação com até 1500m²</t>
  </si>
  <si>
    <t>COMP. Q - Serviço de elaboração de projeto executivo estrutural de edificação com até 2500m²</t>
  </si>
  <si>
    <t>COMP. R - Serviço de elaboração de projeto executivo de drenagem de vias até 1Km</t>
  </si>
  <si>
    <t>COMP. S - Serviço de elaboração de projeto executivo de drenagem de vias entre 1 e 3km</t>
  </si>
  <si>
    <t>COMP. T - Elaboração de projeto executivo de abertura de ruas até 2 km</t>
  </si>
  <si>
    <t>COMP. U - Elaboração de estudo para lagoa de detenção e drenagem</t>
  </si>
  <si>
    <t>COMP. V - Elaboração de projeto executivo de lagoa de detenção e drenagem</t>
  </si>
  <si>
    <t>São Marcos / RS, 06 de novembro de 2025.</t>
  </si>
  <si>
    <t>Objeto: Contratação de projetos de engenharia e arquitetura</t>
  </si>
  <si>
    <t>Local: SÃO MARCOS/RS</t>
  </si>
  <si>
    <t>Base: Não desonerado</t>
  </si>
  <si>
    <t>Base dos encargos sociais: SINAPI RS 09/2025</t>
  </si>
  <si>
    <t>RIO GRANDE DO SUL                        VIGÊNCIA A PARTIR DE 12/2025</t>
  </si>
  <si>
    <t xml:space="preserve">Elaboração de projeto executivo de instalações elétricas em edificações </t>
  </si>
  <si>
    <t>Elaboração de projeto executivo de instalações elétricas de iluminação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</si>
</sst>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  <numFmt numFmtId="169" formatCode="#,##0.0"/>
    <numFmt numFmtId="170" formatCode="0.0000"/>
    <numFmt numFmtId="171" formatCode="dd\ &quot;de&quot;\ mmmm\ &quot;de&quot;\ yyyy"/>
  </numFmts>
  <fonts count="6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1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6"/>
      <name val="Arial Narrow"/>
      <family val="2"/>
    </font>
    <font>
      <b/>
      <sz val="16"/>
      <name val="Arial Narrow"/>
      <family val="2"/>
    </font>
    <font>
      <b/>
      <sz val="16"/>
      <color theme="0"/>
      <name val="Arial Narrow"/>
      <family val="2"/>
    </font>
    <font>
      <sz val="16"/>
      <color theme="0"/>
      <name val="Arial Narrow"/>
      <family val="2"/>
    </font>
    <font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u/>
      <sz val="12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u/>
      <sz val="10"/>
      <name val="Arial"/>
      <family val="2"/>
    </font>
    <font>
      <b/>
      <i/>
      <u/>
      <sz val="9"/>
      <name val="Arial"/>
      <family val="2"/>
    </font>
    <font>
      <sz val="10"/>
      <color indexed="8"/>
      <name val="Arial"/>
      <family val="2"/>
    </font>
    <font>
      <sz val="9"/>
      <color theme="1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sz val="8"/>
      <name val="Calibri"/>
      <family val="2"/>
      <scheme val="minor"/>
    </font>
    <font>
      <b/>
      <sz val="9"/>
      <color theme="1"/>
      <name val="Arial"/>
      <family val="2"/>
    </font>
    <font>
      <b/>
      <sz val="11"/>
      <color rgb="FFFF0000"/>
      <name val="Arial"/>
      <family val="2"/>
    </font>
    <font>
      <b/>
      <sz val="10"/>
      <color rgb="FF000000"/>
      <name val="Arial"/>
      <family val="2"/>
    </font>
    <font>
      <b/>
      <sz val="9"/>
      <name val="Calibri"/>
      <family val="2"/>
    </font>
    <font>
      <b/>
      <sz val="9"/>
      <color rgb="FFFFFFFF"/>
      <name val="Calibri"/>
      <family val="1"/>
    </font>
    <font>
      <b/>
      <sz val="9"/>
      <name val="Calibri"/>
      <family val="1"/>
    </font>
    <font>
      <sz val="9"/>
      <name val="Calibri"/>
      <family val="2"/>
    </font>
    <font>
      <sz val="9"/>
      <name val="Calibri"/>
      <family val="1"/>
    </font>
    <font>
      <sz val="9"/>
      <color rgb="FF000000"/>
      <name val="Calibri"/>
      <family val="2"/>
    </font>
    <font>
      <b/>
      <sz val="9"/>
      <color rgb="FF000000"/>
      <name val="Calibri"/>
      <family val="2"/>
    </font>
    <font>
      <b/>
      <sz val="9"/>
      <color rgb="FFFFFFFF"/>
      <name val="Calibri"/>
      <family val="2"/>
    </font>
    <font>
      <sz val="10"/>
      <color rgb="FF333333"/>
      <name val="Calibri"/>
      <family val="2"/>
      <charset val="1"/>
    </font>
    <font>
      <b/>
      <sz val="12"/>
      <name val="Arial Narrow"/>
      <family val="2"/>
    </font>
    <font>
      <sz val="12"/>
      <name val="Arial Narrow"/>
      <family val="2"/>
    </font>
    <font>
      <sz val="11"/>
      <name val="Arial Narrow"/>
      <family val="2"/>
    </font>
  </fonts>
  <fills count="4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548CD4"/>
      </patternFill>
    </fill>
    <fill>
      <patternFill patternType="solid">
        <fgColor rgb="FF808080"/>
      </patternFill>
    </fill>
    <fill>
      <patternFill patternType="solid">
        <fgColor rgb="FFB8CCE4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1">
    <xf numFmtId="0" fontId="0" fillId="0" borderId="0"/>
    <xf numFmtId="44" fontId="9" fillId="0" borderId="0" applyFont="0" applyFill="0" applyBorder="0" applyAlignment="0" applyProtection="0"/>
    <xf numFmtId="0" fontId="11" fillId="0" borderId="0"/>
    <xf numFmtId="166" fontId="11" fillId="0" borderId="0" applyFill="0" applyBorder="0" applyAlignment="0" applyProtection="0"/>
    <xf numFmtId="0" fontId="11" fillId="0" borderId="0"/>
    <xf numFmtId="165" fontId="11" fillId="0" borderId="0" applyFill="0" applyBorder="0" applyAlignment="0" applyProtection="0"/>
    <xf numFmtId="165" fontId="11" fillId="0" borderId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24" applyNumberFormat="0" applyFill="0" applyAlignment="0" applyProtection="0"/>
    <xf numFmtId="0" fontId="18" fillId="0" borderId="25" applyNumberFormat="0" applyFill="0" applyAlignment="0" applyProtection="0"/>
    <xf numFmtId="0" fontId="19" fillId="0" borderId="26" applyNumberFormat="0" applyFill="0" applyAlignment="0" applyProtection="0"/>
    <xf numFmtId="0" fontId="19" fillId="0" borderId="0" applyNumberFormat="0" applyFill="0" applyBorder="0" applyAlignment="0" applyProtection="0"/>
    <xf numFmtId="0" fontId="20" fillId="7" borderId="0" applyNumberFormat="0" applyBorder="0" applyAlignment="0" applyProtection="0"/>
    <xf numFmtId="0" fontId="21" fillId="8" borderId="0" applyNumberFormat="0" applyBorder="0" applyAlignment="0" applyProtection="0"/>
    <xf numFmtId="0" fontId="22" fillId="9" borderId="0" applyNumberFormat="0" applyBorder="0" applyAlignment="0" applyProtection="0"/>
    <xf numFmtId="0" fontId="23" fillId="10" borderId="27" applyNumberFormat="0" applyAlignment="0" applyProtection="0"/>
    <xf numFmtId="0" fontId="24" fillId="11" borderId="28" applyNumberFormat="0" applyAlignment="0" applyProtection="0"/>
    <xf numFmtId="0" fontId="25" fillId="11" borderId="27" applyNumberFormat="0" applyAlignment="0" applyProtection="0"/>
    <xf numFmtId="0" fontId="26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7" fillId="0" borderId="0" applyNumberFormat="0" applyFill="0" applyBorder="0" applyAlignment="0" applyProtection="0"/>
    <xf numFmtId="0" fontId="10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  <xf numFmtId="0" fontId="11" fillId="0" borderId="0"/>
    <xf numFmtId="0" fontId="11" fillId="0" borderId="0"/>
  </cellStyleXfs>
  <cellXfs count="482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0" fontId="0" fillId="3" borderId="1" xfId="0" applyFill="1" applyBorder="1" applyAlignment="1">
      <alignment wrapText="1"/>
    </xf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5" fillId="5" borderId="22" xfId="0" applyFont="1" applyFill="1" applyBorder="1" applyAlignment="1">
      <alignment vertical="center" wrapText="1"/>
    </xf>
    <xf numFmtId="0" fontId="14" fillId="6" borderId="19" xfId="0" applyFont="1" applyFill="1" applyBorder="1" applyAlignment="1">
      <alignment horizontal="center" vertical="center"/>
    </xf>
    <xf numFmtId="0" fontId="15" fillId="5" borderId="23" xfId="0" applyFont="1" applyFill="1" applyBorder="1" applyAlignment="1">
      <alignment vertical="center" wrapText="1"/>
    </xf>
    <xf numFmtId="0" fontId="15" fillId="5" borderId="21" xfId="0" applyFont="1" applyFill="1" applyBorder="1" applyAlignment="1">
      <alignment vertical="center" wrapText="1"/>
    </xf>
    <xf numFmtId="0" fontId="14" fillId="6" borderId="20" xfId="0" applyFont="1" applyFill="1" applyBorder="1" applyAlignment="1">
      <alignment horizontal="center" vertical="center"/>
    </xf>
    <xf numFmtId="0" fontId="15" fillId="5" borderId="18" xfId="0" applyFont="1" applyFill="1" applyBorder="1" applyAlignment="1">
      <alignment vertic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3" fontId="4" fillId="3" borderId="1" xfId="0" applyNumberFormat="1" applyFont="1" applyFill="1" applyBorder="1" applyProtection="1">
      <protection locked="0"/>
    </xf>
    <xf numFmtId="168" fontId="0" fillId="0" borderId="0" xfId="0" applyNumberFormat="1" applyProtection="1">
      <protection locked="0"/>
    </xf>
    <xf numFmtId="0" fontId="0" fillId="0" borderId="1" xfId="0" applyBorder="1" applyProtection="1">
      <protection locked="0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0" fontId="0" fillId="3" borderId="1" xfId="0" applyFill="1" applyBorder="1" applyAlignment="1" applyProtection="1">
      <alignment wrapText="1"/>
      <protection locked="0"/>
    </xf>
    <xf numFmtId="1" fontId="28" fillId="0" borderId="1" xfId="0" applyNumberFormat="1" applyFont="1" applyBorder="1" applyAlignment="1" applyProtection="1">
      <alignment horizontal="center" vertical="center"/>
      <protection locked="0"/>
    </xf>
    <xf numFmtId="0" fontId="28" fillId="0" borderId="4" xfId="0" applyFont="1" applyBorder="1" applyAlignment="1" applyProtection="1">
      <alignment vertical="center" wrapText="1"/>
      <protection locked="0"/>
    </xf>
    <xf numFmtId="0" fontId="28" fillId="0" borderId="0" xfId="0" applyFont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167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7" fontId="0" fillId="0" borderId="0" xfId="0" applyNumberFormat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4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169" fontId="29" fillId="0" borderId="1" xfId="0" applyNumberFormat="1" applyFont="1" applyBorder="1" applyAlignment="1" applyProtection="1">
      <alignment horizontal="center" vertical="center"/>
      <protection locked="0"/>
    </xf>
    <xf numFmtId="0" fontId="30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 applyProtection="1">
      <alignment horizontal="center" vertical="center" wrapText="1"/>
      <protection locked="0"/>
    </xf>
    <xf numFmtId="10" fontId="0" fillId="0" borderId="1" xfId="48" applyNumberFormat="1" applyFont="1" applyBorder="1" applyAlignment="1" applyProtection="1">
      <alignment horizontal="center" vertical="center"/>
      <protection locked="0"/>
    </xf>
    <xf numFmtId="4" fontId="31" fillId="38" borderId="0" xfId="49" applyNumberFormat="1" applyFont="1" applyFill="1"/>
    <xf numFmtId="4" fontId="31" fillId="38" borderId="0" xfId="49" applyNumberFormat="1" applyFont="1" applyFill="1" applyAlignment="1">
      <alignment horizontal="center"/>
    </xf>
    <xf numFmtId="0" fontId="32" fillId="0" borderId="0" xfId="2" applyFont="1" applyAlignment="1">
      <alignment horizontal="center" vertical="center"/>
    </xf>
    <xf numFmtId="0" fontId="31" fillId="0" borderId="0" xfId="49" applyFont="1" applyAlignment="1">
      <alignment horizontal="center" vertical="center" wrapText="1"/>
    </xf>
    <xf numFmtId="0" fontId="31" fillId="0" borderId="0" xfId="2" applyFont="1" applyAlignment="1">
      <alignment horizontal="center" vertical="center"/>
    </xf>
    <xf numFmtId="0" fontId="33" fillId="38" borderId="0" xfId="2" applyFont="1" applyFill="1" applyAlignment="1">
      <alignment horizontal="left"/>
    </xf>
    <xf numFmtId="4" fontId="34" fillId="38" borderId="0" xfId="49" applyNumberFormat="1" applyFont="1" applyFill="1" applyAlignment="1">
      <alignment horizontal="left"/>
    </xf>
    <xf numFmtId="4" fontId="34" fillId="38" borderId="38" xfId="49" applyNumberFormat="1" applyFont="1" applyFill="1" applyBorder="1" applyAlignment="1">
      <alignment horizontal="left"/>
    </xf>
    <xf numFmtId="4" fontId="34" fillId="0" borderId="0" xfId="49" applyNumberFormat="1" applyFont="1" applyAlignment="1">
      <alignment horizontal="left"/>
    </xf>
    <xf numFmtId="0" fontId="32" fillId="38" borderId="37" xfId="2" applyFont="1" applyFill="1" applyBorder="1"/>
    <xf numFmtId="0" fontId="31" fillId="38" borderId="0" xfId="2" applyFont="1" applyFill="1" applyAlignment="1">
      <alignment horizontal="left"/>
    </xf>
    <xf numFmtId="17" fontId="31" fillId="38" borderId="0" xfId="2" applyNumberFormat="1" applyFont="1" applyFill="1" applyAlignment="1">
      <alignment horizontal="left"/>
    </xf>
    <xf numFmtId="0" fontId="33" fillId="38" borderId="0" xfId="2" applyFont="1" applyFill="1"/>
    <xf numFmtId="0" fontId="33" fillId="38" borderId="38" xfId="2" applyFont="1" applyFill="1" applyBorder="1"/>
    <xf numFmtId="0" fontId="33" fillId="0" borderId="0" xfId="2" applyFont="1"/>
    <xf numFmtId="0" fontId="32" fillId="38" borderId="39" xfId="49" applyFont="1" applyFill="1" applyBorder="1" applyAlignment="1">
      <alignment vertical="center" wrapText="1"/>
    </xf>
    <xf numFmtId="0" fontId="33" fillId="0" borderId="0" xfId="49" applyFont="1" applyAlignment="1">
      <alignment horizontal="left" vertical="center" wrapText="1"/>
    </xf>
    <xf numFmtId="0" fontId="31" fillId="38" borderId="0" xfId="49" applyFont="1" applyFill="1" applyAlignment="1">
      <alignment horizontal="center"/>
    </xf>
    <xf numFmtId="0" fontId="31" fillId="38" borderId="0" xfId="49" applyFont="1" applyFill="1"/>
    <xf numFmtId="0" fontId="32" fillId="38" borderId="0" xfId="49" applyFont="1" applyFill="1" applyAlignment="1">
      <alignment horizontal="left" vertical="center" wrapText="1"/>
    </xf>
    <xf numFmtId="0" fontId="31" fillId="0" borderId="0" xfId="49" applyFont="1"/>
    <xf numFmtId="4" fontId="32" fillId="0" borderId="0" xfId="49" applyNumberFormat="1" applyFont="1" applyAlignment="1">
      <alignment horizontal="center"/>
    </xf>
    <xf numFmtId="4" fontId="32" fillId="0" borderId="0" xfId="49" applyNumberFormat="1" applyFont="1" applyAlignment="1">
      <alignment horizontal="center" vertical="center"/>
    </xf>
    <xf numFmtId="0" fontId="31" fillId="38" borderId="1" xfId="50" applyFont="1" applyFill="1" applyBorder="1" applyAlignment="1">
      <alignment horizontal="center" vertical="center"/>
    </xf>
    <xf numFmtId="0" fontId="31" fillId="38" borderId="1" xfId="50" applyFont="1" applyFill="1" applyBorder="1" applyAlignment="1">
      <alignment horizontal="center" vertical="center" wrapText="1"/>
    </xf>
    <xf numFmtId="0" fontId="31" fillId="38" borderId="1" xfId="49" applyFont="1" applyFill="1" applyBorder="1" applyAlignment="1">
      <alignment vertical="center" wrapText="1"/>
    </xf>
    <xf numFmtId="170" fontId="31" fillId="38" borderId="1" xfId="50" applyNumberFormat="1" applyFont="1" applyFill="1" applyBorder="1" applyAlignment="1">
      <alignment horizontal="center" vertical="center" wrapText="1"/>
    </xf>
    <xf numFmtId="2" fontId="31" fillId="38" borderId="1" xfId="50" applyNumberFormat="1" applyFont="1" applyFill="1" applyBorder="1" applyAlignment="1">
      <alignment horizontal="center" vertical="center" wrapText="1"/>
    </xf>
    <xf numFmtId="4" fontId="31" fillId="0" borderId="0" xfId="49" applyNumberFormat="1" applyFont="1" applyAlignment="1">
      <alignment horizontal="center" vertical="center"/>
    </xf>
    <xf numFmtId="4" fontId="31" fillId="38" borderId="0" xfId="49" applyNumberFormat="1" applyFont="1" applyFill="1" applyAlignment="1">
      <alignment horizontal="center" vertical="center"/>
    </xf>
    <xf numFmtId="4" fontId="31" fillId="38" borderId="0" xfId="49" applyNumberFormat="1" applyFont="1" applyFill="1" applyAlignment="1">
      <alignment vertical="center"/>
    </xf>
    <xf numFmtId="0" fontId="31" fillId="38" borderId="1" xfId="2" applyFont="1" applyFill="1" applyBorder="1" applyAlignment="1">
      <alignment horizontal="left" vertical="center" wrapText="1"/>
    </xf>
    <xf numFmtId="0" fontId="31" fillId="0" borderId="1" xfId="50" applyFont="1" applyBorder="1" applyAlignment="1">
      <alignment horizontal="center" vertical="center"/>
    </xf>
    <xf numFmtId="0" fontId="31" fillId="38" borderId="1" xfId="0" applyFont="1" applyFill="1" applyBorder="1" applyAlignment="1">
      <alignment vertical="center" wrapText="1"/>
    </xf>
    <xf numFmtId="0" fontId="31" fillId="0" borderId="3" xfId="50" applyFont="1" applyBorder="1" applyAlignment="1">
      <alignment horizontal="center" vertical="center" wrapText="1"/>
    </xf>
    <xf numFmtId="0" fontId="31" fillId="0" borderId="1" xfId="50" applyFont="1" applyBorder="1" applyAlignment="1">
      <alignment horizontal="center" vertical="center" wrapText="1"/>
    </xf>
    <xf numFmtId="0" fontId="31" fillId="38" borderId="3" xfId="2" applyFont="1" applyFill="1" applyBorder="1" applyAlignment="1">
      <alignment horizontal="left" vertical="center" wrapText="1"/>
    </xf>
    <xf numFmtId="0" fontId="31" fillId="38" borderId="3" xfId="2" applyFont="1" applyFill="1" applyBorder="1" applyAlignment="1">
      <alignment horizontal="center" vertical="center"/>
    </xf>
    <xf numFmtId="2" fontId="31" fillId="38" borderId="3" xfId="50" applyNumberFormat="1" applyFont="1" applyFill="1" applyBorder="1" applyAlignment="1">
      <alignment horizontal="center" vertical="center" wrapText="1"/>
    </xf>
    <xf numFmtId="4" fontId="32" fillId="38" borderId="13" xfId="49" applyNumberFormat="1" applyFont="1" applyFill="1" applyBorder="1" applyAlignment="1">
      <alignment horizontal="center"/>
    </xf>
    <xf numFmtId="4" fontId="32" fillId="38" borderId="0" xfId="49" applyNumberFormat="1" applyFont="1" applyFill="1" applyAlignment="1">
      <alignment horizontal="center"/>
    </xf>
    <xf numFmtId="4" fontId="31" fillId="0" borderId="0" xfId="49" applyNumberFormat="1" applyFont="1"/>
    <xf numFmtId="0" fontId="31" fillId="38" borderId="3" xfId="50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/>
    </xf>
    <xf numFmtId="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1" xfId="0" applyBorder="1" applyAlignment="1" applyProtection="1">
      <alignment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8" fontId="4" fillId="0" borderId="1" xfId="0" applyNumberFormat="1" applyFont="1" applyBorder="1" applyAlignment="1" applyProtection="1">
      <alignment horizontal="center" vertical="center"/>
      <protection locked="0"/>
    </xf>
    <xf numFmtId="168" fontId="0" fillId="0" borderId="0" xfId="0" applyNumberFormat="1" applyAlignment="1" applyProtection="1">
      <alignment horizontal="center" vertical="center" wrapText="1"/>
      <protection locked="0"/>
    </xf>
    <xf numFmtId="0" fontId="3" fillId="3" borderId="7" xfId="0" applyFont="1" applyFill="1" applyBorder="1" applyAlignment="1">
      <alignment horizontal="center" vertical="center"/>
    </xf>
    <xf numFmtId="1" fontId="4" fillId="3" borderId="10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4" fontId="4" fillId="3" borderId="1" xfId="0" applyNumberFormat="1" applyFont="1" applyFill="1" applyBorder="1" applyAlignment="1">
      <alignment horizontal="center" vertical="center"/>
    </xf>
    <xf numFmtId="4" fontId="4" fillId="3" borderId="1" xfId="0" applyNumberFormat="1" applyFont="1" applyFill="1" applyBorder="1" applyAlignment="1" applyProtection="1">
      <alignment horizontal="center" vertical="center"/>
      <protection locked="0"/>
    </xf>
    <xf numFmtId="1" fontId="0" fillId="3" borderId="1" xfId="0" applyNumberFormat="1" applyFill="1" applyBorder="1" applyAlignment="1">
      <alignment horizontal="center" vertical="center"/>
    </xf>
    <xf numFmtId="1" fontId="0" fillId="3" borderId="1" xfId="0" applyNumberFormat="1" applyFill="1" applyBorder="1" applyAlignment="1" applyProtection="1">
      <alignment horizontal="center" vertical="center"/>
      <protection locked="0"/>
    </xf>
    <xf numFmtId="168" fontId="4" fillId="3" borderId="1" xfId="0" applyNumberFormat="1" applyFont="1" applyFill="1" applyBorder="1" applyProtection="1">
      <protection locked="0"/>
    </xf>
    <xf numFmtId="0" fontId="28" fillId="0" borderId="0" xfId="0" applyFont="1"/>
    <xf numFmtId="0" fontId="28" fillId="0" borderId="0" xfId="0" applyFont="1" applyAlignment="1">
      <alignment wrapText="1"/>
    </xf>
    <xf numFmtId="0" fontId="28" fillId="0" borderId="0" xfId="0" applyFont="1" applyAlignment="1">
      <alignment horizontal="center" vertical="center"/>
    </xf>
    <xf numFmtId="0" fontId="36" fillId="3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wrapText="1"/>
    </xf>
    <xf numFmtId="164" fontId="28" fillId="0" borderId="1" xfId="0" applyNumberFormat="1" applyFont="1" applyBorder="1" applyAlignment="1">
      <alignment horizontal="center" vertical="center"/>
    </xf>
    <xf numFmtId="0" fontId="40" fillId="0" borderId="0" xfId="0" applyFont="1"/>
    <xf numFmtId="0" fontId="40" fillId="0" borderId="0" xfId="0" applyFont="1" applyAlignment="1">
      <alignment vertical="center" wrapText="1"/>
    </xf>
    <xf numFmtId="0" fontId="11" fillId="0" borderId="0" xfId="0" applyFont="1"/>
    <xf numFmtId="0" fontId="41" fillId="0" borderId="0" xfId="0" applyFont="1" applyAlignment="1">
      <alignment horizontal="center" vertical="center" wrapText="1"/>
    </xf>
    <xf numFmtId="0" fontId="45" fillId="0" borderId="0" xfId="0" applyFont="1"/>
    <xf numFmtId="0" fontId="41" fillId="0" borderId="55" xfId="0" applyFont="1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10" fontId="0" fillId="0" borderId="54" xfId="48" applyNumberFormat="1" applyFont="1" applyBorder="1" applyAlignment="1" applyProtection="1">
      <alignment horizontal="center" vertical="center"/>
    </xf>
    <xf numFmtId="0" fontId="0" fillId="0" borderId="54" xfId="0" applyBorder="1" applyAlignment="1">
      <alignment horizontal="center" vertical="center"/>
    </xf>
    <xf numFmtId="10" fontId="0" fillId="0" borderId="33" xfId="48" applyNumberFormat="1" applyFont="1" applyBorder="1" applyAlignment="1" applyProtection="1">
      <alignment horizontal="center" vertical="center"/>
    </xf>
    <xf numFmtId="171" fontId="0" fillId="0" borderId="0" xfId="0" applyNumberFormat="1"/>
    <xf numFmtId="0" fontId="0" fillId="0" borderId="0" xfId="0" applyAlignment="1">
      <alignment horizontal="center" vertical="center" wrapText="1"/>
    </xf>
    <xf numFmtId="10" fontId="41" fillId="0" borderId="13" xfId="0" applyNumberFormat="1" applyFont="1" applyBorder="1" applyAlignment="1">
      <alignment horizontal="center" vertical="center"/>
    </xf>
    <xf numFmtId="10" fontId="41" fillId="40" borderId="13" xfId="0" applyNumberFormat="1" applyFont="1" applyFill="1" applyBorder="1" applyAlignment="1" applyProtection="1">
      <alignment horizontal="center" vertical="center"/>
      <protection locked="0"/>
    </xf>
    <xf numFmtId="10" fontId="41" fillId="0" borderId="13" xfId="48" applyNumberFormat="1" applyFont="1" applyFill="1" applyBorder="1" applyAlignment="1" applyProtection="1">
      <alignment horizontal="center" vertical="center"/>
    </xf>
    <xf numFmtId="10" fontId="41" fillId="0" borderId="0" xfId="48" applyNumberFormat="1" applyFont="1" applyFill="1" applyBorder="1" applyAlignment="1" applyProtection="1">
      <alignment horizontal="center" vertical="center"/>
    </xf>
    <xf numFmtId="0" fontId="0" fillId="0" borderId="0" xfId="0" applyAlignment="1">
      <alignment vertical="top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3" xfId="0" applyBorder="1"/>
    <xf numFmtId="0" fontId="48" fillId="0" borderId="3" xfId="0" applyFont="1" applyBorder="1"/>
    <xf numFmtId="0" fontId="49" fillId="0" borderId="57" xfId="0" applyFont="1" applyBorder="1" applyAlignment="1">
      <alignment horizontal="center" vertical="center" wrapText="1"/>
    </xf>
    <xf numFmtId="0" fontId="49" fillId="0" borderId="58" xfId="0" applyFont="1" applyBorder="1" applyAlignment="1">
      <alignment horizontal="left" vertical="center" wrapText="1"/>
    </xf>
    <xf numFmtId="0" fontId="49" fillId="0" borderId="58" xfId="0" applyFont="1" applyBorder="1" applyAlignment="1">
      <alignment horizontal="center" vertical="center" wrapText="1"/>
    </xf>
    <xf numFmtId="0" fontId="49" fillId="0" borderId="59" xfId="0" applyFont="1" applyBorder="1" applyAlignment="1">
      <alignment horizontal="justify" vertical="center" wrapText="1"/>
    </xf>
    <xf numFmtId="0" fontId="49" fillId="0" borderId="60" xfId="0" applyFont="1" applyBorder="1" applyAlignment="1">
      <alignment horizontal="center" vertical="center" wrapText="1"/>
    </xf>
    <xf numFmtId="0" fontId="49" fillId="0" borderId="61" xfId="0" applyFont="1" applyBorder="1" applyAlignment="1">
      <alignment horizontal="left" vertical="center" wrapText="1"/>
    </xf>
    <xf numFmtId="0" fontId="49" fillId="0" borderId="61" xfId="0" applyFont="1" applyBorder="1" applyAlignment="1">
      <alignment horizontal="center" vertical="center" wrapText="1"/>
    </xf>
    <xf numFmtId="0" fontId="49" fillId="0" borderId="62" xfId="0" applyFont="1" applyBorder="1" applyAlignment="1">
      <alignment horizontal="justify" vertical="center" wrapText="1"/>
    </xf>
    <xf numFmtId="0" fontId="50" fillId="0" borderId="61" xfId="0" applyFont="1" applyBorder="1" applyAlignment="1">
      <alignment horizontal="left" vertical="center" wrapText="1"/>
    </xf>
    <xf numFmtId="0" fontId="50" fillId="0" borderId="61" xfId="0" applyFont="1" applyBorder="1" applyAlignment="1">
      <alignment horizontal="center" vertical="center" wrapText="1"/>
    </xf>
    <xf numFmtId="0" fontId="50" fillId="0" borderId="62" xfId="0" applyFont="1" applyBorder="1" applyAlignment="1">
      <alignment horizontal="justify" vertical="center" wrapText="1"/>
    </xf>
    <xf numFmtId="0" fontId="49" fillId="0" borderId="63" xfId="0" applyFont="1" applyBorder="1" applyAlignment="1">
      <alignment horizontal="center" vertical="center" wrapText="1"/>
    </xf>
    <xf numFmtId="0" fontId="49" fillId="0" borderId="64" xfId="0" applyFont="1" applyBorder="1" applyAlignment="1">
      <alignment horizontal="left" vertical="center" wrapText="1"/>
    </xf>
    <xf numFmtId="0" fontId="49" fillId="0" borderId="64" xfId="0" applyFont="1" applyBorder="1" applyAlignment="1">
      <alignment horizontal="center" vertical="center" wrapText="1"/>
    </xf>
    <xf numFmtId="0" fontId="49" fillId="0" borderId="66" xfId="0" applyFont="1" applyBorder="1" applyAlignment="1">
      <alignment horizontal="justify" vertical="center" wrapText="1"/>
    </xf>
    <xf numFmtId="0" fontId="50" fillId="0" borderId="60" xfId="0" applyFont="1" applyBorder="1" applyAlignment="1">
      <alignment horizontal="center" vertical="center" wrapText="1"/>
    </xf>
    <xf numFmtId="0" fontId="49" fillId="0" borderId="65" xfId="0" applyFont="1" applyBorder="1" applyAlignment="1">
      <alignment horizontal="left" vertical="center" wrapText="1"/>
    </xf>
    <xf numFmtId="0" fontId="49" fillId="0" borderId="65" xfId="0" applyFont="1" applyBorder="1" applyAlignment="1">
      <alignment horizontal="center" vertical="center" wrapText="1"/>
    </xf>
    <xf numFmtId="0" fontId="52" fillId="0" borderId="3" xfId="0" applyFont="1" applyBorder="1" applyAlignment="1">
      <alignment horizontal="center"/>
    </xf>
    <xf numFmtId="0" fontId="52" fillId="0" borderId="3" xfId="0" applyFont="1" applyBorder="1" applyAlignment="1">
      <alignment horizontal="center" wrapText="1"/>
    </xf>
    <xf numFmtId="4" fontId="4" fillId="3" borderId="1" xfId="0" applyNumberFormat="1" applyFont="1" applyFill="1" applyBorder="1" applyAlignment="1">
      <alignment wrapText="1"/>
    </xf>
    <xf numFmtId="4" fontId="4" fillId="3" borderId="1" xfId="0" applyNumberFormat="1" applyFont="1" applyFill="1" applyBorder="1" applyAlignment="1" applyProtection="1">
      <alignment wrapText="1"/>
      <protection locked="0"/>
    </xf>
    <xf numFmtId="0" fontId="0" fillId="0" borderId="1" xfId="0" applyBorder="1" applyAlignment="1">
      <alignment horizontal="center" vertical="top" wrapText="1"/>
    </xf>
    <xf numFmtId="0" fontId="58" fillId="0" borderId="1" xfId="0" applyFont="1" applyBorder="1" applyAlignment="1">
      <alignment horizontal="center" vertical="top" wrapText="1"/>
    </xf>
    <xf numFmtId="0" fontId="58" fillId="0" borderId="1" xfId="0" applyFont="1" applyBorder="1" applyAlignment="1">
      <alignment horizontal="left" vertical="top" wrapText="1"/>
    </xf>
    <xf numFmtId="10" fontId="60" fillId="0" borderId="1" xfId="0" applyNumberFormat="1" applyFont="1" applyBorder="1" applyAlignment="1">
      <alignment horizontal="left" vertical="top" indent="2" shrinkToFit="1"/>
    </xf>
    <xf numFmtId="10" fontId="60" fillId="0" borderId="1" xfId="0" applyNumberFormat="1" applyFont="1" applyBorder="1" applyAlignment="1">
      <alignment horizontal="center" vertical="top" shrinkToFit="1"/>
    </xf>
    <xf numFmtId="0" fontId="58" fillId="43" borderId="1" xfId="0" applyFont="1" applyFill="1" applyBorder="1" applyAlignment="1">
      <alignment horizontal="center" vertical="top" wrapText="1"/>
    </xf>
    <xf numFmtId="0" fontId="58" fillId="43" borderId="1" xfId="0" applyFont="1" applyFill="1" applyBorder="1" applyAlignment="1">
      <alignment horizontal="left" vertical="top" wrapText="1"/>
    </xf>
    <xf numFmtId="10" fontId="60" fillId="43" borderId="1" xfId="0" applyNumberFormat="1" applyFont="1" applyFill="1" applyBorder="1" applyAlignment="1">
      <alignment horizontal="left" vertical="top" indent="2" shrinkToFit="1"/>
    </xf>
    <xf numFmtId="10" fontId="60" fillId="43" borderId="1" xfId="0" applyNumberFormat="1" applyFont="1" applyFill="1" applyBorder="1" applyAlignment="1">
      <alignment horizontal="center" vertical="top" shrinkToFit="1"/>
    </xf>
    <xf numFmtId="0" fontId="55" fillId="43" borderId="1" xfId="0" applyFont="1" applyFill="1" applyBorder="1" applyAlignment="1">
      <alignment horizontal="center" vertical="top" wrapText="1"/>
    </xf>
    <xf numFmtId="10" fontId="61" fillId="43" borderId="1" xfId="0" applyNumberFormat="1" applyFont="1" applyFill="1" applyBorder="1" applyAlignment="1">
      <alignment horizontal="left" vertical="top" indent="2" shrinkToFit="1"/>
    </xf>
    <xf numFmtId="10" fontId="61" fillId="43" borderId="1" xfId="0" applyNumberFormat="1" applyFont="1" applyFill="1" applyBorder="1" applyAlignment="1">
      <alignment horizontal="center" vertical="top" shrinkToFit="1"/>
    </xf>
    <xf numFmtId="0" fontId="55" fillId="0" borderId="1" xfId="0" applyFont="1" applyBorder="1" applyAlignment="1">
      <alignment horizontal="center" vertical="top" wrapText="1"/>
    </xf>
    <xf numFmtId="10" fontId="61" fillId="0" borderId="1" xfId="0" applyNumberFormat="1" applyFont="1" applyBorder="1" applyAlignment="1">
      <alignment horizontal="left" vertical="top" indent="2" shrinkToFit="1"/>
    </xf>
    <xf numFmtId="0" fontId="58" fillId="43" borderId="1" xfId="0" applyFont="1" applyFill="1" applyBorder="1" applyAlignment="1">
      <alignment horizontal="center" vertical="center" wrapText="1"/>
    </xf>
    <xf numFmtId="0" fontId="0" fillId="43" borderId="1" xfId="0" applyFill="1" applyBorder="1" applyAlignment="1">
      <alignment horizontal="left" vertical="top" wrapText="1"/>
    </xf>
    <xf numFmtId="10" fontId="60" fillId="43" borderId="1" xfId="0" applyNumberFormat="1" applyFont="1" applyFill="1" applyBorder="1" applyAlignment="1">
      <alignment horizontal="left" vertical="center" indent="2" shrinkToFit="1"/>
    </xf>
    <xf numFmtId="10" fontId="60" fillId="43" borderId="1" xfId="0" applyNumberFormat="1" applyFont="1" applyFill="1" applyBorder="1" applyAlignment="1">
      <alignment horizontal="center" vertical="center" shrinkToFit="1"/>
    </xf>
    <xf numFmtId="10" fontId="62" fillId="41" borderId="1" xfId="0" applyNumberFormat="1" applyFont="1" applyFill="1" applyBorder="1" applyAlignment="1">
      <alignment horizontal="center" vertical="top" shrinkToFit="1"/>
    </xf>
    <xf numFmtId="0" fontId="55" fillId="0" borderId="0" xfId="0" applyFont="1" applyAlignment="1">
      <alignment horizontal="center" vertical="top" wrapText="1"/>
    </xf>
    <xf numFmtId="10" fontId="62" fillId="0" borderId="0" xfId="0" applyNumberFormat="1" applyFont="1" applyAlignment="1">
      <alignment horizontal="center" vertical="top" shrinkToFit="1"/>
    </xf>
    <xf numFmtId="0" fontId="63" fillId="0" borderId="0" xfId="0" applyFont="1"/>
    <xf numFmtId="0" fontId="31" fillId="0" borderId="39" xfId="2" applyFont="1" applyBorder="1" applyAlignment="1">
      <alignment vertical="center"/>
    </xf>
    <xf numFmtId="0" fontId="31" fillId="0" borderId="40" xfId="2" applyFont="1" applyBorder="1" applyAlignment="1">
      <alignment vertical="center"/>
    </xf>
    <xf numFmtId="0" fontId="31" fillId="0" borderId="41" xfId="2" applyFont="1" applyBorder="1" applyAlignment="1">
      <alignment vertical="center"/>
    </xf>
    <xf numFmtId="0" fontId="1" fillId="2" borderId="6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1" fontId="12" fillId="0" borderId="8" xfId="0" applyNumberFormat="1" applyFont="1" applyBorder="1" applyAlignment="1">
      <alignment horizontal="center"/>
    </xf>
    <xf numFmtId="1" fontId="12" fillId="0" borderId="9" xfId="0" applyNumberFormat="1" applyFont="1" applyBorder="1" applyAlignment="1">
      <alignment horizontal="center"/>
    </xf>
    <xf numFmtId="1" fontId="12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/>
    </xf>
    <xf numFmtId="0" fontId="38" fillId="0" borderId="49" xfId="0" applyFont="1" applyBorder="1" applyAlignment="1">
      <alignment horizontal="center" vertical="center" wrapText="1"/>
    </xf>
    <xf numFmtId="0" fontId="38" fillId="0" borderId="50" xfId="0" applyFont="1" applyBorder="1" applyAlignment="1">
      <alignment horizontal="center" vertical="center" wrapText="1"/>
    </xf>
    <xf numFmtId="0" fontId="39" fillId="40" borderId="49" xfId="0" applyFont="1" applyFill="1" applyBorder="1" applyAlignment="1" applyProtection="1">
      <alignment horizontal="center" vertical="center" wrapText="1"/>
      <protection locked="0"/>
    </xf>
    <xf numFmtId="0" fontId="39" fillId="40" borderId="50" xfId="0" applyFont="1" applyFill="1" applyBorder="1" applyAlignment="1" applyProtection="1">
      <alignment horizontal="center" vertical="center" wrapText="1"/>
      <protection locked="0"/>
    </xf>
    <xf numFmtId="0" fontId="39" fillId="40" borderId="51" xfId="0" applyFont="1" applyFill="1" applyBorder="1" applyAlignment="1" applyProtection="1">
      <alignment horizontal="center" vertical="center" wrapText="1"/>
      <protection locked="0"/>
    </xf>
    <xf numFmtId="0" fontId="37" fillId="0" borderId="0" xfId="0" applyFont="1" applyAlignment="1">
      <alignment horizontal="center"/>
    </xf>
    <xf numFmtId="0" fontId="38" fillId="0" borderId="44" xfId="0" applyFont="1" applyBorder="1" applyAlignment="1">
      <alignment horizontal="center" vertical="center" wrapText="1"/>
    </xf>
    <xf numFmtId="0" fontId="38" fillId="0" borderId="45" xfId="0" applyFont="1" applyBorder="1" applyAlignment="1">
      <alignment horizontal="center" vertical="center" wrapText="1"/>
    </xf>
    <xf numFmtId="0" fontId="39" fillId="40" borderId="44" xfId="0" applyFont="1" applyFill="1" applyBorder="1" applyAlignment="1" applyProtection="1">
      <alignment horizontal="center" vertical="center"/>
      <protection locked="0"/>
    </xf>
    <xf numFmtId="0" fontId="39" fillId="40" borderId="45" xfId="0" applyFont="1" applyFill="1" applyBorder="1" applyAlignment="1" applyProtection="1">
      <alignment horizontal="center" vertical="center"/>
      <protection locked="0"/>
    </xf>
    <xf numFmtId="0" fontId="39" fillId="40" borderId="46" xfId="0" applyFont="1" applyFill="1" applyBorder="1" applyAlignment="1" applyProtection="1">
      <alignment horizontal="center" vertical="center"/>
      <protection locked="0"/>
    </xf>
    <xf numFmtId="0" fontId="38" fillId="0" borderId="47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 wrapText="1"/>
    </xf>
    <xf numFmtId="0" fontId="39" fillId="40" borderId="47" xfId="0" applyFont="1" applyFill="1" applyBorder="1" applyAlignment="1" applyProtection="1">
      <alignment horizontal="center" vertical="center" wrapText="1"/>
      <protection locked="0"/>
    </xf>
    <xf numFmtId="0" fontId="39" fillId="40" borderId="5" xfId="0" applyFont="1" applyFill="1" applyBorder="1" applyAlignment="1" applyProtection="1">
      <alignment horizontal="center" vertical="center" wrapText="1"/>
      <protection locked="0"/>
    </xf>
    <xf numFmtId="0" fontId="39" fillId="40" borderId="48" xfId="0" applyFont="1" applyFill="1" applyBorder="1" applyAlignment="1" applyProtection="1">
      <alignment horizontal="center" vertical="center" wrapText="1"/>
      <protection locked="0"/>
    </xf>
    <xf numFmtId="0" fontId="41" fillId="0" borderId="6" xfId="0" applyFont="1" applyBorder="1" applyAlignment="1">
      <alignment horizontal="center" vertical="center" wrapText="1"/>
    </xf>
    <xf numFmtId="0" fontId="41" fillId="0" borderId="7" xfId="0" applyFont="1" applyBorder="1" applyAlignment="1">
      <alignment horizontal="center" vertical="center" wrapText="1"/>
    </xf>
    <xf numFmtId="0" fontId="41" fillId="0" borderId="52" xfId="0" applyFont="1" applyBorder="1" applyAlignment="1">
      <alignment horizontal="center" vertical="center" wrapText="1"/>
    </xf>
    <xf numFmtId="0" fontId="41" fillId="0" borderId="53" xfId="0" applyFont="1" applyBorder="1" applyAlignment="1">
      <alignment horizontal="center" vertical="center" wrapText="1"/>
    </xf>
    <xf numFmtId="0" fontId="41" fillId="0" borderId="54" xfId="0" applyFont="1" applyBorder="1" applyAlignment="1">
      <alignment horizontal="center" vertical="center" wrapText="1"/>
    </xf>
    <xf numFmtId="0" fontId="41" fillId="0" borderId="33" xfId="0" applyFont="1" applyBorder="1" applyAlignment="1">
      <alignment horizontal="center" vertical="center" wrapText="1"/>
    </xf>
    <xf numFmtId="0" fontId="42" fillId="0" borderId="6" xfId="0" applyFont="1" applyBorder="1" applyAlignment="1">
      <alignment horizontal="center" vertical="center" wrapText="1"/>
    </xf>
    <xf numFmtId="0" fontId="42" fillId="0" borderId="7" xfId="0" applyFont="1" applyBorder="1" applyAlignment="1">
      <alignment horizontal="center" vertical="center" wrapText="1"/>
    </xf>
    <xf numFmtId="0" fontId="42" fillId="0" borderId="52" xfId="0" applyFont="1" applyBorder="1" applyAlignment="1">
      <alignment horizontal="center" vertical="center" wrapText="1"/>
    </xf>
    <xf numFmtId="0" fontId="42" fillId="0" borderId="14" xfId="0" applyFont="1" applyBorder="1" applyAlignment="1">
      <alignment horizontal="center" vertical="center" wrapText="1"/>
    </xf>
    <xf numFmtId="0" fontId="42" fillId="0" borderId="0" xfId="0" applyFont="1" applyAlignment="1">
      <alignment horizontal="center" vertical="center" wrapText="1"/>
    </xf>
    <xf numFmtId="0" fontId="42" fillId="0" borderId="15" xfId="0" applyFont="1" applyBorder="1" applyAlignment="1">
      <alignment horizontal="center" vertical="center" wrapText="1"/>
    </xf>
    <xf numFmtId="0" fontId="42" fillId="0" borderId="53" xfId="0" applyFont="1" applyBorder="1" applyAlignment="1">
      <alignment horizontal="center" vertical="center" wrapText="1"/>
    </xf>
    <xf numFmtId="0" fontId="42" fillId="0" borderId="54" xfId="0" applyFont="1" applyBorder="1" applyAlignment="1">
      <alignment horizontal="center" vertical="center" wrapText="1"/>
    </xf>
    <xf numFmtId="0" fontId="42" fillId="0" borderId="33" xfId="0" applyFont="1" applyBorder="1" applyAlignment="1">
      <alignment horizontal="center" vertical="center" wrapText="1"/>
    </xf>
    <xf numFmtId="0" fontId="0" fillId="40" borderId="6" xfId="0" applyFill="1" applyBorder="1" applyAlignment="1" applyProtection="1">
      <alignment horizontal="center" vertical="center" wrapText="1"/>
      <protection locked="0"/>
    </xf>
    <xf numFmtId="0" fontId="0" fillId="40" borderId="7" xfId="0" applyFill="1" applyBorder="1" applyAlignment="1" applyProtection="1">
      <alignment horizontal="center" vertical="center" wrapText="1"/>
      <protection locked="0"/>
    </xf>
    <xf numFmtId="0" fontId="0" fillId="40" borderId="52" xfId="0" applyFill="1" applyBorder="1" applyAlignment="1" applyProtection="1">
      <alignment horizontal="center" vertical="center" wrapText="1"/>
      <protection locked="0"/>
    </xf>
    <xf numFmtId="0" fontId="0" fillId="40" borderId="14" xfId="0" applyFill="1" applyBorder="1" applyAlignment="1" applyProtection="1">
      <alignment horizontal="center" vertical="center" wrapText="1"/>
      <protection locked="0"/>
    </xf>
    <xf numFmtId="0" fontId="0" fillId="40" borderId="0" xfId="0" applyFill="1" applyAlignment="1" applyProtection="1">
      <alignment horizontal="center" vertical="center" wrapText="1"/>
      <protection locked="0"/>
    </xf>
    <xf numFmtId="0" fontId="0" fillId="40" borderId="15" xfId="0" applyFill="1" applyBorder="1" applyAlignment="1" applyProtection="1">
      <alignment horizontal="center" vertical="center" wrapText="1"/>
      <protection locked="0"/>
    </xf>
    <xf numFmtId="0" fontId="0" fillId="40" borderId="53" xfId="0" applyFill="1" applyBorder="1" applyAlignment="1" applyProtection="1">
      <alignment horizontal="center" vertical="center" wrapText="1"/>
      <protection locked="0"/>
    </xf>
    <xf numFmtId="0" fontId="0" fillId="40" borderId="54" xfId="0" applyFill="1" applyBorder="1" applyAlignment="1" applyProtection="1">
      <alignment horizontal="center" vertical="center" wrapText="1"/>
      <protection locked="0"/>
    </xf>
    <xf numFmtId="0" fontId="0" fillId="40" borderId="33" xfId="0" applyFill="1" applyBorder="1" applyAlignment="1" applyProtection="1">
      <alignment horizontal="center" vertical="center" wrapText="1"/>
      <protection locked="0"/>
    </xf>
    <xf numFmtId="0" fontId="39" fillId="0" borderId="14" xfId="0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 wrapText="1"/>
    </xf>
    <xf numFmtId="0" fontId="39" fillId="0" borderId="15" xfId="0" applyFont="1" applyBorder="1" applyAlignment="1">
      <alignment horizontal="center" vertical="center" wrapText="1"/>
    </xf>
    <xf numFmtId="0" fontId="39" fillId="0" borderId="53" xfId="0" applyFont="1" applyBorder="1" applyAlignment="1">
      <alignment horizontal="center" vertical="center" wrapText="1"/>
    </xf>
    <xf numFmtId="0" fontId="39" fillId="0" borderId="54" xfId="0" applyFont="1" applyBorder="1" applyAlignment="1">
      <alignment horizontal="center" vertical="center" wrapText="1"/>
    </xf>
    <xf numFmtId="0" fontId="39" fillId="0" borderId="33" xfId="0" applyFont="1" applyBorder="1" applyAlignment="1">
      <alignment horizontal="center" vertical="center" wrapText="1"/>
    </xf>
    <xf numFmtId="0" fontId="41" fillId="0" borderId="14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0" fontId="41" fillId="0" borderId="15" xfId="0" applyFont="1" applyBorder="1" applyAlignment="1">
      <alignment horizontal="center" vertical="center" wrapText="1"/>
    </xf>
    <xf numFmtId="0" fontId="0" fillId="40" borderId="14" xfId="0" applyFill="1" applyBorder="1" applyAlignment="1" applyProtection="1">
      <alignment horizontal="center" vertical="center"/>
      <protection locked="0"/>
    </xf>
    <xf numFmtId="0" fontId="0" fillId="40" borderId="0" xfId="0" applyFill="1" applyAlignment="1" applyProtection="1">
      <alignment horizontal="center" vertical="center"/>
      <protection locked="0"/>
    </xf>
    <xf numFmtId="0" fontId="0" fillId="40" borderId="15" xfId="0" applyFill="1" applyBorder="1" applyAlignment="1" applyProtection="1">
      <alignment horizontal="center" vertical="center"/>
      <protection locked="0"/>
    </xf>
    <xf numFmtId="0" fontId="0" fillId="40" borderId="53" xfId="0" applyFill="1" applyBorder="1" applyAlignment="1" applyProtection="1">
      <alignment horizontal="center" vertical="center"/>
      <protection locked="0"/>
    </xf>
    <xf numFmtId="0" fontId="0" fillId="40" borderId="54" xfId="0" applyFill="1" applyBorder="1" applyAlignment="1" applyProtection="1">
      <alignment horizontal="center" vertical="center"/>
      <protection locked="0"/>
    </xf>
    <xf numFmtId="0" fontId="0" fillId="40" borderId="33" xfId="0" applyFill="1" applyBorder="1" applyAlignment="1" applyProtection="1">
      <alignment horizontal="center" vertical="center"/>
      <protection locked="0"/>
    </xf>
    <xf numFmtId="0" fontId="43" fillId="0" borderId="14" xfId="0" applyFont="1" applyBorder="1" applyAlignment="1">
      <alignment horizontal="center" vertical="center" wrapText="1"/>
    </xf>
    <xf numFmtId="0" fontId="43" fillId="0" borderId="0" xfId="0" applyFont="1" applyAlignment="1">
      <alignment horizontal="center" vertical="center" wrapText="1"/>
    </xf>
    <xf numFmtId="0" fontId="43" fillId="0" borderId="15" xfId="0" applyFont="1" applyBorder="1" applyAlignment="1">
      <alignment horizontal="center" vertical="center" wrapText="1"/>
    </xf>
    <xf numFmtId="0" fontId="43" fillId="0" borderId="54" xfId="0" applyFont="1" applyBorder="1" applyAlignment="1">
      <alignment horizontal="center" vertical="center" wrapText="1"/>
    </xf>
    <xf numFmtId="0" fontId="43" fillId="0" borderId="33" xfId="0" applyFont="1" applyBorder="1" applyAlignment="1">
      <alignment horizontal="center" vertical="center" wrapText="1"/>
    </xf>
    <xf numFmtId="10" fontId="44" fillId="0" borderId="6" xfId="0" applyNumberFormat="1" applyFont="1" applyBorder="1" applyAlignment="1">
      <alignment horizontal="center" vertical="center" wrapText="1"/>
    </xf>
    <xf numFmtId="10" fontId="44" fillId="0" borderId="7" xfId="0" applyNumberFormat="1" applyFont="1" applyBorder="1" applyAlignment="1">
      <alignment horizontal="center" vertical="center" wrapText="1"/>
    </xf>
    <xf numFmtId="10" fontId="44" fillId="0" borderId="52" xfId="0" applyNumberFormat="1" applyFont="1" applyBorder="1" applyAlignment="1">
      <alignment horizontal="center" vertical="center" wrapText="1"/>
    </xf>
    <xf numFmtId="10" fontId="44" fillId="0" borderId="14" xfId="0" applyNumberFormat="1" applyFont="1" applyBorder="1" applyAlignment="1">
      <alignment horizontal="center" vertical="center" wrapText="1"/>
    </xf>
    <xf numFmtId="10" fontId="44" fillId="0" borderId="0" xfId="0" applyNumberFormat="1" applyFont="1" applyAlignment="1">
      <alignment horizontal="center" vertical="center" wrapText="1"/>
    </xf>
    <xf numFmtId="10" fontId="44" fillId="0" borderId="15" xfId="0" applyNumberFormat="1" applyFont="1" applyBorder="1" applyAlignment="1">
      <alignment horizontal="center" vertical="center" wrapText="1"/>
    </xf>
    <xf numFmtId="10" fontId="44" fillId="0" borderId="53" xfId="0" applyNumberFormat="1" applyFont="1" applyBorder="1" applyAlignment="1">
      <alignment horizontal="center" vertical="center" wrapText="1"/>
    </xf>
    <xf numFmtId="10" fontId="44" fillId="0" borderId="54" xfId="0" applyNumberFormat="1" applyFont="1" applyBorder="1" applyAlignment="1">
      <alignment horizontal="center" vertical="center" wrapText="1"/>
    </xf>
    <xf numFmtId="10" fontId="44" fillId="0" borderId="33" xfId="0" applyNumberFormat="1" applyFont="1" applyBorder="1" applyAlignment="1">
      <alignment horizontal="center" vertical="center" wrapText="1"/>
    </xf>
    <xf numFmtId="0" fontId="41" fillId="0" borderId="9" xfId="0" applyFont="1" applyBorder="1" applyAlignment="1">
      <alignment horizontal="center"/>
    </xf>
    <xf numFmtId="0" fontId="41" fillId="0" borderId="10" xfId="0" applyFont="1" applyBorder="1" applyAlignment="1">
      <alignment horizontal="center"/>
    </xf>
    <xf numFmtId="0" fontId="39" fillId="0" borderId="6" xfId="0" applyFont="1" applyBorder="1" applyAlignment="1">
      <alignment horizontal="center" vertical="center" wrapText="1"/>
    </xf>
    <xf numFmtId="0" fontId="39" fillId="0" borderId="7" xfId="0" applyFont="1" applyBorder="1" applyAlignment="1">
      <alignment horizontal="center" vertical="center" wrapText="1"/>
    </xf>
    <xf numFmtId="0" fontId="39" fillId="0" borderId="52" xfId="0" applyFont="1" applyBorder="1" applyAlignment="1">
      <alignment horizontal="center" vertical="center" wrapText="1"/>
    </xf>
    <xf numFmtId="0" fontId="41" fillId="0" borderId="53" xfId="0" applyFont="1" applyBorder="1" applyAlignment="1">
      <alignment horizontal="center" vertical="center"/>
    </xf>
    <xf numFmtId="0" fontId="41" fillId="0" borderId="54" xfId="0" applyFont="1" applyBorder="1" applyAlignment="1">
      <alignment horizontal="center" vertical="center"/>
    </xf>
    <xf numFmtId="0" fontId="41" fillId="0" borderId="33" xfId="0" applyFont="1" applyBorder="1" applyAlignment="1">
      <alignment horizontal="center" vertical="center"/>
    </xf>
    <xf numFmtId="0" fontId="41" fillId="0" borderId="6" xfId="0" applyFont="1" applyBorder="1" applyAlignment="1">
      <alignment horizontal="center" vertical="center"/>
    </xf>
    <xf numFmtId="0" fontId="41" fillId="0" borderId="52" xfId="0" applyFont="1" applyBorder="1" applyAlignment="1">
      <alignment horizontal="center" vertical="center"/>
    </xf>
    <xf numFmtId="10" fontId="41" fillId="40" borderId="52" xfId="0" applyNumberFormat="1" applyFont="1" applyFill="1" applyBorder="1" applyAlignment="1" applyProtection="1">
      <alignment horizontal="center" vertical="center"/>
      <protection locked="0"/>
    </xf>
    <xf numFmtId="10" fontId="41" fillId="40" borderId="33" xfId="0" applyNumberFormat="1" applyFont="1" applyFill="1" applyBorder="1" applyAlignment="1" applyProtection="1">
      <alignment horizontal="center" vertical="center"/>
      <protection locked="0"/>
    </xf>
    <xf numFmtId="0" fontId="0" fillId="0" borderId="6" xfId="0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1" fillId="0" borderId="0" xfId="0" applyFont="1" applyAlignment="1">
      <alignment horizontal="center" vertical="top" wrapText="1"/>
    </xf>
    <xf numFmtId="0" fontId="0" fillId="0" borderId="7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41" fillId="0" borderId="8" xfId="0" applyFont="1" applyBorder="1" applyAlignment="1">
      <alignment horizontal="center" vertical="center" wrapText="1"/>
    </xf>
    <xf numFmtId="0" fontId="41" fillId="0" borderId="9" xfId="0" applyFont="1" applyBorder="1" applyAlignment="1">
      <alignment horizontal="center" vertical="center" wrapText="1"/>
    </xf>
    <xf numFmtId="0" fontId="41" fillId="0" borderId="10" xfId="0" applyFont="1" applyBorder="1" applyAlignment="1">
      <alignment horizontal="center" vertical="center" wrapText="1"/>
    </xf>
    <xf numFmtId="0" fontId="47" fillId="0" borderId="8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40" fillId="0" borderId="0" xfId="0" applyFont="1" applyAlignment="1">
      <alignment horizontal="left" vertical="center" wrapText="1"/>
    </xf>
    <xf numFmtId="0" fontId="11" fillId="0" borderId="56" xfId="0" applyFont="1" applyBorder="1" applyAlignment="1">
      <alignment horizontal="center"/>
    </xf>
    <xf numFmtId="0" fontId="0" fillId="0" borderId="56" xfId="0" applyBorder="1" applyAlignment="1">
      <alignment horizontal="center"/>
    </xf>
    <xf numFmtId="4" fontId="32" fillId="39" borderId="4" xfId="49" applyNumberFormat="1" applyFont="1" applyFill="1" applyBorder="1" applyAlignment="1">
      <alignment horizontal="center"/>
    </xf>
    <xf numFmtId="4" fontId="32" fillId="39" borderId="5" xfId="49" applyNumberFormat="1" applyFont="1" applyFill="1" applyBorder="1" applyAlignment="1">
      <alignment horizontal="center"/>
    </xf>
    <xf numFmtId="0" fontId="32" fillId="3" borderId="1" xfId="50" applyFont="1" applyFill="1" applyBorder="1" applyAlignment="1">
      <alignment horizontal="center" vertical="center"/>
    </xf>
    <xf numFmtId="0" fontId="32" fillId="3" borderId="1" xfId="50" applyFont="1" applyFill="1" applyBorder="1" applyAlignment="1">
      <alignment horizontal="center" vertical="center" wrapText="1"/>
    </xf>
    <xf numFmtId="0" fontId="32" fillId="3" borderId="2" xfId="50" applyFont="1" applyFill="1" applyBorder="1" applyAlignment="1">
      <alignment horizontal="center" vertical="center" wrapText="1"/>
    </xf>
    <xf numFmtId="0" fontId="32" fillId="3" borderId="3" xfId="50" applyFont="1" applyFill="1" applyBorder="1" applyAlignment="1">
      <alignment horizontal="center" vertical="center" wrapText="1"/>
    </xf>
    <xf numFmtId="4" fontId="32" fillId="39" borderId="4" xfId="49" applyNumberFormat="1" applyFont="1" applyFill="1" applyBorder="1" applyAlignment="1">
      <alignment horizontal="center" wrapText="1"/>
    </xf>
    <xf numFmtId="4" fontId="32" fillId="39" borderId="5" xfId="49" applyNumberFormat="1" applyFont="1" applyFill="1" applyBorder="1" applyAlignment="1">
      <alignment horizontal="center" wrapText="1"/>
    </xf>
    <xf numFmtId="0" fontId="32" fillId="3" borderId="34" xfId="2" applyFont="1" applyFill="1" applyBorder="1" applyAlignment="1">
      <alignment horizontal="center" vertical="center"/>
    </xf>
    <xf numFmtId="0" fontId="32" fillId="3" borderId="35" xfId="2" applyFont="1" applyFill="1" applyBorder="1" applyAlignment="1">
      <alignment horizontal="center" vertical="center"/>
    </xf>
    <xf numFmtId="0" fontId="32" fillId="3" borderId="36" xfId="2" applyFont="1" applyFill="1" applyBorder="1" applyAlignment="1">
      <alignment horizontal="center" vertical="center"/>
    </xf>
    <xf numFmtId="0" fontId="31" fillId="3" borderId="37" xfId="49" applyFont="1" applyFill="1" applyBorder="1" applyAlignment="1">
      <alignment horizontal="center" vertical="center" wrapText="1"/>
    </xf>
    <xf numFmtId="0" fontId="31" fillId="3" borderId="0" xfId="49" applyFont="1" applyFill="1" applyAlignment="1">
      <alignment horizontal="center" vertical="center" wrapText="1"/>
    </xf>
    <xf numFmtId="0" fontId="31" fillId="3" borderId="38" xfId="49" applyFont="1" applyFill="1" applyBorder="1" applyAlignment="1">
      <alignment horizontal="center" vertical="center" wrapText="1"/>
    </xf>
    <xf numFmtId="0" fontId="32" fillId="3" borderId="37" xfId="2" applyFont="1" applyFill="1" applyBorder="1" applyAlignment="1">
      <alignment horizontal="center" vertical="center"/>
    </xf>
    <xf numFmtId="0" fontId="32" fillId="3" borderId="0" xfId="2" applyFont="1" applyFill="1" applyAlignment="1">
      <alignment horizontal="center" vertical="center"/>
    </xf>
    <xf numFmtId="0" fontId="32" fillId="3" borderId="38" xfId="2" applyFont="1" applyFill="1" applyBorder="1" applyAlignment="1">
      <alignment horizontal="center" vertical="center"/>
    </xf>
    <xf numFmtId="0" fontId="31" fillId="3" borderId="37" xfId="2" applyFont="1" applyFill="1" applyBorder="1" applyAlignment="1">
      <alignment horizontal="center" vertical="center"/>
    </xf>
    <xf numFmtId="0" fontId="31" fillId="3" borderId="0" xfId="2" applyFont="1" applyFill="1" applyAlignment="1">
      <alignment horizontal="center" vertical="center"/>
    </xf>
    <xf numFmtId="0" fontId="31" fillId="3" borderId="38" xfId="2" applyFont="1" applyFill="1" applyBorder="1" applyAlignment="1">
      <alignment horizontal="center" vertical="center"/>
    </xf>
    <xf numFmtId="0" fontId="31" fillId="0" borderId="0" xfId="2" applyFont="1" applyAlignment="1">
      <alignment horizontal="left"/>
    </xf>
    <xf numFmtId="0" fontId="33" fillId="38" borderId="40" xfId="49" applyFont="1" applyFill="1" applyBorder="1" applyAlignment="1">
      <alignment horizontal="left" vertical="center" wrapText="1"/>
    </xf>
    <xf numFmtId="0" fontId="33" fillId="38" borderId="41" xfId="49" applyFont="1" applyFill="1" applyBorder="1" applyAlignment="1">
      <alignment horizontal="left" vertical="center" wrapText="1"/>
    </xf>
    <xf numFmtId="0" fontId="32" fillId="3" borderId="11" xfId="50" applyFont="1" applyFill="1" applyBorder="1" applyAlignment="1">
      <alignment horizontal="center" vertical="center"/>
    </xf>
    <xf numFmtId="0" fontId="32" fillId="3" borderId="42" xfId="50" applyFont="1" applyFill="1" applyBorder="1" applyAlignment="1">
      <alignment horizontal="center" vertical="center"/>
    </xf>
    <xf numFmtId="0" fontId="32" fillId="3" borderId="12" xfId="50" applyFont="1" applyFill="1" applyBorder="1" applyAlignment="1">
      <alignment horizontal="center" vertical="center"/>
    </xf>
    <xf numFmtId="0" fontId="32" fillId="3" borderId="43" xfId="50" applyFont="1" applyFill="1" applyBorder="1" applyAlignment="1">
      <alignment horizontal="center" vertical="center"/>
    </xf>
    <xf numFmtId="0" fontId="32" fillId="3" borderId="2" xfId="50" applyFont="1" applyFill="1" applyBorder="1" applyAlignment="1">
      <alignment horizontal="center" vertical="center"/>
    </xf>
    <xf numFmtId="0" fontId="32" fillId="3" borderId="3" xfId="50" applyFont="1" applyFill="1" applyBorder="1" applyAlignment="1">
      <alignment horizontal="center" vertical="center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0" fontId="53" fillId="0" borderId="8" xfId="0" applyFont="1" applyBorder="1" applyAlignment="1">
      <alignment horizontal="center"/>
    </xf>
    <xf numFmtId="0" fontId="53" fillId="0" borderId="9" xfId="0" applyFont="1" applyBorder="1" applyAlignment="1">
      <alignment horizontal="center"/>
    </xf>
    <xf numFmtId="0" fontId="53" fillId="0" borderId="10" xfId="0" applyFont="1" applyBorder="1" applyAlignment="1">
      <alignment horizontal="center"/>
    </xf>
    <xf numFmtId="0" fontId="64" fillId="3" borderId="34" xfId="2" applyFont="1" applyFill="1" applyBorder="1" applyAlignment="1">
      <alignment horizontal="center" vertical="center"/>
    </xf>
    <xf numFmtId="0" fontId="64" fillId="3" borderId="35" xfId="2" applyFont="1" applyFill="1" applyBorder="1" applyAlignment="1">
      <alignment horizontal="center" vertical="center"/>
    </xf>
    <xf numFmtId="0" fontId="64" fillId="3" borderId="36" xfId="2" applyFont="1" applyFill="1" applyBorder="1" applyAlignment="1">
      <alignment horizontal="center" vertical="center"/>
    </xf>
    <xf numFmtId="0" fontId="65" fillId="3" borderId="37" xfId="49" applyFont="1" applyFill="1" applyBorder="1" applyAlignment="1">
      <alignment horizontal="center" vertical="center"/>
    </xf>
    <xf numFmtId="0" fontId="65" fillId="3" borderId="0" xfId="49" applyFont="1" applyFill="1" applyAlignment="1">
      <alignment horizontal="center" vertical="center"/>
    </xf>
    <xf numFmtId="0" fontId="65" fillId="3" borderId="38" xfId="49" applyFont="1" applyFill="1" applyBorder="1" applyAlignment="1">
      <alignment horizontal="center" vertical="center"/>
    </xf>
    <xf numFmtId="0" fontId="64" fillId="3" borderId="37" xfId="2" applyFont="1" applyFill="1" applyBorder="1" applyAlignment="1">
      <alignment horizontal="center" vertical="center"/>
    </xf>
    <xf numFmtId="0" fontId="64" fillId="3" borderId="0" xfId="2" applyFont="1" applyFill="1" applyAlignment="1">
      <alignment horizontal="center" vertical="center"/>
    </xf>
    <xf numFmtId="0" fontId="64" fillId="3" borderId="38" xfId="2" applyFont="1" applyFill="1" applyBorder="1" applyAlignment="1">
      <alignment horizontal="center" vertical="center"/>
    </xf>
    <xf numFmtId="0" fontId="65" fillId="3" borderId="37" xfId="2" applyFont="1" applyFill="1" applyBorder="1" applyAlignment="1">
      <alignment horizontal="center" vertical="center"/>
    </xf>
    <xf numFmtId="0" fontId="65" fillId="3" borderId="0" xfId="2" applyFont="1" applyFill="1" applyAlignment="1">
      <alignment horizontal="center" vertical="center"/>
    </xf>
    <xf numFmtId="0" fontId="65" fillId="3" borderId="38" xfId="2" applyFont="1" applyFill="1" applyBorder="1" applyAlignment="1">
      <alignment horizontal="center" vertical="center"/>
    </xf>
    <xf numFmtId="0" fontId="55" fillId="41" borderId="4" xfId="0" applyFont="1" applyFill="1" applyBorder="1" applyAlignment="1">
      <alignment horizontal="center" vertical="top" wrapText="1"/>
    </xf>
    <xf numFmtId="0" fontId="55" fillId="41" borderId="5" xfId="0" applyFont="1" applyFill="1" applyBorder="1" applyAlignment="1">
      <alignment horizontal="center" vertical="top" wrapText="1"/>
    </xf>
    <xf numFmtId="0" fontId="55" fillId="41" borderId="16" xfId="0" applyFont="1" applyFill="1" applyBorder="1" applyAlignment="1">
      <alignment horizontal="center" vertical="top" wrapText="1"/>
    </xf>
    <xf numFmtId="0" fontId="41" fillId="0" borderId="12" xfId="0" applyFont="1" applyBorder="1" applyAlignment="1">
      <alignment horizontal="center" vertical="top"/>
    </xf>
    <xf numFmtId="0" fontId="41" fillId="0" borderId="17" xfId="0" applyFont="1" applyBorder="1" applyAlignment="1">
      <alignment horizontal="center" vertical="top"/>
    </xf>
    <xf numFmtId="0" fontId="41" fillId="0" borderId="43" xfId="0" applyFont="1" applyBorder="1" applyAlignment="1">
      <alignment horizontal="center" vertical="top"/>
    </xf>
    <xf numFmtId="0" fontId="54" fillId="0" borderId="4" xfId="0" applyFont="1" applyBorder="1" applyAlignment="1">
      <alignment horizontal="center" vertical="top"/>
    </xf>
    <xf numFmtId="0" fontId="54" fillId="0" borderId="5" xfId="0" applyFont="1" applyBorder="1" applyAlignment="1">
      <alignment horizontal="center" vertical="top"/>
    </xf>
    <xf numFmtId="0" fontId="54" fillId="0" borderId="16" xfId="0" applyFont="1" applyBorder="1" applyAlignment="1">
      <alignment horizontal="center" vertical="top"/>
    </xf>
    <xf numFmtId="0" fontId="55" fillId="0" borderId="2" xfId="0" applyFont="1" applyBorder="1" applyAlignment="1">
      <alignment horizontal="left" vertical="center" wrapText="1"/>
    </xf>
    <xf numFmtId="0" fontId="55" fillId="0" borderId="3" xfId="0" applyFont="1" applyBorder="1" applyAlignment="1">
      <alignment horizontal="left" vertical="center" wrapText="1"/>
    </xf>
    <xf numFmtId="0" fontId="55" fillId="0" borderId="2" xfId="0" applyFont="1" applyBorder="1" applyAlignment="1">
      <alignment horizontal="center" vertical="center" wrapText="1"/>
    </xf>
    <xf numFmtId="0" fontId="55" fillId="0" borderId="3" xfId="0" applyFont="1" applyBorder="1" applyAlignment="1">
      <alignment horizontal="center" vertical="center" wrapText="1"/>
    </xf>
    <xf numFmtId="0" fontId="55" fillId="42" borderId="4" xfId="0" applyFont="1" applyFill="1" applyBorder="1" applyAlignment="1">
      <alignment horizontal="left" vertical="top" wrapText="1" indent="2"/>
    </xf>
    <xf numFmtId="0" fontId="55" fillId="42" borderId="16" xfId="0" applyFont="1" applyFill="1" applyBorder="1" applyAlignment="1">
      <alignment horizontal="left" vertical="top" wrapText="1" indent="2"/>
    </xf>
    <xf numFmtId="0" fontId="66" fillId="0" borderId="69" xfId="2" applyFont="1" applyBorder="1" applyAlignment="1">
      <alignment horizontal="left" vertical="center"/>
    </xf>
    <xf numFmtId="0" fontId="31" fillId="0" borderId="35" xfId="2" applyFont="1" applyBorder="1" applyAlignment="1">
      <alignment horizontal="left" vertical="center"/>
    </xf>
    <xf numFmtId="0" fontId="31" fillId="0" borderId="67" xfId="2" applyFont="1" applyBorder="1" applyAlignment="1">
      <alignment horizontal="left" vertical="center"/>
    </xf>
    <xf numFmtId="0" fontId="66" fillId="0" borderId="70" xfId="2" applyFont="1" applyBorder="1" applyAlignment="1">
      <alignment horizontal="left" vertical="center"/>
    </xf>
    <xf numFmtId="0" fontId="31" fillId="0" borderId="0" xfId="2" applyFont="1" applyAlignment="1">
      <alignment horizontal="left" vertical="center"/>
    </xf>
    <xf numFmtId="0" fontId="31" fillId="0" borderId="68" xfId="2" applyFont="1" applyBorder="1" applyAlignment="1">
      <alignment horizontal="left" vertical="center"/>
    </xf>
    <xf numFmtId="0" fontId="55" fillId="41" borderId="1" xfId="0" applyFont="1" applyFill="1" applyBorder="1" applyAlignment="1">
      <alignment horizontal="center" vertical="top" wrapText="1"/>
    </xf>
  </cellXfs>
  <cellStyles count="51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rmal 3" xfId="49" xr:uid="{00000000-0005-0000-0000-000024000000}"/>
    <cellStyle name="Normal_Planilha de preco" xfId="50" xr:uid="{00000000-0005-0000-0000-000025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9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2000000}"/>
  </cellStyles>
  <dxfs count="8"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10"/>
      </font>
    </dxf>
    <dxf>
      <fill>
        <patternFill>
          <bgColor indexed="41"/>
        </patternFill>
      </fill>
    </dxf>
    <dxf>
      <font>
        <b/>
        <i val="0"/>
        <condense val="0"/>
        <extend val="0"/>
        <color indexed="10"/>
      </font>
    </dxf>
    <dxf>
      <fill>
        <patternFill>
          <bgColor indexed="41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8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59953</xdr:colOff>
      <xdr:row>42</xdr:row>
      <xdr:rowOff>879</xdr:rowOff>
    </xdr:from>
    <xdr:to>
      <xdr:col>10</xdr:col>
      <xdr:colOff>485775</xdr:colOff>
      <xdr:row>45</xdr:row>
      <xdr:rowOff>134411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ACBB25E4-ABD3-44B4-847D-F7726A3918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2428" y="8192379"/>
          <a:ext cx="2149847" cy="7336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47625</xdr:colOff>
      <xdr:row>40</xdr:row>
      <xdr:rowOff>47625</xdr:rowOff>
    </xdr:from>
    <xdr:to>
      <xdr:col>13</xdr:col>
      <xdr:colOff>152400</xdr:colOff>
      <xdr:row>42</xdr:row>
      <xdr:rowOff>133350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8B94CA67-B749-47B7-81AC-E2AB6F17AA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5" y="7848600"/>
          <a:ext cx="327660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178593</xdr:colOff>
      <xdr:row>0</xdr:row>
      <xdr:rowOff>23810</xdr:rowOff>
    </xdr:from>
    <xdr:to>
      <xdr:col>5</xdr:col>
      <xdr:colOff>631615</xdr:colOff>
      <xdr:row>2</xdr:row>
      <xdr:rowOff>156811</xdr:rowOff>
    </xdr:to>
    <xdr:pic>
      <xdr:nvPicPr>
        <xdr:cNvPr id="7" name="Imagem 6" descr="logo prefeitura">
          <a:extLst>
            <a:ext uri="{FF2B5EF4-FFF2-40B4-BE49-F238E27FC236}">
              <a16:creationId xmlns:a16="http://schemas.microsoft.com/office/drawing/2014/main" id="{27DF4154-99E4-4C26-910A-4A1D7FCC87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21793" y="23810"/>
          <a:ext cx="453022" cy="523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588818</xdr:colOff>
      <xdr:row>1</xdr:row>
      <xdr:rowOff>103907</xdr:rowOff>
    </xdr:from>
    <xdr:to>
      <xdr:col>7</xdr:col>
      <xdr:colOff>993039</xdr:colOff>
      <xdr:row>10</xdr:row>
      <xdr:rowOff>154874</xdr:rowOff>
    </xdr:to>
    <xdr:pic>
      <xdr:nvPicPr>
        <xdr:cNvPr id="3" name="Imagem 2" descr="Prefeitura de São Marcos">
          <a:extLst>
            <a:ext uri="{FF2B5EF4-FFF2-40B4-BE49-F238E27FC236}">
              <a16:creationId xmlns:a16="http://schemas.microsoft.com/office/drawing/2014/main" id="{A2608625-13C0-4DF9-B4F3-618A1040BD3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639" t="8633" r="24503" b="7914"/>
        <a:stretch/>
      </xdr:blipFill>
      <xdr:spPr bwMode="auto">
        <a:xfrm>
          <a:off x="9940636" y="363680"/>
          <a:ext cx="2620948" cy="23889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152401</xdr:colOff>
      <xdr:row>0</xdr:row>
      <xdr:rowOff>76200</xdr:rowOff>
    </xdr:from>
    <xdr:to>
      <xdr:col>1</xdr:col>
      <xdr:colOff>571501</xdr:colOff>
      <xdr:row>4</xdr:row>
      <xdr:rowOff>69265</xdr:rowOff>
    </xdr:to>
    <xdr:pic>
      <xdr:nvPicPr>
        <xdr:cNvPr id="4" name="Imagem 3" descr="Prefeitura de São Marcos">
          <a:extLst>
            <a:ext uri="{FF2B5EF4-FFF2-40B4-BE49-F238E27FC236}">
              <a16:creationId xmlns:a16="http://schemas.microsoft.com/office/drawing/2014/main" id="{34FCDA1F-4633-44D9-B65B-26A73D94118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639" t="8633" r="24503" b="7914"/>
        <a:stretch/>
      </xdr:blipFill>
      <xdr:spPr bwMode="auto">
        <a:xfrm>
          <a:off x="152401" y="76200"/>
          <a:ext cx="876300" cy="8217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2%20PASTA%20DAS%20GURIAS\ARP%20Projetos\MODEL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Secretarias2\SMGEP\02%20PASTA%20DAS%20GURIAS\Projetos%20de%20pavimenta&#231;&#227;o\PLANILHA%20OR&#199;AMENT&#193;RIA_V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entificação"/>
      <sheetName val="Planilha orçamentária"/>
      <sheetName val="Plan1"/>
      <sheetName val="Composições"/>
      <sheetName val="Proposta"/>
      <sheetName val="Pesquisa Familia e Subfamilia"/>
      <sheetName val="Tipo de Objeto x Familia"/>
      <sheetName val="base"/>
    </sheetNames>
    <sheetDataSet>
      <sheetData sheetId="0" refreshError="1">
        <row r="3">
          <cell r="A3" t="str">
            <v>Descrição do Objeto</v>
          </cell>
          <cell r="B3" t="str">
            <v>Contratação de projetos de engenharia/arquitetura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"/>
      <sheetName val="Cronograma"/>
      <sheetName val="Composições"/>
      <sheetName val="Preço de Mercado"/>
      <sheetName val="Memória de Cálculo"/>
      <sheetName val="Asfalto"/>
      <sheetName val="Transp. Asfal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0"/>
  <sheetViews>
    <sheetView tabSelected="1" workbookViewId="0">
      <selection activeCell="B3" sqref="B3:G3"/>
    </sheetView>
  </sheetViews>
  <sheetFormatPr defaultRowHeight="15" x14ac:dyDescent="0.25"/>
  <cols>
    <col min="1" max="1" width="20.42578125" style="44" customWidth="1"/>
    <col min="2" max="2" width="53.42578125" style="43" customWidth="1"/>
    <col min="3" max="3" width="16.5703125" style="45" bestFit="1" customWidth="1"/>
    <col min="4" max="4" width="4.5703125" style="45" bestFit="1" customWidth="1"/>
    <col min="5" max="5" width="6.85546875" style="40" customWidth="1"/>
    <col min="6" max="6" width="6.85546875" style="40" bestFit="1" customWidth="1"/>
    <col min="7" max="7" width="17" style="40" customWidth="1"/>
    <col min="8" max="16384" width="9.140625" style="40"/>
  </cols>
  <sheetData>
    <row r="1" spans="1:8" ht="16.5" thickBot="1" x14ac:dyDescent="0.3">
      <c r="A1" s="264" t="s">
        <v>180</v>
      </c>
      <c r="B1" s="265"/>
      <c r="C1" s="265"/>
      <c r="D1" s="265"/>
      <c r="E1" s="265"/>
      <c r="F1" s="265"/>
      <c r="G1" s="266"/>
    </row>
    <row r="2" spans="1:8" s="57" customFormat="1" ht="15.75" thickBot="1" x14ac:dyDescent="0.3">
      <c r="A2" s="15" t="s">
        <v>142</v>
      </c>
      <c r="B2" s="270" t="s">
        <v>207</v>
      </c>
      <c r="C2" s="270"/>
      <c r="D2" s="49" t="s">
        <v>143</v>
      </c>
      <c r="E2" s="66"/>
      <c r="F2" s="22" t="s">
        <v>144</v>
      </c>
      <c r="G2" s="33">
        <v>2026</v>
      </c>
      <c r="H2" s="55"/>
    </row>
    <row r="3" spans="1:8" s="57" customFormat="1" ht="15.75" thickBot="1" x14ac:dyDescent="0.3">
      <c r="A3" s="18" t="s">
        <v>134</v>
      </c>
      <c r="B3" s="271" t="s">
        <v>212</v>
      </c>
      <c r="C3" s="271"/>
      <c r="D3" s="271"/>
      <c r="E3" s="271"/>
      <c r="F3" s="271"/>
      <c r="G3" s="272"/>
    </row>
    <row r="4" spans="1:8" s="57" customFormat="1" ht="15.75" thickBot="1" x14ac:dyDescent="0.3">
      <c r="A4" s="15" t="s">
        <v>156</v>
      </c>
      <c r="B4" s="273" t="s">
        <v>305</v>
      </c>
      <c r="C4" s="273"/>
      <c r="D4" s="273"/>
      <c r="E4" s="274"/>
      <c r="F4" s="22" t="s">
        <v>160</v>
      </c>
      <c r="G4" s="73"/>
    </row>
    <row r="5" spans="1:8" s="57" customFormat="1" ht="15.75" thickBot="1" x14ac:dyDescent="0.3">
      <c r="A5" s="15" t="s">
        <v>194</v>
      </c>
      <c r="B5" s="75" t="s">
        <v>151</v>
      </c>
      <c r="C5" s="15" t="s">
        <v>206</v>
      </c>
      <c r="D5" s="15"/>
      <c r="E5" s="15"/>
      <c r="F5" s="275"/>
      <c r="G5" s="276"/>
    </row>
    <row r="6" spans="1:8" s="59" customFormat="1" ht="15.75" thickBot="1" x14ac:dyDescent="0.3">
      <c r="A6" s="15" t="s">
        <v>136</v>
      </c>
      <c r="B6" s="50">
        <f>'Orçamento-base'!C6</f>
        <v>1306228.4000000004</v>
      </c>
      <c r="C6" s="9"/>
      <c r="D6" s="9"/>
      <c r="E6" s="8"/>
      <c r="F6" s="9"/>
      <c r="G6" s="60"/>
      <c r="H6" s="58"/>
    </row>
    <row r="7" spans="1:8" s="59" customFormat="1" ht="15.75" thickBot="1" x14ac:dyDescent="0.3">
      <c r="A7" s="15" t="s">
        <v>153</v>
      </c>
      <c r="B7" s="50">
        <f>Proposta!C6</f>
        <v>0</v>
      </c>
      <c r="C7" s="9"/>
      <c r="D7" s="9"/>
      <c r="E7" s="8"/>
      <c r="F7" s="9"/>
      <c r="G7" s="60"/>
      <c r="H7" s="58"/>
    </row>
    <row r="8" spans="1:8" s="59" customFormat="1" ht="15.75" thickBot="1" x14ac:dyDescent="0.3">
      <c r="A8" s="15" t="s">
        <v>176</v>
      </c>
      <c r="B8" s="56">
        <f>COUNT('Orçamento-base'!B12:B39907)</f>
        <v>22</v>
      </c>
      <c r="C8" s="9"/>
      <c r="D8" s="9"/>
      <c r="E8" s="8"/>
      <c r="F8" s="9"/>
      <c r="G8" s="60"/>
      <c r="H8" s="58"/>
    </row>
    <row r="9" spans="1:8" s="59" customFormat="1" x14ac:dyDescent="0.25">
      <c r="A9" s="95" t="s">
        <v>204</v>
      </c>
      <c r="B9" s="51"/>
      <c r="C9" s="9"/>
      <c r="D9" s="9"/>
      <c r="E9" s="8"/>
      <c r="F9" s="9"/>
      <c r="G9" s="60"/>
      <c r="H9" s="58"/>
    </row>
    <row r="10" spans="1:8" s="59" customFormat="1" x14ac:dyDescent="0.25">
      <c r="A10" s="7" t="s">
        <v>135</v>
      </c>
      <c r="B10" s="8"/>
      <c r="C10" s="7" t="s">
        <v>177</v>
      </c>
      <c r="D10" s="9"/>
      <c r="E10" s="8"/>
      <c r="F10" s="9"/>
      <c r="G10" s="60"/>
      <c r="H10" s="58"/>
    </row>
    <row r="11" spans="1:8" ht="13.5" customHeight="1" x14ac:dyDescent="0.25">
      <c r="A11" s="267" t="s">
        <v>178</v>
      </c>
      <c r="B11" s="268" t="s">
        <v>179</v>
      </c>
      <c r="C11" s="23" t="s">
        <v>146</v>
      </c>
      <c r="D11" s="62"/>
      <c r="E11" s="62"/>
      <c r="F11" s="62"/>
      <c r="G11" s="23" t="s">
        <v>152</v>
      </c>
    </row>
    <row r="12" spans="1:8" x14ac:dyDescent="0.25">
      <c r="A12" s="267"/>
      <c r="B12" s="269"/>
      <c r="C12" s="61" t="s">
        <v>145</v>
      </c>
      <c r="D12" s="62"/>
      <c r="E12" s="63"/>
      <c r="F12" s="63"/>
      <c r="G12" s="61" t="s">
        <v>145</v>
      </c>
    </row>
    <row r="13" spans="1:8" ht="33" x14ac:dyDescent="0.25">
      <c r="A13" s="103">
        <v>1</v>
      </c>
      <c r="B13" s="104" t="s">
        <v>208</v>
      </c>
      <c r="C13" s="53">
        <f>SUMIF('Orçamento-base'!$A$12:$A$39909,Identificação!$A13,'Orçamento-base'!$K$12:$K$39909)</f>
        <v>175770.84</v>
      </c>
      <c r="D13" s="62"/>
      <c r="E13" s="63"/>
      <c r="F13" s="63"/>
      <c r="G13" s="53">
        <f>SUMIF(Proposta!$A$12:$A$39946,Identificação!$A13,Proposta!$H$12:$H$39946)</f>
        <v>0</v>
      </c>
    </row>
    <row r="14" spans="1:8" ht="16.5" x14ac:dyDescent="0.25">
      <c r="A14" s="103">
        <v>2</v>
      </c>
      <c r="B14" s="104" t="s">
        <v>209</v>
      </c>
      <c r="C14" s="92">
        <f>SUMIF('Orçamento-base'!$A$12:$A$39909,Identificação!$A14,'Orçamento-base'!$K$12:$K$39909)</f>
        <v>209309.7</v>
      </c>
      <c r="D14" s="93"/>
      <c r="E14" s="94"/>
      <c r="F14" s="94"/>
      <c r="G14" s="92">
        <f>SUMIF(Proposta!$A$12:$A$39946,Identificação!$A14,Proposta!$H$12:$H$39946)</f>
        <v>0</v>
      </c>
    </row>
    <row r="15" spans="1:8" ht="33" x14ac:dyDescent="0.25">
      <c r="A15" s="103">
        <v>3</v>
      </c>
      <c r="B15" s="104" t="s">
        <v>537</v>
      </c>
      <c r="C15" s="92">
        <f>SUMIF('Orçamento-base'!$A$12:$A$39909,Identificação!$A15,'Orçamento-base'!$K$12:$K$39909)</f>
        <v>207320.36</v>
      </c>
      <c r="D15" s="93"/>
      <c r="E15" s="94"/>
      <c r="F15" s="94"/>
      <c r="G15" s="92">
        <f>SUMIF(Proposta!$A$12:$A$39946,Identificação!$A15,Proposta!$H$12:$H$39946)</f>
        <v>0</v>
      </c>
    </row>
    <row r="16" spans="1:8" ht="33" x14ac:dyDescent="0.25">
      <c r="A16" s="105">
        <v>4</v>
      </c>
      <c r="B16" s="104" t="s">
        <v>538</v>
      </c>
      <c r="C16" s="92">
        <f>SUMIF('Orçamento-base'!$A$12:$A$39909,Identificação!$A16,'Orçamento-base'!$K$12:$K$39909)</f>
        <v>52035.649999999994</v>
      </c>
      <c r="D16" s="93"/>
      <c r="E16" s="94"/>
      <c r="F16" s="94"/>
      <c r="G16" s="92">
        <f>SUMIF(Proposta!$A$12:$A$39946,Identificação!$A16,Proposta!$H$12:$H$39946)</f>
        <v>0</v>
      </c>
    </row>
    <row r="17" spans="1:7" ht="33" x14ac:dyDescent="0.25">
      <c r="A17" s="103">
        <v>5</v>
      </c>
      <c r="B17" s="104" t="s">
        <v>210</v>
      </c>
      <c r="C17" s="92">
        <f>SUMIF('Orçamento-base'!$A$12:$A$39909,Identificação!$A17,'Orçamento-base'!$K$12:$K$39909)</f>
        <v>374695.32</v>
      </c>
      <c r="D17" s="93"/>
      <c r="E17" s="94"/>
      <c r="F17" s="94"/>
      <c r="G17" s="92">
        <f>SUMIF(Proposta!$A$12:$A$39946,Identificação!$A17,Proposta!$H$12:$H$39946)</f>
        <v>0</v>
      </c>
    </row>
    <row r="18" spans="1:7" ht="16.5" x14ac:dyDescent="0.25">
      <c r="A18" s="103">
        <v>6</v>
      </c>
      <c r="B18" s="104" t="s">
        <v>211</v>
      </c>
      <c r="C18" s="92">
        <f>SUMIF('Orçamento-base'!$A$12:$A$39909,Identificação!$A18,'Orçamento-base'!$K$12:$K$39909)</f>
        <v>104509.07999999999</v>
      </c>
      <c r="D18" s="93"/>
      <c r="E18" s="94"/>
      <c r="F18" s="94"/>
      <c r="G18" s="92">
        <f>SUMIF(Proposta!$A$12:$A$39946,Identificação!$A18,Proposta!$H$12:$H$39946)</f>
        <v>0</v>
      </c>
    </row>
    <row r="19" spans="1:7" ht="16.5" x14ac:dyDescent="0.25">
      <c r="A19" s="103">
        <v>7</v>
      </c>
      <c r="B19" s="104" t="s">
        <v>440</v>
      </c>
      <c r="C19" s="92">
        <f>SUMIF('Orçamento-base'!$A$12:$A$39909,Identificação!$A19,'Orçamento-base'!$K$12:$K$39909)</f>
        <v>37310.97</v>
      </c>
      <c r="D19" s="93"/>
      <c r="E19" s="94"/>
      <c r="F19" s="94"/>
      <c r="G19" s="92">
        <f>SUMIF(Proposta!$A$12:$A$39946,Identificação!$A19,Proposta!$H$12:$H$39946)</f>
        <v>0</v>
      </c>
    </row>
    <row r="20" spans="1:7" ht="16.5" x14ac:dyDescent="0.25">
      <c r="A20" s="103">
        <v>8</v>
      </c>
      <c r="B20" s="104" t="s">
        <v>439</v>
      </c>
      <c r="C20" s="92">
        <f>SUMIF('Orçamento-base'!$A$12:$A$39909,Identificação!$A20,'Orçamento-base'!$K$12:$K$39909)</f>
        <v>47847.12</v>
      </c>
      <c r="D20" s="93"/>
      <c r="E20" s="94"/>
      <c r="F20" s="94"/>
      <c r="G20" s="92">
        <f>SUMIF(Proposta!$A$12:$A$39946,Identificação!$A20,Proposta!$H$12:$H$39946)</f>
        <v>0</v>
      </c>
    </row>
    <row r="21" spans="1:7" ht="16.5" x14ac:dyDescent="0.25">
      <c r="A21" s="103">
        <v>9</v>
      </c>
      <c r="B21" s="104" t="s">
        <v>443</v>
      </c>
      <c r="C21" s="92">
        <f>SUMIF('Orçamento-base'!$A$12:$A$39909,Identificação!$A21,'Orçamento-base'!$K$12:$K$39909)</f>
        <v>46806.239999999998</v>
      </c>
      <c r="D21" s="93"/>
      <c r="E21" s="94"/>
      <c r="F21" s="94"/>
      <c r="G21" s="92">
        <f>SUMIF(Proposta!$A$12:$A$39946,Identificação!$A21,Proposta!$H$12:$H$39946)</f>
        <v>0</v>
      </c>
    </row>
    <row r="22" spans="1:7" ht="33" x14ac:dyDescent="0.25">
      <c r="A22" s="103">
        <v>10</v>
      </c>
      <c r="B22" s="104" t="s">
        <v>515</v>
      </c>
      <c r="C22" s="92">
        <f>SUMIF('Orçamento-base'!$A$12:$A$39909,Identificação!$A22,'Orçamento-base'!$K$12:$K$39909)</f>
        <v>50623.12</v>
      </c>
      <c r="D22" s="93"/>
      <c r="E22" s="94"/>
      <c r="F22" s="94"/>
      <c r="G22" s="92">
        <f>SUMIF(Proposta!$A$12:$A$39946,Identificação!$A22,Proposta!$H$12:$H$39946)</f>
        <v>0</v>
      </c>
    </row>
    <row r="23" spans="1:7" x14ac:dyDescent="0.25">
      <c r="A23" s="34"/>
      <c r="B23" s="35"/>
      <c r="C23" s="92">
        <f>SUMIF('Orçamento-base'!$A$12:$A$39909,Identificação!$A23,'Orçamento-base'!$K$12:$K$39909)</f>
        <v>0</v>
      </c>
      <c r="D23" s="93"/>
      <c r="E23" s="94"/>
      <c r="F23" s="94"/>
      <c r="G23" s="92">
        <f>SUMIF(Proposta!$A$12:$A$39946,Identificação!$A23,Proposta!$H$12:$H$39946)</f>
        <v>0</v>
      </c>
    </row>
    <row r="24" spans="1:7" x14ac:dyDescent="0.25">
      <c r="A24" s="34"/>
      <c r="B24" s="35"/>
      <c r="C24" s="92">
        <f>SUMIF('Orçamento-base'!$A$12:$A$39909,Identificação!$A24,'Orçamento-base'!$K$12:$K$39909)</f>
        <v>0</v>
      </c>
      <c r="D24" s="93"/>
      <c r="E24" s="94"/>
      <c r="F24" s="94"/>
      <c r="G24" s="92">
        <f>SUMIF(Proposta!$A$12:$A$39946,Identificação!$A24,Proposta!$H$12:$H$39946)</f>
        <v>0</v>
      </c>
    </row>
    <row r="25" spans="1:7" x14ac:dyDescent="0.25">
      <c r="A25" s="34"/>
      <c r="B25" s="35"/>
      <c r="C25" s="92">
        <f>SUMIF('Orçamento-base'!$A$12:$A$39909,Identificação!$A25,'Orçamento-base'!$K$12:$K$39909)</f>
        <v>0</v>
      </c>
      <c r="D25" s="93"/>
      <c r="E25" s="94"/>
      <c r="F25" s="94"/>
      <c r="G25" s="92">
        <f>SUMIF(Proposta!$A$12:$A$39946,Identificação!$A25,Proposta!$H$12:$H$39946)</f>
        <v>0</v>
      </c>
    </row>
    <row r="26" spans="1:7" x14ac:dyDescent="0.25">
      <c r="A26" s="34"/>
      <c r="B26" s="35"/>
      <c r="C26" s="92">
        <f>SUMIF('Orçamento-base'!$A$12:$A$39909,Identificação!$A26,'Orçamento-base'!$K$12:$K$39909)</f>
        <v>0</v>
      </c>
      <c r="D26" s="93"/>
      <c r="E26" s="94"/>
      <c r="F26" s="94"/>
      <c r="G26" s="92">
        <f>SUMIF(Proposta!$A$12:$A$39946,Identificação!$A26,Proposta!$H$12:$H$39946)</f>
        <v>0</v>
      </c>
    </row>
    <row r="27" spans="1:7" x14ac:dyDescent="0.25">
      <c r="A27" s="34"/>
      <c r="B27" s="35"/>
      <c r="C27" s="92">
        <f>SUMIF('Orçamento-base'!$A$12:$A$39909,Identificação!$A27,'Orçamento-base'!$K$12:$K$39909)</f>
        <v>0</v>
      </c>
      <c r="D27" s="93"/>
      <c r="E27" s="94"/>
      <c r="F27" s="94"/>
      <c r="G27" s="92">
        <f>SUMIF(Proposta!$A$12:$A$39946,Identificação!$A27,Proposta!$H$12:$H$39946)</f>
        <v>0</v>
      </c>
    </row>
    <row r="28" spans="1:7" x14ac:dyDescent="0.25">
      <c r="A28" s="34"/>
      <c r="B28" s="35"/>
      <c r="C28" s="92">
        <f>SUMIF('Orçamento-base'!$A$12:$A$39909,Identificação!$A28,'Orçamento-base'!$K$12:$K$39909)</f>
        <v>0</v>
      </c>
      <c r="D28" s="93"/>
      <c r="E28" s="94"/>
      <c r="F28" s="94"/>
      <c r="G28" s="92">
        <f>SUMIF(Proposta!$A$12:$A$39946,Identificação!$A28,Proposta!$H$12:$H$39946)</f>
        <v>0</v>
      </c>
    </row>
    <row r="29" spans="1:7" x14ac:dyDescent="0.25">
      <c r="A29" s="34"/>
      <c r="B29" s="35"/>
      <c r="C29" s="92">
        <f>SUMIF('Orçamento-base'!$A$12:$A$39909,Identificação!$A29,'Orçamento-base'!$K$12:$K$39909)</f>
        <v>0</v>
      </c>
      <c r="D29" s="93"/>
      <c r="E29" s="94"/>
      <c r="F29" s="94"/>
      <c r="G29" s="92">
        <f>SUMIF(Proposta!$A$12:$A$39946,Identificação!$A29,Proposta!$H$12:$H$39946)</f>
        <v>0</v>
      </c>
    </row>
    <row r="30" spans="1:7" x14ac:dyDescent="0.25">
      <c r="A30" s="34"/>
      <c r="B30" s="35"/>
      <c r="C30" s="92">
        <f>SUMIF('Orçamento-base'!$A$12:$A$39909,Identificação!$A30,'Orçamento-base'!$K$12:$K$39909)</f>
        <v>0</v>
      </c>
      <c r="D30" s="93"/>
      <c r="E30" s="94"/>
      <c r="F30" s="94"/>
      <c r="G30" s="92">
        <f>SUMIF(Proposta!$A$12:$A$39946,Identificação!$A30,Proposta!$H$12:$H$39946)</f>
        <v>0</v>
      </c>
    </row>
    <row r="31" spans="1:7" x14ac:dyDescent="0.25">
      <c r="A31" s="34"/>
      <c r="B31" s="35"/>
      <c r="C31" s="92">
        <f>SUMIF('Orçamento-base'!$A$12:$A$39909,Identificação!$A31,'Orçamento-base'!$K$12:$K$39909)</f>
        <v>0</v>
      </c>
      <c r="D31" s="93"/>
      <c r="E31" s="94"/>
      <c r="F31" s="94"/>
      <c r="G31" s="92">
        <f>SUMIF(Proposta!$A$12:$A$39946,Identificação!$A31,Proposta!$H$12:$H$39946)</f>
        <v>0</v>
      </c>
    </row>
    <row r="32" spans="1:7" x14ac:dyDescent="0.25">
      <c r="A32" s="34"/>
      <c r="B32" s="35"/>
      <c r="C32" s="92">
        <f>SUMIF('Orçamento-base'!$A$12:$A$39909,Identificação!$A32,'Orçamento-base'!$K$12:$K$39909)</f>
        <v>0</v>
      </c>
      <c r="D32" s="93"/>
      <c r="E32" s="94"/>
      <c r="F32" s="94"/>
      <c r="G32" s="92">
        <f>SUMIF(Proposta!$A$12:$A$39946,Identificação!$A32,Proposta!$H$12:$H$39946)</f>
        <v>0</v>
      </c>
    </row>
    <row r="33" spans="1:7" x14ac:dyDescent="0.25">
      <c r="A33" s="34"/>
      <c r="B33" s="35"/>
      <c r="C33" s="92">
        <f>SUMIF('Orçamento-base'!$A$12:$A$39909,Identificação!$A33,'Orçamento-base'!$K$12:$K$39909)</f>
        <v>0</v>
      </c>
      <c r="D33" s="93"/>
      <c r="E33" s="94"/>
      <c r="F33" s="94"/>
      <c r="G33" s="92">
        <f>SUMIF(Proposta!$A$12:$A$39946,Identificação!$A33,Proposta!$H$12:$H$39946)</f>
        <v>0</v>
      </c>
    </row>
    <row r="34" spans="1:7" x14ac:dyDescent="0.25">
      <c r="A34" s="34"/>
      <c r="B34" s="35"/>
      <c r="C34" s="92">
        <f>SUMIF('Orçamento-base'!$A$12:$A$39909,Identificação!$A34,'Orçamento-base'!$K$12:$K$39909)</f>
        <v>0</v>
      </c>
      <c r="D34" s="93"/>
      <c r="E34" s="94"/>
      <c r="F34" s="94"/>
      <c r="G34" s="92">
        <f>SUMIF(Proposta!$A$12:$A$39946,Identificação!$A34,Proposta!$H$12:$H$39946)</f>
        <v>0</v>
      </c>
    </row>
    <row r="35" spans="1:7" x14ac:dyDescent="0.25">
      <c r="A35" s="34"/>
      <c r="B35" s="35"/>
      <c r="C35" s="92">
        <f>SUMIF('Orçamento-base'!$A$12:$A$39909,Identificação!$A35,'Orçamento-base'!$K$12:$K$39909)</f>
        <v>0</v>
      </c>
      <c r="D35" s="93"/>
      <c r="E35" s="94"/>
      <c r="F35" s="94"/>
      <c r="G35" s="92">
        <f>SUMIF(Proposta!$A$12:$A$39946,Identificação!$A35,Proposta!$H$12:$H$39946)</f>
        <v>0</v>
      </c>
    </row>
    <row r="36" spans="1:7" x14ac:dyDescent="0.25">
      <c r="A36" s="34"/>
      <c r="B36" s="35"/>
      <c r="C36" s="92">
        <f>SUMIF('Orçamento-base'!$A$12:$A$39909,Identificação!$A36,'Orçamento-base'!$K$12:$K$39909)</f>
        <v>0</v>
      </c>
      <c r="D36" s="93"/>
      <c r="E36" s="94"/>
      <c r="F36" s="94"/>
      <c r="G36" s="92">
        <f>SUMIF(Proposta!$A$12:$A$39946,Identificação!$A36,Proposta!$H$12:$H$39946)</f>
        <v>0</v>
      </c>
    </row>
    <row r="37" spans="1:7" x14ac:dyDescent="0.25">
      <c r="A37" s="34"/>
      <c r="B37" s="35"/>
      <c r="C37" s="92">
        <f>SUMIF('Orçamento-base'!$A$12:$A$39909,Identificação!$A37,'Orçamento-base'!$K$12:$K$39909)</f>
        <v>0</v>
      </c>
      <c r="D37" s="93"/>
      <c r="E37" s="94"/>
      <c r="F37" s="94"/>
      <c r="G37" s="92">
        <f>SUMIF(Proposta!$A$12:$A$39946,Identificação!$A37,Proposta!$H$12:$H$39946)</f>
        <v>0</v>
      </c>
    </row>
    <row r="38" spans="1:7" x14ac:dyDescent="0.25">
      <c r="A38" s="34"/>
      <c r="B38" s="35"/>
      <c r="C38" s="92">
        <f>SUMIF('Orçamento-base'!$A$12:$A$39909,Identificação!$A38,'Orçamento-base'!$K$12:$K$39909)</f>
        <v>0</v>
      </c>
      <c r="D38" s="93"/>
      <c r="E38" s="94"/>
      <c r="F38" s="94"/>
      <c r="G38" s="92">
        <f>SUMIF(Proposta!$A$12:$A$39946,Identificação!$A38,Proposta!$H$12:$H$39946)</f>
        <v>0</v>
      </c>
    </row>
    <row r="39" spans="1:7" x14ac:dyDescent="0.25">
      <c r="A39" s="34"/>
      <c r="B39" s="35"/>
      <c r="C39" s="92">
        <f>SUMIF('Orçamento-base'!$A$12:$A$39909,Identificação!$A39,'Orçamento-base'!$K$12:$K$39909)</f>
        <v>0</v>
      </c>
      <c r="D39" s="93"/>
      <c r="E39" s="94"/>
      <c r="F39" s="94"/>
      <c r="G39" s="92">
        <f>SUMIF(Proposta!$A$12:$A$39946,Identificação!$A39,Proposta!$H$12:$H$39946)</f>
        <v>0</v>
      </c>
    </row>
    <row r="40" spans="1:7" x14ac:dyDescent="0.25">
      <c r="A40" s="34"/>
      <c r="B40" s="35"/>
      <c r="C40" s="92">
        <f>SUMIF('Orçamento-base'!$A$12:$A$39909,Identificação!$A40,'Orçamento-base'!$K$12:$K$39909)</f>
        <v>0</v>
      </c>
      <c r="D40" s="93"/>
      <c r="E40" s="94"/>
      <c r="F40" s="94"/>
      <c r="G40" s="92">
        <f>SUMIF(Proposta!$A$12:$A$39946,Identificação!$A40,Proposta!$H$12:$H$39946)</f>
        <v>0</v>
      </c>
    </row>
    <row r="41" spans="1:7" x14ac:dyDescent="0.25">
      <c r="A41" s="34"/>
      <c r="B41" s="35"/>
      <c r="C41" s="92">
        <f>SUMIF('Orçamento-base'!$A$12:$A$39909,Identificação!$A41,'Orçamento-base'!$K$12:$K$39909)</f>
        <v>0</v>
      </c>
      <c r="D41" s="93"/>
      <c r="E41" s="94"/>
      <c r="F41" s="94"/>
      <c r="G41" s="92">
        <f>SUMIF(Proposta!$A$12:$A$39946,Identificação!$A41,Proposta!$H$12:$H$39946)</f>
        <v>0</v>
      </c>
    </row>
    <row r="42" spans="1:7" x14ac:dyDescent="0.25">
      <c r="A42" s="34"/>
      <c r="B42" s="35"/>
      <c r="C42" s="92">
        <f>SUMIF('Orçamento-base'!$A$12:$A$39909,Identificação!$A42,'Orçamento-base'!$K$12:$K$39909)</f>
        <v>0</v>
      </c>
      <c r="D42" s="93"/>
      <c r="E42" s="94"/>
      <c r="F42" s="94"/>
      <c r="G42" s="92">
        <f>SUMIF(Proposta!$A$12:$A$39946,Identificação!$A42,Proposta!$H$12:$H$39946)</f>
        <v>0</v>
      </c>
    </row>
    <row r="43" spans="1:7" x14ac:dyDescent="0.25">
      <c r="A43" s="34"/>
      <c r="B43" s="35"/>
      <c r="C43" s="92">
        <f>SUMIF('Orçamento-base'!$A$12:$A$39909,Identificação!$A43,'Orçamento-base'!$K$12:$K$39909)</f>
        <v>0</v>
      </c>
      <c r="D43" s="93"/>
      <c r="E43" s="94"/>
      <c r="F43" s="94"/>
      <c r="G43" s="92">
        <f>SUMIF(Proposta!$A$12:$A$39946,Identificação!$A43,Proposta!$H$12:$H$39946)</f>
        <v>0</v>
      </c>
    </row>
    <row r="44" spans="1:7" x14ac:dyDescent="0.25">
      <c r="A44" s="34"/>
      <c r="B44" s="35"/>
      <c r="C44" s="92">
        <f>SUMIF('Orçamento-base'!$A$12:$A$39909,Identificação!$A44,'Orçamento-base'!$K$12:$K$39909)</f>
        <v>0</v>
      </c>
      <c r="D44" s="93"/>
      <c r="E44" s="94"/>
      <c r="F44" s="94"/>
      <c r="G44" s="92">
        <f>SUMIF(Proposta!$A$12:$A$39946,Identificação!$A44,Proposta!$H$12:$H$39946)</f>
        <v>0</v>
      </c>
    </row>
    <row r="45" spans="1:7" x14ac:dyDescent="0.25">
      <c r="A45" s="34"/>
      <c r="B45" s="35"/>
      <c r="C45" s="92">
        <f>SUMIF('Orçamento-base'!$A$12:$A$39909,Identificação!$A45,'Orçamento-base'!$K$12:$K$39909)</f>
        <v>0</v>
      </c>
      <c r="D45" s="93"/>
      <c r="E45" s="94"/>
      <c r="F45" s="94"/>
      <c r="G45" s="92">
        <f>SUMIF(Proposta!$A$12:$A$39946,Identificação!$A45,Proposta!$H$12:$H$39946)</f>
        <v>0</v>
      </c>
    </row>
    <row r="46" spans="1:7" x14ac:dyDescent="0.25">
      <c r="A46" s="34"/>
      <c r="B46" s="35"/>
      <c r="C46" s="92">
        <f>SUMIF('Orçamento-base'!$A$12:$A$39909,Identificação!$A46,'Orçamento-base'!$K$12:$K$39909)</f>
        <v>0</v>
      </c>
      <c r="D46" s="93"/>
      <c r="E46" s="94"/>
      <c r="F46" s="94"/>
      <c r="G46" s="92">
        <f>SUMIF(Proposta!$A$12:$A$39946,Identificação!$A46,Proposta!$H$12:$H$39946)</f>
        <v>0</v>
      </c>
    </row>
    <row r="47" spans="1:7" x14ac:dyDescent="0.25">
      <c r="A47" s="34"/>
      <c r="B47" s="35"/>
      <c r="C47" s="92">
        <f>SUMIF('Orçamento-base'!$A$12:$A$39909,Identificação!$A47,'Orçamento-base'!$K$12:$K$39909)</f>
        <v>0</v>
      </c>
      <c r="D47" s="93"/>
      <c r="E47" s="94"/>
      <c r="F47" s="94"/>
      <c r="G47" s="92">
        <f>SUMIF(Proposta!$A$12:$A$39946,Identificação!$A47,Proposta!$H$12:$H$39946)</f>
        <v>0</v>
      </c>
    </row>
    <row r="48" spans="1:7" x14ac:dyDescent="0.25">
      <c r="A48" s="34"/>
      <c r="B48" s="35"/>
      <c r="C48" s="92">
        <f>SUMIF('Orçamento-base'!$A$12:$A$39909,Identificação!$A48,'Orçamento-base'!$K$12:$K$39909)</f>
        <v>0</v>
      </c>
      <c r="D48" s="93"/>
      <c r="E48" s="94"/>
      <c r="F48" s="94"/>
      <c r="G48" s="92">
        <f>SUMIF(Proposta!$A$12:$A$39946,Identificação!$A48,Proposta!$H$12:$H$39946)</f>
        <v>0</v>
      </c>
    </row>
    <row r="49" spans="1:7" x14ac:dyDescent="0.25">
      <c r="A49" s="34"/>
      <c r="B49" s="35"/>
      <c r="C49" s="92">
        <f>SUMIF('Orçamento-base'!$A$12:$A$39909,Identificação!$A49,'Orçamento-base'!$K$12:$K$39909)</f>
        <v>0</v>
      </c>
      <c r="D49" s="93"/>
      <c r="E49" s="94"/>
      <c r="F49" s="94"/>
      <c r="G49" s="92">
        <f>SUMIF(Proposta!$A$12:$A$39946,Identificação!$A49,Proposta!$H$12:$H$39946)</f>
        <v>0</v>
      </c>
    </row>
    <row r="50" spans="1:7" x14ac:dyDescent="0.25">
      <c r="A50" s="34"/>
      <c r="B50" s="35"/>
      <c r="C50" s="92">
        <f>SUMIF('Orçamento-base'!$A$12:$A$39909,Identificação!$A50,'Orçamento-base'!$K$12:$K$39909)</f>
        <v>0</v>
      </c>
      <c r="D50" s="93"/>
      <c r="E50" s="94"/>
      <c r="F50" s="94"/>
      <c r="G50" s="92">
        <f>SUMIF(Proposta!$A$12:$A$39946,Identificação!$A50,Proposta!$H$12:$H$39946)</f>
        <v>0</v>
      </c>
    </row>
    <row r="51" spans="1:7" x14ac:dyDescent="0.25">
      <c r="A51" s="34"/>
      <c r="B51" s="35"/>
      <c r="C51" s="92">
        <f>SUMIF('Orçamento-base'!$A$12:$A$39909,Identificação!$A51,'Orçamento-base'!$K$12:$K$39909)</f>
        <v>0</v>
      </c>
      <c r="D51" s="93"/>
      <c r="E51" s="94"/>
      <c r="F51" s="94"/>
      <c r="G51" s="92">
        <f>SUMIF(Proposta!$A$12:$A$39946,Identificação!$A51,Proposta!$H$12:$H$39946)</f>
        <v>0</v>
      </c>
    </row>
    <row r="52" spans="1:7" x14ac:dyDescent="0.25">
      <c r="A52" s="34"/>
      <c r="B52" s="35"/>
      <c r="C52" s="92">
        <f>SUMIF('Orçamento-base'!$A$12:$A$39909,Identificação!$A52,'Orçamento-base'!$K$12:$K$39909)</f>
        <v>0</v>
      </c>
      <c r="D52" s="93"/>
      <c r="E52" s="94"/>
      <c r="F52" s="94"/>
      <c r="G52" s="92">
        <f>SUMIF(Proposta!$A$12:$A$39946,Identificação!$A52,Proposta!$H$12:$H$39946)</f>
        <v>0</v>
      </c>
    </row>
    <row r="53" spans="1:7" x14ac:dyDescent="0.25">
      <c r="A53" s="34"/>
      <c r="B53" s="35"/>
      <c r="C53" s="92">
        <f>SUMIF('Orçamento-base'!$A$12:$A$39909,Identificação!$A53,'Orçamento-base'!$K$12:$K$39909)</f>
        <v>0</v>
      </c>
      <c r="D53" s="93"/>
      <c r="E53" s="94"/>
      <c r="F53" s="94"/>
      <c r="G53" s="92">
        <f>SUMIF(Proposta!$A$12:$A$39946,Identificação!$A53,Proposta!$H$12:$H$39946)</f>
        <v>0</v>
      </c>
    </row>
    <row r="54" spans="1:7" x14ac:dyDescent="0.25">
      <c r="A54" s="34"/>
      <c r="B54" s="35"/>
      <c r="C54" s="92">
        <f>SUMIF('Orçamento-base'!$A$12:$A$39909,Identificação!$A54,'Orçamento-base'!$K$12:$K$39909)</f>
        <v>0</v>
      </c>
      <c r="D54" s="93"/>
      <c r="E54" s="94"/>
      <c r="F54" s="94"/>
      <c r="G54" s="92">
        <f>SUMIF(Proposta!$A$12:$A$39946,Identificação!$A54,Proposta!$H$12:$H$39946)</f>
        <v>0</v>
      </c>
    </row>
    <row r="55" spans="1:7" x14ac:dyDescent="0.25">
      <c r="A55" s="34"/>
      <c r="B55" s="35"/>
      <c r="C55" s="92">
        <f>SUMIF('Orçamento-base'!$A$12:$A$39909,Identificação!$A55,'Orçamento-base'!$K$12:$K$39909)</f>
        <v>0</v>
      </c>
      <c r="D55" s="93"/>
      <c r="E55" s="94"/>
      <c r="F55" s="94"/>
      <c r="G55" s="92">
        <f>SUMIF(Proposta!$A$12:$A$39946,Identificação!$A55,Proposta!$H$12:$H$39946)</f>
        <v>0</v>
      </c>
    </row>
    <row r="56" spans="1:7" x14ac:dyDescent="0.25">
      <c r="A56" s="34"/>
      <c r="B56" s="35"/>
      <c r="C56" s="92">
        <f>SUMIF('Orçamento-base'!$A$12:$A$39909,Identificação!$A56,'Orçamento-base'!$K$12:$K$39909)</f>
        <v>0</v>
      </c>
      <c r="D56" s="93"/>
      <c r="E56" s="94"/>
      <c r="F56" s="94"/>
      <c r="G56" s="92">
        <f>SUMIF(Proposta!$A$12:$A$39946,Identificação!$A56,Proposta!$H$12:$H$39946)</f>
        <v>0</v>
      </c>
    </row>
    <row r="57" spans="1:7" x14ac:dyDescent="0.25">
      <c r="A57" s="34"/>
      <c r="B57" s="35"/>
      <c r="C57" s="92">
        <f>SUMIF('Orçamento-base'!$A$12:$A$39909,Identificação!$A57,'Orçamento-base'!$K$12:$K$39909)</f>
        <v>0</v>
      </c>
      <c r="D57" s="93"/>
      <c r="E57" s="94"/>
      <c r="F57" s="94"/>
      <c r="G57" s="92">
        <f>SUMIF(Proposta!$A$12:$A$39946,Identificação!$A57,Proposta!$H$12:$H$39946)</f>
        <v>0</v>
      </c>
    </row>
    <row r="58" spans="1:7" x14ac:dyDescent="0.25">
      <c r="A58" s="34"/>
      <c r="B58" s="35"/>
      <c r="C58" s="92">
        <f>SUMIF('Orçamento-base'!$A$12:$A$39909,Identificação!$A58,'Orçamento-base'!$K$12:$K$39909)</f>
        <v>0</v>
      </c>
      <c r="D58" s="93"/>
      <c r="E58" s="94"/>
      <c r="F58" s="94"/>
      <c r="G58" s="92">
        <f>SUMIF(Proposta!$A$12:$A$39946,Identificação!$A58,Proposta!$H$12:$H$39946)</f>
        <v>0</v>
      </c>
    </row>
    <row r="59" spans="1:7" x14ac:dyDescent="0.25">
      <c r="A59" s="34"/>
      <c r="B59" s="35"/>
      <c r="C59" s="92">
        <f>SUMIF('Orçamento-base'!$A$12:$A$39909,Identificação!$A59,'Orçamento-base'!$K$12:$K$39909)</f>
        <v>0</v>
      </c>
      <c r="D59" s="93"/>
      <c r="E59" s="94"/>
      <c r="F59" s="94"/>
      <c r="G59" s="92">
        <f>SUMIF(Proposta!$A$12:$A$39946,Identificação!$A59,Proposta!$H$12:$H$39946)</f>
        <v>0</v>
      </c>
    </row>
    <row r="60" spans="1:7" x14ac:dyDescent="0.25">
      <c r="A60" s="34"/>
      <c r="B60" s="35"/>
      <c r="C60" s="92">
        <f>SUMIF('Orçamento-base'!$A$12:$A$39909,Identificação!$A60,'Orçamento-base'!$K$12:$K$39909)</f>
        <v>0</v>
      </c>
      <c r="D60" s="93"/>
      <c r="E60" s="94"/>
      <c r="F60" s="94"/>
      <c r="G60" s="92">
        <f>SUMIF(Proposta!$A$12:$A$39946,Identificação!$A60,Proposta!$H$12:$H$39946)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dataValidations disablePrompts="1" count="2">
    <dataValidation type="list" allowBlank="1" showInputMessage="1" showErrorMessage="1" errorTitle="Tipo de Objeto Inválido" error="O tipo de objeto informado é inválido. _x000a_Selecione o Tipo de Objeto na lista suspensa." sqref="B5" xr:uid="{00000000-0002-0000-0000-000000000000}">
      <formula1>#REF!</formula1>
    </dataValidation>
    <dataValidation type="list" allowBlank="1" showInputMessage="1" showErrorMessage="1" errorTitle="Modalidade Inválida" error="A modalidade informada é inválida. _x000a_Selecione a Modalidade na lista suspensa." sqref="B2:C2" xr:uid="{00000000-0002-0000-0000-000001000000}">
      <formula1>#REF!</formula1>
    </dataValidation>
  </dataValidations>
  <pageMargins left="0.511811024" right="0.511811024" top="0.78740157499999996" bottom="0.78740157499999996" header="0.31496062000000002" footer="0.31496062000000002"/>
  <pageSetup paperSize="9" scale="73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69"/>
  <sheetViews>
    <sheetView view="pageBreakPreview" zoomScaleNormal="100" zoomScaleSheetLayoutView="100" workbookViewId="0">
      <selection activeCell="K2" sqref="K2"/>
    </sheetView>
  </sheetViews>
  <sheetFormatPr defaultRowHeight="15" x14ac:dyDescent="0.25"/>
  <cols>
    <col min="1" max="1" width="8.28515625" style="112" customWidth="1"/>
    <col min="2" max="2" width="8.5703125" style="112" customWidth="1"/>
    <col min="3" max="3" width="6.28515625" style="44" customWidth="1"/>
    <col min="4" max="4" width="14.140625" style="117" customWidth="1"/>
    <col min="5" max="5" width="10.5703125" style="112" customWidth="1"/>
    <col min="6" max="6" width="11" style="113" customWidth="1"/>
    <col min="7" max="7" width="51.85546875" style="171" customWidth="1"/>
    <col min="8" max="8" width="11.140625" style="97" bestFit="1" customWidth="1"/>
    <col min="9" max="9" width="9.7109375" style="48" customWidth="1"/>
    <col min="10" max="10" width="12" style="176" customWidth="1"/>
    <col min="11" max="11" width="16.42578125" style="117" bestFit="1" customWidth="1"/>
    <col min="12" max="12" width="8" style="85" customWidth="1"/>
    <col min="13" max="13" width="12.7109375" style="86" customWidth="1"/>
    <col min="14" max="14" width="7.140625" style="45" hidden="1" customWidth="1"/>
    <col min="15" max="15" width="57.28515625" style="42" hidden="1" customWidth="1"/>
    <col min="16" max="16" width="7.140625" style="42" hidden="1" customWidth="1"/>
    <col min="17" max="17" width="47.7109375" style="42" hidden="1" customWidth="1"/>
    <col min="18" max="18" width="26.85546875" style="40" customWidth="1"/>
    <col min="19" max="19" width="11.28515625" style="40" customWidth="1"/>
    <col min="20" max="16384" width="9.140625" style="40"/>
  </cols>
  <sheetData>
    <row r="1" spans="1:18" customFormat="1" ht="16.5" thickBot="1" x14ac:dyDescent="0.3">
      <c r="A1" s="285" t="s">
        <v>165</v>
      </c>
      <c r="B1" s="286"/>
      <c r="C1" s="286"/>
      <c r="D1" s="286"/>
      <c r="E1" s="286"/>
      <c r="F1" s="286"/>
      <c r="G1" s="286"/>
      <c r="H1" s="286"/>
      <c r="I1" s="286"/>
      <c r="J1" s="286"/>
      <c r="K1" s="287"/>
      <c r="L1" s="78"/>
      <c r="M1" s="79"/>
      <c r="N1" s="36"/>
      <c r="O1" s="1"/>
      <c r="P1" s="1"/>
      <c r="Q1" s="1"/>
    </row>
    <row r="2" spans="1:18" s="27" customFormat="1" ht="15.75" thickBot="1" x14ac:dyDescent="0.3">
      <c r="A2" s="260" t="s">
        <v>0</v>
      </c>
      <c r="B2" s="262"/>
      <c r="C2" s="288" t="str">
        <f>IF(Identificação!B2=0,"",Identificação!B2)</f>
        <v>Concorrência Lei 14.133/21 Eletrônica</v>
      </c>
      <c r="D2" s="288"/>
      <c r="E2" s="288"/>
      <c r="F2" s="288"/>
      <c r="G2" s="288"/>
      <c r="H2" s="37" t="s">
        <v>132</v>
      </c>
      <c r="I2" s="38" t="str">
        <f>IF(Identificação!E2=0,"",Identificação!E2)</f>
        <v/>
      </c>
      <c r="J2" s="172" t="s">
        <v>133</v>
      </c>
      <c r="K2" s="177">
        <f>IF(Identificação!G2=0,"",Identificação!G2)</f>
        <v>2026</v>
      </c>
      <c r="L2" s="80"/>
      <c r="M2" s="80"/>
    </row>
    <row r="3" spans="1:18" s="27" customFormat="1" ht="32.25" customHeight="1" thickBot="1" x14ac:dyDescent="0.3">
      <c r="A3" s="294" t="s">
        <v>134</v>
      </c>
      <c r="B3" s="295"/>
      <c r="C3" s="296" t="str">
        <f>IF(Identificação!B3=0,"",Identificação!B3)</f>
        <v>Registro de preços para futura e eventual contratação de projetos de arquitetura/engenharia</v>
      </c>
      <c r="D3" s="296"/>
      <c r="E3" s="296"/>
      <c r="F3" s="296"/>
      <c r="G3" s="296"/>
      <c r="H3" s="296"/>
      <c r="I3" s="296"/>
      <c r="J3" s="296"/>
      <c r="K3" s="297"/>
      <c r="L3" s="80"/>
      <c r="M3" s="80"/>
    </row>
    <row r="4" spans="1:18" s="27" customFormat="1" ht="15.75" thickBot="1" x14ac:dyDescent="0.3">
      <c r="A4" s="261" t="s">
        <v>157</v>
      </c>
      <c r="B4" s="263"/>
      <c r="C4" s="290" t="str">
        <f>IF(Identificação!B4=0,"",Identificação!B4)</f>
        <v>Prefeitura Municipal de São Marcos</v>
      </c>
      <c r="D4" s="290"/>
      <c r="E4" s="290"/>
      <c r="F4" s="290"/>
      <c r="G4" s="290"/>
      <c r="H4" s="290"/>
      <c r="I4" s="290"/>
      <c r="J4" s="173" t="s">
        <v>154</v>
      </c>
      <c r="K4" s="178" t="str">
        <f>IF(Identificação!G4=0,"",Identificação!G4)</f>
        <v/>
      </c>
      <c r="L4" s="80"/>
      <c r="M4" s="80"/>
    </row>
    <row r="5" spans="1:18" s="27" customFormat="1" ht="15.75" thickBot="1" x14ac:dyDescent="0.3">
      <c r="A5" s="261" t="s">
        <v>150</v>
      </c>
      <c r="B5" s="263"/>
      <c r="C5" s="290" t="str">
        <f>IF(Identificação!B5=0,"",Identificação!B5)</f>
        <v>Obras e Serviços de Engenharia</v>
      </c>
      <c r="D5" s="290"/>
      <c r="E5" s="290"/>
      <c r="F5" s="290"/>
      <c r="G5" s="291"/>
      <c r="I5" s="25"/>
      <c r="J5" s="108"/>
      <c r="K5" s="120"/>
      <c r="L5" s="81"/>
      <c r="M5" s="80"/>
    </row>
    <row r="6" spans="1:18" s="27" customFormat="1" ht="15.75" thickBot="1" x14ac:dyDescent="0.3">
      <c r="A6" s="261" t="s">
        <v>190</v>
      </c>
      <c r="B6" s="263"/>
      <c r="C6" s="292">
        <f>SUMIFS(K12:K39909,B12:B39909,"&gt;0",K12:K39909,"&lt;&gt;0")</f>
        <v>1306228.4000000004</v>
      </c>
      <c r="D6" s="292"/>
      <c r="E6" s="292"/>
      <c r="F6" s="292"/>
      <c r="G6" s="293"/>
      <c r="I6" s="5"/>
      <c r="J6" s="120"/>
      <c r="K6" s="179"/>
      <c r="L6" s="80"/>
      <c r="M6" s="80"/>
    </row>
    <row r="7" spans="1:18" s="27" customFormat="1" x14ac:dyDescent="0.25">
      <c r="A7" s="120"/>
      <c r="B7" s="120"/>
      <c r="C7" s="16"/>
      <c r="D7" s="114"/>
      <c r="E7" s="107"/>
      <c r="F7" s="107"/>
      <c r="G7" s="168"/>
      <c r="H7" s="17"/>
      <c r="I7" s="5"/>
      <c r="J7" s="120"/>
      <c r="K7" s="179"/>
      <c r="L7" s="80"/>
      <c r="M7" s="80"/>
    </row>
    <row r="8" spans="1:18" s="27" customFormat="1" ht="19.5" customHeight="1" x14ac:dyDescent="0.25">
      <c r="A8" s="121" t="s">
        <v>203</v>
      </c>
      <c r="B8" s="120"/>
      <c r="C8" s="16"/>
      <c r="D8" s="114"/>
      <c r="E8" s="107"/>
      <c r="F8" s="107"/>
      <c r="G8" s="168"/>
      <c r="I8" s="5"/>
      <c r="J8" s="120"/>
      <c r="K8" s="179"/>
      <c r="L8" s="80"/>
      <c r="M8" s="80"/>
    </row>
    <row r="9" spans="1:18" s="11" customFormat="1" x14ac:dyDescent="0.25">
      <c r="A9" s="109" t="s">
        <v>191</v>
      </c>
      <c r="B9" s="109"/>
      <c r="C9" s="8"/>
      <c r="D9" s="115"/>
      <c r="E9" s="108"/>
      <c r="F9" s="109" t="s">
        <v>155</v>
      </c>
      <c r="G9" s="169"/>
      <c r="H9" s="14" t="s">
        <v>192</v>
      </c>
      <c r="J9" s="174"/>
      <c r="K9" s="174"/>
      <c r="L9" s="82"/>
      <c r="M9" s="82"/>
      <c r="R9" s="27"/>
    </row>
    <row r="10" spans="1:18" customFormat="1" ht="15" customHeight="1" x14ac:dyDescent="0.25">
      <c r="A10" s="277" t="s">
        <v>189</v>
      </c>
      <c r="B10" s="277" t="s">
        <v>187</v>
      </c>
      <c r="C10" s="277" t="s">
        <v>188</v>
      </c>
      <c r="D10" s="281" t="s">
        <v>164</v>
      </c>
      <c r="E10" s="279" t="s">
        <v>149</v>
      </c>
      <c r="F10" s="283" t="s">
        <v>163</v>
      </c>
      <c r="G10" s="281" t="s">
        <v>137</v>
      </c>
      <c r="H10" s="302" t="s">
        <v>146</v>
      </c>
      <c r="I10" s="303"/>
      <c r="J10" s="303"/>
      <c r="K10" s="303"/>
      <c r="L10" s="303"/>
      <c r="M10" s="304"/>
      <c r="N10" s="298" t="s">
        <v>158</v>
      </c>
      <c r="O10" s="299"/>
      <c r="P10" s="300" t="s">
        <v>159</v>
      </c>
      <c r="Q10" s="301"/>
      <c r="R10" s="289" t="s">
        <v>167</v>
      </c>
    </row>
    <row r="11" spans="1:18" customFormat="1" ht="45" x14ac:dyDescent="0.25">
      <c r="A11" s="278"/>
      <c r="B11" s="278"/>
      <c r="C11" s="278"/>
      <c r="D11" s="282"/>
      <c r="E11" s="280"/>
      <c r="F11" s="284"/>
      <c r="G11" s="282"/>
      <c r="H11" s="52" t="s">
        <v>138</v>
      </c>
      <c r="I11" s="23" t="s">
        <v>139</v>
      </c>
      <c r="J11" s="3" t="s">
        <v>140</v>
      </c>
      <c r="K11" s="3" t="s">
        <v>141</v>
      </c>
      <c r="L11" s="83" t="s">
        <v>147</v>
      </c>
      <c r="M11" s="83" t="s">
        <v>148</v>
      </c>
      <c r="N11" s="39" t="s">
        <v>195</v>
      </c>
      <c r="O11" s="23" t="s">
        <v>161</v>
      </c>
      <c r="P11" s="39" t="s">
        <v>195</v>
      </c>
      <c r="Q11" s="23" t="s">
        <v>161</v>
      </c>
      <c r="R11" s="289"/>
    </row>
    <row r="12" spans="1:18" ht="45" x14ac:dyDescent="0.25">
      <c r="A12" s="110">
        <v>1</v>
      </c>
      <c r="B12" s="182">
        <f>IF(AND(G12&lt;&gt;"",H12&gt;0,I12&lt;&gt;"",J12&lt;&gt;0,K12&lt;&gt;0),COUNT($B$11:B11)+1,"")</f>
        <v>1</v>
      </c>
      <c r="C12" s="106">
        <v>1</v>
      </c>
      <c r="D12" s="116" t="s">
        <v>201</v>
      </c>
      <c r="E12" s="110" t="s">
        <v>213</v>
      </c>
      <c r="F12" s="111">
        <v>45901</v>
      </c>
      <c r="G12" s="170" t="s">
        <v>240</v>
      </c>
      <c r="H12" s="118">
        <v>2</v>
      </c>
      <c r="I12" s="119" t="s">
        <v>174</v>
      </c>
      <c r="J12" s="175">
        <f>Composições!H21</f>
        <v>12733.78</v>
      </c>
      <c r="K12" s="180">
        <f>IFERROR(IF(H12*J12&lt;&gt;0,ROUND(ROUND(H12,4)*ROUND(J12,4),2),""),"")</f>
        <v>25467.56</v>
      </c>
      <c r="L12" s="123">
        <v>0.24779999999999999</v>
      </c>
      <c r="M12" s="123">
        <v>1.1284000000000001</v>
      </c>
      <c r="N12" s="34"/>
      <c r="O12" s="54" t="str">
        <f ca="1">IF(N12="","", INDIRECT("base!"&amp;ADDRESS(MATCH(N12,#REF!:#REF!,0)+1,4,4)))</f>
        <v/>
      </c>
      <c r="P12" s="41"/>
      <c r="Q12" s="54" t="str">
        <f ca="1">IF(P12="","", INDIRECT("base!"&amp;ADDRESS(MATCH(CONCATENATE(N12,"|",P12),#REF!:#REF!,0)+1,6,4)))</f>
        <v/>
      </c>
      <c r="R12" s="122" t="s">
        <v>173</v>
      </c>
    </row>
    <row r="13" spans="1:18" ht="45" x14ac:dyDescent="0.25">
      <c r="A13" s="110">
        <v>1</v>
      </c>
      <c r="B13" s="182">
        <f>IF(AND(G13&lt;&gt;"",H13&gt;0,I13&lt;&gt;"",J13&lt;&gt;0,K13&lt;&gt;0),COUNT($B$11:B12)+1,"")</f>
        <v>2</v>
      </c>
      <c r="C13" s="106">
        <v>2</v>
      </c>
      <c r="D13" s="116" t="s">
        <v>201</v>
      </c>
      <c r="E13" s="110" t="s">
        <v>214</v>
      </c>
      <c r="F13" s="111">
        <v>45901</v>
      </c>
      <c r="G13" s="170" t="s">
        <v>430</v>
      </c>
      <c r="H13" s="118">
        <v>8</v>
      </c>
      <c r="I13" s="119" t="s">
        <v>174</v>
      </c>
      <c r="J13" s="175">
        <f>Composições!H31</f>
        <v>18787.91</v>
      </c>
      <c r="K13" s="180">
        <f>IFERROR(IF(H13*J13&lt;&gt;0,ROUND(ROUND(H13,4)*ROUND(J13,4),2),""),"")</f>
        <v>150303.28</v>
      </c>
      <c r="L13" s="123">
        <v>0.24779999999999999</v>
      </c>
      <c r="M13" s="123">
        <v>1.1284000000000001</v>
      </c>
      <c r="N13" s="34"/>
      <c r="O13" s="54" t="str">
        <f ca="1">IF(N13="","", INDIRECT("base!"&amp;ADDRESS(MATCH(N13,#REF!:#REF!,0)+1,4,4)))</f>
        <v/>
      </c>
      <c r="P13" s="41"/>
      <c r="Q13" s="54" t="str">
        <f ca="1">IF(P13="","", INDIRECT("base!"&amp;ADDRESS(MATCH(CONCATENATE(N13,"|",P13),#REF!:#REF!,0)+1,6,4)))</f>
        <v/>
      </c>
      <c r="R13" s="122" t="s">
        <v>173</v>
      </c>
    </row>
    <row r="14" spans="1:18" ht="30" x14ac:dyDescent="0.25">
      <c r="A14" s="110">
        <v>2</v>
      </c>
      <c r="B14" s="183">
        <f>IF(AND(G14&lt;&gt;"",H14&gt;0,I14&lt;&gt;"",J14&lt;&gt;0,K14&lt;&gt;0),COUNT($B$11:B13)+1,"")</f>
        <v>3</v>
      </c>
      <c r="C14" s="106">
        <v>1</v>
      </c>
      <c r="D14" s="116" t="s">
        <v>201</v>
      </c>
      <c r="E14" s="110" t="s">
        <v>215</v>
      </c>
      <c r="F14" s="111">
        <v>45901</v>
      </c>
      <c r="G14" s="170" t="s">
        <v>437</v>
      </c>
      <c r="H14" s="118">
        <v>6</v>
      </c>
      <c r="I14" s="119" t="s">
        <v>174</v>
      </c>
      <c r="J14" s="175">
        <f>Composições!H41</f>
        <v>7142.45</v>
      </c>
      <c r="K14" s="181">
        <f t="shared" ref="K14:K34" si="0">IFERROR(IF(H14*J14&lt;&gt;0,ROUND(ROUND(H14,4)*ROUND(J14,4),2),""),"")</f>
        <v>42854.7</v>
      </c>
      <c r="L14" s="123">
        <v>0.24779999999999999</v>
      </c>
      <c r="M14" s="123">
        <v>1.1284000000000001</v>
      </c>
      <c r="N14" s="34"/>
      <c r="O14" s="102" t="str">
        <f ca="1">IF(N14="","", INDIRECT("base!"&amp;ADDRESS(MATCH(N14,#REF!:#REF!,0)+1,4,4)))</f>
        <v/>
      </c>
      <c r="P14" s="41"/>
      <c r="Q14" s="102" t="str">
        <f ca="1">IF(P14="","", INDIRECT("base!"&amp;ADDRESS(MATCH(CONCATENATE(N14,"|",P14),#REF!:#REF!,0)+1,6,4)))</f>
        <v/>
      </c>
      <c r="R14" s="122" t="s">
        <v>173</v>
      </c>
    </row>
    <row r="15" spans="1:18" ht="30" x14ac:dyDescent="0.25">
      <c r="A15" s="110">
        <v>2</v>
      </c>
      <c r="B15" s="183">
        <f>IF(AND(G15&lt;&gt;"",H15&gt;0,I15&lt;&gt;"",J15&lt;&gt;0,K15&lt;&gt;0),COUNT($B$11:B14)+1,"")</f>
        <v>4</v>
      </c>
      <c r="C15" s="106">
        <v>2</v>
      </c>
      <c r="D15" s="116" t="s">
        <v>201</v>
      </c>
      <c r="E15" s="110" t="s">
        <v>216</v>
      </c>
      <c r="F15" s="111">
        <v>45901</v>
      </c>
      <c r="G15" s="170" t="s">
        <v>438</v>
      </c>
      <c r="H15" s="118">
        <v>12</v>
      </c>
      <c r="I15" s="119" t="s">
        <v>174</v>
      </c>
      <c r="J15" s="175">
        <f>Composições!H51</f>
        <v>13871.25</v>
      </c>
      <c r="K15" s="181">
        <f t="shared" si="0"/>
        <v>166455</v>
      </c>
      <c r="L15" s="123">
        <v>0.24779999999999999</v>
      </c>
      <c r="M15" s="123">
        <v>1.1284000000000001</v>
      </c>
      <c r="N15" s="34"/>
      <c r="O15" s="102" t="str">
        <f ca="1">IF(N15="","", INDIRECT("base!"&amp;ADDRESS(MATCH(N15,#REF!:#REF!,0)+1,4,4)))</f>
        <v/>
      </c>
      <c r="P15" s="41"/>
      <c r="Q15" s="102" t="str">
        <f ca="1">IF(P15="","", INDIRECT("base!"&amp;ADDRESS(MATCH(CONCATENATE(N15,"|",P15),#REF!:#REF!,0)+1,6,4)))</f>
        <v/>
      </c>
      <c r="R15" s="122" t="s">
        <v>173</v>
      </c>
    </row>
    <row r="16" spans="1:18" ht="30" x14ac:dyDescent="0.25">
      <c r="A16" s="110">
        <v>3</v>
      </c>
      <c r="B16" s="183">
        <f>IF(AND(G16&lt;&gt;"",H16&gt;0,I16&lt;&gt;"",J16&lt;&gt;0,K16&lt;&gt;0),COUNT($B$11:B15)+1,"")</f>
        <v>5</v>
      </c>
      <c r="C16" s="106">
        <v>1</v>
      </c>
      <c r="D16" s="116" t="s">
        <v>201</v>
      </c>
      <c r="E16" s="110" t="s">
        <v>217</v>
      </c>
      <c r="F16" s="111">
        <v>45901</v>
      </c>
      <c r="G16" s="170" t="s">
        <v>241</v>
      </c>
      <c r="H16" s="118">
        <v>4</v>
      </c>
      <c r="I16" s="119" t="s">
        <v>174</v>
      </c>
      <c r="J16" s="175">
        <f>Composições!H61</f>
        <v>7080.13</v>
      </c>
      <c r="K16" s="181">
        <f t="shared" si="0"/>
        <v>28320.52</v>
      </c>
      <c r="L16" s="123">
        <v>0.24779999999999999</v>
      </c>
      <c r="M16" s="123">
        <v>1.1284000000000001</v>
      </c>
      <c r="N16" s="34"/>
      <c r="O16" s="102" t="str">
        <f ca="1">IF(N16="","", INDIRECT("base!"&amp;ADDRESS(MATCH(N16,#REF!:#REF!,0)+1,4,4)))</f>
        <v/>
      </c>
      <c r="P16" s="41"/>
      <c r="Q16" s="102" t="str">
        <f ca="1">IF(P16="","", INDIRECT("base!"&amp;ADDRESS(MATCH(CONCATENATE(N16,"|",P16),#REF!:#REF!,0)+1,6,4)))</f>
        <v/>
      </c>
      <c r="R16" s="122" t="s">
        <v>173</v>
      </c>
    </row>
    <row r="17" spans="1:18" ht="30" x14ac:dyDescent="0.25">
      <c r="A17" s="110">
        <v>3</v>
      </c>
      <c r="B17" s="183">
        <f>IF(AND(G17&lt;&gt;"",H17&gt;0,I17&lt;&gt;"",J17&lt;&gt;0,K17&lt;&gt;0),COUNT($B$11:B16)+1,"")</f>
        <v>6</v>
      </c>
      <c r="C17" s="106">
        <v>2</v>
      </c>
      <c r="D17" s="116" t="s">
        <v>201</v>
      </c>
      <c r="E17" s="110" t="s">
        <v>218</v>
      </c>
      <c r="F17" s="111">
        <v>45901</v>
      </c>
      <c r="G17" s="170" t="s">
        <v>242</v>
      </c>
      <c r="H17" s="118">
        <v>4</v>
      </c>
      <c r="I17" s="119" t="s">
        <v>174</v>
      </c>
      <c r="J17" s="175">
        <f>Composições!H71</f>
        <v>15823.86</v>
      </c>
      <c r="K17" s="181">
        <f t="shared" si="0"/>
        <v>63295.44</v>
      </c>
      <c r="L17" s="123">
        <v>0.24779999999999999</v>
      </c>
      <c r="M17" s="123">
        <v>1.1284000000000001</v>
      </c>
      <c r="N17" s="34"/>
      <c r="O17" s="102" t="str">
        <f ca="1">IF(N17="","", INDIRECT("base!"&amp;ADDRESS(MATCH(N17,#REF!:#REF!,0)+1,4,4)))</f>
        <v/>
      </c>
      <c r="P17" s="41"/>
      <c r="Q17" s="102" t="str">
        <f ca="1">IF(P17="","", INDIRECT("base!"&amp;ADDRESS(MATCH(CONCATENATE(N17,"|",P17),#REF!:#REF!,0)+1,6,4)))</f>
        <v/>
      </c>
      <c r="R17" s="122" t="s">
        <v>173</v>
      </c>
    </row>
    <row r="18" spans="1:18" ht="30" x14ac:dyDescent="0.25">
      <c r="A18" s="110">
        <v>3</v>
      </c>
      <c r="B18" s="183">
        <f>IF(AND(G18&lt;&gt;"",H18&gt;0,I18&lt;&gt;"",J18&lt;&gt;0,K18&lt;&gt;0),COUNT($B$11:B17)+1,"")</f>
        <v>7</v>
      </c>
      <c r="C18" s="106">
        <v>1</v>
      </c>
      <c r="D18" s="116" t="s">
        <v>201</v>
      </c>
      <c r="E18" s="110" t="s">
        <v>219</v>
      </c>
      <c r="F18" s="111">
        <v>45901</v>
      </c>
      <c r="G18" s="170" t="s">
        <v>243</v>
      </c>
      <c r="H18" s="118">
        <v>4</v>
      </c>
      <c r="I18" s="119" t="s">
        <v>174</v>
      </c>
      <c r="J18" s="175">
        <f>Composições!H81</f>
        <v>28926.1</v>
      </c>
      <c r="K18" s="181">
        <f t="shared" si="0"/>
        <v>115704.4</v>
      </c>
      <c r="L18" s="123">
        <v>0.24779999999999999</v>
      </c>
      <c r="M18" s="123">
        <v>1.1284000000000001</v>
      </c>
      <c r="N18" s="34"/>
      <c r="O18" s="102" t="str">
        <f ca="1">IF(N18="","", INDIRECT("base!"&amp;ADDRESS(MATCH(N18,#REF!:#REF!,0)+1,4,4)))</f>
        <v/>
      </c>
      <c r="P18" s="41"/>
      <c r="Q18" s="102" t="str">
        <f ca="1">IF(P18="","", INDIRECT("base!"&amp;ADDRESS(MATCH(CONCATENATE(N18,"|",P18),#REF!:#REF!,0)+1,6,4)))</f>
        <v/>
      </c>
      <c r="R18" s="122" t="s">
        <v>173</v>
      </c>
    </row>
    <row r="19" spans="1:18" ht="30" x14ac:dyDescent="0.25">
      <c r="A19" s="110">
        <v>4</v>
      </c>
      <c r="B19" s="183">
        <f>IF(AND(G19&lt;&gt;"",H19&gt;0,I19&lt;&gt;"",J19&lt;&gt;0,K19&lt;&gt;0),COUNT($B$11:B18)+1,"")</f>
        <v>8</v>
      </c>
      <c r="C19" s="106">
        <v>2</v>
      </c>
      <c r="D19" s="116" t="s">
        <v>201</v>
      </c>
      <c r="E19" s="110" t="s">
        <v>220</v>
      </c>
      <c r="F19" s="111">
        <v>45901</v>
      </c>
      <c r="G19" s="170" t="s">
        <v>244</v>
      </c>
      <c r="H19" s="118">
        <v>3</v>
      </c>
      <c r="I19" s="119" t="s">
        <v>174</v>
      </c>
      <c r="J19" s="175">
        <f>Composições!H91</f>
        <v>8948.01</v>
      </c>
      <c r="K19" s="181">
        <f t="shared" si="0"/>
        <v>26844.03</v>
      </c>
      <c r="L19" s="123">
        <v>0.24779999999999999</v>
      </c>
      <c r="M19" s="123">
        <v>1.1284000000000001</v>
      </c>
      <c r="N19" s="34"/>
      <c r="O19" s="102" t="str">
        <f ca="1">IF(N19="","", INDIRECT("base!"&amp;ADDRESS(MATCH(N19,#REF!:#REF!,0)+1,4,4)))</f>
        <v/>
      </c>
      <c r="P19" s="41"/>
      <c r="Q19" s="102" t="str">
        <f ca="1">IF(P19="","", INDIRECT("base!"&amp;ADDRESS(MATCH(CONCATENATE(N19,"|",P19),#REF!:#REF!,0)+1,6,4)))</f>
        <v/>
      </c>
      <c r="R19" s="122" t="s">
        <v>173</v>
      </c>
    </row>
    <row r="20" spans="1:18" ht="30" x14ac:dyDescent="0.25">
      <c r="A20" s="110">
        <v>4</v>
      </c>
      <c r="B20" s="183">
        <f>IF(AND(G20&lt;&gt;"",H20&gt;0,I20&lt;&gt;"",J20&lt;&gt;0,K20&lt;&gt;0),COUNT($B$11:B19)+1,"")</f>
        <v>9</v>
      </c>
      <c r="C20" s="106">
        <v>3</v>
      </c>
      <c r="D20" s="116" t="s">
        <v>201</v>
      </c>
      <c r="E20" s="110" t="s">
        <v>221</v>
      </c>
      <c r="F20" s="111">
        <v>45901</v>
      </c>
      <c r="G20" s="170" t="s">
        <v>245</v>
      </c>
      <c r="H20" s="118">
        <v>2</v>
      </c>
      <c r="I20" s="119" t="s">
        <v>174</v>
      </c>
      <c r="J20" s="175">
        <f>Composições!H101</f>
        <v>12595.81</v>
      </c>
      <c r="K20" s="181">
        <f t="shared" si="0"/>
        <v>25191.62</v>
      </c>
      <c r="L20" s="123">
        <v>0.24779999999999999</v>
      </c>
      <c r="M20" s="123">
        <v>1.1284000000000001</v>
      </c>
      <c r="N20" s="34"/>
      <c r="O20" s="102" t="str">
        <f ca="1">IF(N20="","", INDIRECT("base!"&amp;ADDRESS(MATCH(N20,#REF!:#REF!,0)+1,4,4)))</f>
        <v/>
      </c>
      <c r="P20" s="41"/>
      <c r="Q20" s="102" t="str">
        <f ca="1">IF(P20="","", INDIRECT("base!"&amp;ADDRESS(MATCH(CONCATENATE(N20,"|",P20),#REF!:#REF!,0)+1,6,4)))</f>
        <v/>
      </c>
      <c r="R20" s="122" t="s">
        <v>173</v>
      </c>
    </row>
    <row r="21" spans="1:18" ht="30" x14ac:dyDescent="0.25">
      <c r="A21" s="110">
        <v>5</v>
      </c>
      <c r="B21" s="183">
        <f>IF(AND(G21&lt;&gt;"",H21&gt;0,I21&lt;&gt;"",J21&lt;&gt;0,K21&lt;&gt;0),COUNT($B$11:B20)+1,"")</f>
        <v>10</v>
      </c>
      <c r="C21" s="106">
        <v>1</v>
      </c>
      <c r="D21" s="116" t="s">
        <v>201</v>
      </c>
      <c r="E21" s="110" t="s">
        <v>222</v>
      </c>
      <c r="F21" s="111">
        <v>45901</v>
      </c>
      <c r="G21" s="170" t="s">
        <v>246</v>
      </c>
      <c r="H21" s="118">
        <v>3</v>
      </c>
      <c r="I21" s="119" t="s">
        <v>174</v>
      </c>
      <c r="J21" s="175">
        <f>Composições!H111</f>
        <v>12026.52</v>
      </c>
      <c r="K21" s="181">
        <f t="shared" si="0"/>
        <v>36079.56</v>
      </c>
      <c r="L21" s="123">
        <v>0.24779999999999999</v>
      </c>
      <c r="M21" s="123">
        <v>1.1284000000000001</v>
      </c>
      <c r="N21" s="34"/>
      <c r="O21" s="102" t="str">
        <f ca="1">IF(N21="","", INDIRECT("base!"&amp;ADDRESS(MATCH(N21,#REF!:#REF!,0)+1,4,4)))</f>
        <v/>
      </c>
      <c r="P21" s="41"/>
      <c r="Q21" s="102" t="str">
        <f ca="1">IF(P21="","", INDIRECT("base!"&amp;ADDRESS(MATCH(CONCATENATE(N21,"|",P21),#REF!:#REF!,0)+1,6,4)))</f>
        <v/>
      </c>
      <c r="R21" s="122" t="s">
        <v>173</v>
      </c>
    </row>
    <row r="22" spans="1:18" ht="30" x14ac:dyDescent="0.25">
      <c r="A22" s="110">
        <v>5</v>
      </c>
      <c r="B22" s="183">
        <f>IF(AND(G22&lt;&gt;"",H22&gt;0,I22&lt;&gt;"",J22&lt;&gt;0,K22&lt;&gt;0),COUNT($B$11:B21)+1,"")</f>
        <v>11</v>
      </c>
      <c r="C22" s="106">
        <v>2</v>
      </c>
      <c r="D22" s="116" t="s">
        <v>201</v>
      </c>
      <c r="E22" s="110" t="s">
        <v>223</v>
      </c>
      <c r="F22" s="111">
        <v>45901</v>
      </c>
      <c r="G22" s="170" t="s">
        <v>247</v>
      </c>
      <c r="H22" s="118">
        <v>3</v>
      </c>
      <c r="I22" s="119" t="s">
        <v>174</v>
      </c>
      <c r="J22" s="175">
        <f>Composições!H121</f>
        <v>24965.77</v>
      </c>
      <c r="K22" s="181">
        <f t="shared" si="0"/>
        <v>74897.31</v>
      </c>
      <c r="L22" s="123">
        <v>0.24779999999999999</v>
      </c>
      <c r="M22" s="123">
        <v>1.1284000000000001</v>
      </c>
      <c r="N22" s="34"/>
      <c r="O22" s="102" t="str">
        <f ca="1">IF(N22="","", INDIRECT("base!"&amp;ADDRESS(MATCH(N22,#REF!:#REF!,0)+1,4,4)))</f>
        <v/>
      </c>
      <c r="P22" s="41"/>
      <c r="Q22" s="102" t="str">
        <f ca="1">IF(P22="","", INDIRECT("base!"&amp;ADDRESS(MATCH(CONCATENATE(N22,"|",P22),#REF!:#REF!,0)+1,6,4)))</f>
        <v/>
      </c>
      <c r="R22" s="122" t="s">
        <v>173</v>
      </c>
    </row>
    <row r="23" spans="1:18" ht="30" x14ac:dyDescent="0.25">
      <c r="A23" s="110">
        <v>5</v>
      </c>
      <c r="B23" s="183">
        <f>IF(AND(G23&lt;&gt;"",H23&gt;0,I23&lt;&gt;"",J23&lt;&gt;0,K23&lt;&gt;0),COUNT($B$11:B22)+1,"")</f>
        <v>12</v>
      </c>
      <c r="C23" s="106">
        <v>3</v>
      </c>
      <c r="D23" s="116" t="s">
        <v>201</v>
      </c>
      <c r="E23" s="110" t="s">
        <v>224</v>
      </c>
      <c r="F23" s="111">
        <v>45901</v>
      </c>
      <c r="G23" s="170" t="s">
        <v>248</v>
      </c>
      <c r="H23" s="118">
        <v>3</v>
      </c>
      <c r="I23" s="119" t="s">
        <v>174</v>
      </c>
      <c r="J23" s="175">
        <f>Composições!H131</f>
        <v>36026.57</v>
      </c>
      <c r="K23" s="181">
        <f t="shared" si="0"/>
        <v>108079.71</v>
      </c>
      <c r="L23" s="123">
        <v>0.24779999999999999</v>
      </c>
      <c r="M23" s="123">
        <v>1.1284000000000001</v>
      </c>
      <c r="N23" s="34"/>
      <c r="O23" s="102" t="str">
        <f ca="1">IF(N23="","", INDIRECT("base!"&amp;ADDRESS(MATCH(N23,#REF!:#REF!,0)+1,4,4)))</f>
        <v/>
      </c>
      <c r="P23" s="41"/>
      <c r="Q23" s="102" t="str">
        <f ca="1">IF(P23="","", INDIRECT("base!"&amp;ADDRESS(MATCH(CONCATENATE(N23,"|",P23),#REF!:#REF!,0)+1,6,4)))</f>
        <v/>
      </c>
      <c r="R23" s="122" t="s">
        <v>173</v>
      </c>
    </row>
    <row r="24" spans="1:18" ht="30" x14ac:dyDescent="0.25">
      <c r="A24" s="110">
        <v>5</v>
      </c>
      <c r="B24" s="183">
        <f>IF(AND(G24&lt;&gt;"",H24&gt;0,I24&lt;&gt;"",J24&lt;&gt;0,K24&lt;&gt;0),COUNT($B$11:B23)+1,"")</f>
        <v>13</v>
      </c>
      <c r="C24" s="106">
        <v>4</v>
      </c>
      <c r="D24" s="116" t="s">
        <v>201</v>
      </c>
      <c r="E24" s="110" t="s">
        <v>225</v>
      </c>
      <c r="F24" s="111">
        <v>45901</v>
      </c>
      <c r="G24" s="170" t="s">
        <v>249</v>
      </c>
      <c r="H24" s="118">
        <v>3</v>
      </c>
      <c r="I24" s="119" t="s">
        <v>174</v>
      </c>
      <c r="J24" s="175">
        <f>Composições!H141</f>
        <v>17453.71</v>
      </c>
      <c r="K24" s="181">
        <f t="shared" si="0"/>
        <v>52361.13</v>
      </c>
      <c r="L24" s="123">
        <v>0.24779999999999999</v>
      </c>
      <c r="M24" s="123">
        <v>1.1284000000000001</v>
      </c>
      <c r="N24" s="34"/>
      <c r="O24" s="102" t="str">
        <f ca="1">IF(N24="","", INDIRECT("base!"&amp;ADDRESS(MATCH(N24,#REF!:#REF!,0)+1,4,4)))</f>
        <v/>
      </c>
      <c r="P24" s="41"/>
      <c r="Q24" s="102" t="str">
        <f ca="1">IF(P24="","", INDIRECT("base!"&amp;ADDRESS(MATCH(CONCATENATE(N24,"|",P24),#REF!:#REF!,0)+1,6,4)))</f>
        <v/>
      </c>
      <c r="R24" s="122" t="s">
        <v>173</v>
      </c>
    </row>
    <row r="25" spans="1:18" ht="30" x14ac:dyDescent="0.25">
      <c r="A25" s="110">
        <v>5</v>
      </c>
      <c r="B25" s="183">
        <f>IF(AND(G25&lt;&gt;"",H25&gt;0,I25&lt;&gt;"",J25&lt;&gt;0,K25&lt;&gt;0),COUNT($B$11:B24)+1,"")</f>
        <v>14</v>
      </c>
      <c r="C25" s="106">
        <v>5</v>
      </c>
      <c r="D25" s="116" t="s">
        <v>201</v>
      </c>
      <c r="E25" s="110" t="s">
        <v>226</v>
      </c>
      <c r="F25" s="111">
        <v>45901</v>
      </c>
      <c r="G25" s="170" t="s">
        <v>250</v>
      </c>
      <c r="H25" s="118">
        <v>3</v>
      </c>
      <c r="I25" s="119" t="s">
        <v>174</v>
      </c>
      <c r="J25" s="175">
        <f>Composições!H151</f>
        <v>34425.870000000003</v>
      </c>
      <c r="K25" s="181">
        <f t="shared" si="0"/>
        <v>103277.61</v>
      </c>
      <c r="L25" s="123">
        <v>0.24779999999999999</v>
      </c>
      <c r="M25" s="123">
        <v>1.1284000000000001</v>
      </c>
      <c r="N25" s="34"/>
      <c r="O25" s="102" t="str">
        <f ca="1">IF(N25="","", INDIRECT("base!"&amp;ADDRESS(MATCH(N25,#REF!:#REF!,0)+1,4,4)))</f>
        <v/>
      </c>
      <c r="P25" s="41"/>
      <c r="Q25" s="102" t="str">
        <f ca="1">IF(P25="","", INDIRECT("base!"&amp;ADDRESS(MATCH(CONCATENATE(N25,"|",P25),#REF!:#REF!,0)+1,6,4)))</f>
        <v/>
      </c>
      <c r="R25" s="122" t="s">
        <v>173</v>
      </c>
    </row>
    <row r="26" spans="1:18" ht="30" x14ac:dyDescent="0.25">
      <c r="A26" s="110">
        <v>6</v>
      </c>
      <c r="B26" s="183">
        <f>IF(AND(G26&lt;&gt;"",H26&gt;0,I26&lt;&gt;"",J26&lt;&gt;0,K26&lt;&gt;0),COUNT($B$11:B25)+1,"")</f>
        <v>15</v>
      </c>
      <c r="C26" s="106">
        <v>1</v>
      </c>
      <c r="D26" s="116" t="s">
        <v>201</v>
      </c>
      <c r="E26" s="110" t="s">
        <v>227</v>
      </c>
      <c r="F26" s="111">
        <v>45901</v>
      </c>
      <c r="G26" s="170" t="s">
        <v>251</v>
      </c>
      <c r="H26" s="118">
        <v>2</v>
      </c>
      <c r="I26" s="119" t="s">
        <v>174</v>
      </c>
      <c r="J26" s="175">
        <f>Composições!H161</f>
        <v>8948.01</v>
      </c>
      <c r="K26" s="181">
        <f t="shared" si="0"/>
        <v>17896.02</v>
      </c>
      <c r="L26" s="123">
        <v>0.24779999999999999</v>
      </c>
      <c r="M26" s="123">
        <v>1.1284000000000001</v>
      </c>
      <c r="N26" s="34"/>
      <c r="O26" s="102" t="str">
        <f ca="1">IF(N26="","", INDIRECT("base!"&amp;ADDRESS(MATCH(N26,#REF!:#REF!,0)+1,4,4)))</f>
        <v/>
      </c>
      <c r="P26" s="41"/>
      <c r="Q26" s="102" t="str">
        <f ca="1">IF(P26="","", INDIRECT("base!"&amp;ADDRESS(MATCH(CONCATENATE(N26,"|",P26),#REF!:#REF!,0)+1,6,4)))</f>
        <v/>
      </c>
      <c r="R26" s="122" t="s">
        <v>173</v>
      </c>
    </row>
    <row r="27" spans="1:18" ht="30" x14ac:dyDescent="0.25">
      <c r="A27" s="110">
        <v>6</v>
      </c>
      <c r="B27" s="183">
        <f>IF(AND(G27&lt;&gt;"",H27&gt;0,I27&lt;&gt;"",J27&lt;&gt;0,K27&lt;&gt;0),COUNT($B$11:B26)+1,"")</f>
        <v>16</v>
      </c>
      <c r="C27" s="106">
        <v>2</v>
      </c>
      <c r="D27" s="116" t="s">
        <v>201</v>
      </c>
      <c r="E27" s="110" t="s">
        <v>228</v>
      </c>
      <c r="F27" s="111">
        <v>45901</v>
      </c>
      <c r="G27" s="170" t="s">
        <v>252</v>
      </c>
      <c r="H27" s="118">
        <v>2</v>
      </c>
      <c r="I27" s="119" t="s">
        <v>174</v>
      </c>
      <c r="J27" s="175">
        <f>Composições!H171</f>
        <v>17359.87</v>
      </c>
      <c r="K27" s="181">
        <f t="shared" si="0"/>
        <v>34719.74</v>
      </c>
      <c r="L27" s="123">
        <v>0.24779999999999999</v>
      </c>
      <c r="M27" s="123">
        <v>1.1284000000000001</v>
      </c>
      <c r="N27" s="34"/>
      <c r="O27" s="102" t="str">
        <f ca="1">IF(N27="","", INDIRECT("base!"&amp;ADDRESS(MATCH(N27,#REF!:#REF!,0)+1,4,4)))</f>
        <v/>
      </c>
      <c r="P27" s="41"/>
      <c r="Q27" s="102" t="str">
        <f ca="1">IF(P27="","", INDIRECT("base!"&amp;ADDRESS(MATCH(CONCATENATE(N27,"|",P27),#REF!:#REF!,0)+1,6,4)))</f>
        <v/>
      </c>
      <c r="R27" s="122" t="s">
        <v>173</v>
      </c>
    </row>
    <row r="28" spans="1:18" ht="30" x14ac:dyDescent="0.25">
      <c r="A28" s="110">
        <v>6</v>
      </c>
      <c r="B28" s="183">
        <f>IF(AND(G28&lt;&gt;"",H28&gt;0,I28&lt;&gt;"",J28&lt;&gt;0,K28&lt;&gt;0),COUNT($B$11:B27)+1,"")</f>
        <v>17</v>
      </c>
      <c r="C28" s="106">
        <v>3</v>
      </c>
      <c r="D28" s="116" t="s">
        <v>201</v>
      </c>
      <c r="E28" s="110" t="s">
        <v>229</v>
      </c>
      <c r="F28" s="111">
        <v>45901</v>
      </c>
      <c r="G28" s="170" t="s">
        <v>253</v>
      </c>
      <c r="H28" s="118">
        <v>2</v>
      </c>
      <c r="I28" s="119" t="s">
        <v>174</v>
      </c>
      <c r="J28" s="175">
        <f>Composições!H181</f>
        <v>25946.66</v>
      </c>
      <c r="K28" s="181">
        <f t="shared" si="0"/>
        <v>51893.32</v>
      </c>
      <c r="L28" s="123">
        <v>0.24779999999999999</v>
      </c>
      <c r="M28" s="123">
        <v>1.1284000000000001</v>
      </c>
      <c r="N28" s="34"/>
      <c r="O28" s="102" t="str">
        <f ca="1">IF(N28="","", INDIRECT("base!"&amp;ADDRESS(MATCH(N28,#REF!:#REF!,0)+1,4,4)))</f>
        <v/>
      </c>
      <c r="P28" s="41"/>
      <c r="Q28" s="102" t="str">
        <f ca="1">IF(P28="","", INDIRECT("base!"&amp;ADDRESS(MATCH(CONCATENATE(N28,"|",P28),#REF!:#REF!,0)+1,6,4)))</f>
        <v/>
      </c>
      <c r="R28" s="122" t="s">
        <v>173</v>
      </c>
    </row>
    <row r="29" spans="1:18" ht="30" x14ac:dyDescent="0.25">
      <c r="A29" s="122">
        <v>7</v>
      </c>
      <c r="B29" s="183">
        <f>IF(AND(G29&lt;&gt;"",H29&gt;0,I29&lt;&gt;"",J29&lt;&gt;0,K29&lt;&gt;0),COUNT($B$11:B28)+1,"")</f>
        <v>18</v>
      </c>
      <c r="C29" s="106">
        <v>1</v>
      </c>
      <c r="D29" s="116" t="s">
        <v>201</v>
      </c>
      <c r="E29" s="110" t="s">
        <v>230</v>
      </c>
      <c r="F29" s="111">
        <v>45901</v>
      </c>
      <c r="G29" s="170" t="s">
        <v>431</v>
      </c>
      <c r="H29" s="118">
        <v>3</v>
      </c>
      <c r="I29" s="119" t="s">
        <v>174</v>
      </c>
      <c r="J29" s="175">
        <f>Composições!H191</f>
        <v>4507.4799999999996</v>
      </c>
      <c r="K29" s="181">
        <f t="shared" si="0"/>
        <v>13522.44</v>
      </c>
      <c r="L29" s="123">
        <v>0.24779999999999999</v>
      </c>
      <c r="M29" s="123">
        <v>1.1284000000000001</v>
      </c>
      <c r="N29" s="34"/>
      <c r="O29" s="102" t="str">
        <f ca="1">IF(N29="","", INDIRECT("base!"&amp;ADDRESS(MATCH(N29,#REF!:#REF!,0)+1,4,4)))</f>
        <v/>
      </c>
      <c r="P29" s="41"/>
      <c r="Q29" s="102" t="str">
        <f ca="1">IF(P29="","", INDIRECT("base!"&amp;ADDRESS(MATCH(CONCATENATE(N29,"|",P29),#REF!:#REF!,0)+1,6,4)))</f>
        <v/>
      </c>
      <c r="R29" s="122" t="s">
        <v>173</v>
      </c>
    </row>
    <row r="30" spans="1:18" ht="30" x14ac:dyDescent="0.25">
      <c r="A30" s="122">
        <v>7</v>
      </c>
      <c r="B30" s="183">
        <f>IF(AND(G30&lt;&gt;"",H30&gt;0,I30&lt;&gt;"",J30&lt;&gt;0,K30&lt;&gt;0),COUNT($B$11:B29)+1,"")</f>
        <v>19</v>
      </c>
      <c r="C30" s="106">
        <v>2</v>
      </c>
      <c r="D30" s="116" t="s">
        <v>201</v>
      </c>
      <c r="E30" s="110" t="s">
        <v>231</v>
      </c>
      <c r="F30" s="111">
        <v>45901</v>
      </c>
      <c r="G30" s="170" t="s">
        <v>432</v>
      </c>
      <c r="H30" s="118">
        <v>3</v>
      </c>
      <c r="I30" s="119" t="s">
        <v>174</v>
      </c>
      <c r="J30" s="175">
        <f>Composições!H201</f>
        <v>7929.51</v>
      </c>
      <c r="K30" s="181">
        <f t="shared" si="0"/>
        <v>23788.53</v>
      </c>
      <c r="L30" s="123">
        <v>0.24779999999999999</v>
      </c>
      <c r="M30" s="123">
        <v>1.1284000000000001</v>
      </c>
      <c r="N30" s="34"/>
      <c r="O30" s="102" t="str">
        <f ca="1">IF(N30="","", INDIRECT("base!"&amp;ADDRESS(MATCH(N30,#REF!:#REF!,0)+1,4,4)))</f>
        <v/>
      </c>
      <c r="P30" s="41"/>
      <c r="Q30" s="102" t="str">
        <f ca="1">IF(P30="","", INDIRECT("base!"&amp;ADDRESS(MATCH(CONCATENATE(N30,"|",P30),#REF!:#REF!,0)+1,6,4)))</f>
        <v/>
      </c>
      <c r="R30" s="122" t="s">
        <v>173</v>
      </c>
    </row>
    <row r="31" spans="1:18" ht="30" x14ac:dyDescent="0.25">
      <c r="A31" s="110">
        <v>8</v>
      </c>
      <c r="B31" s="183">
        <f>IF(AND(G31&lt;&gt;"",H31&gt;0,I31&lt;&gt;"",J31&lt;&gt;0,K31&lt;&gt;0),COUNT($B$11:B30)+1,"")</f>
        <v>20</v>
      </c>
      <c r="C31" s="106">
        <v>1</v>
      </c>
      <c r="D31" s="116" t="s">
        <v>201</v>
      </c>
      <c r="E31" s="110" t="s">
        <v>232</v>
      </c>
      <c r="F31" s="111">
        <v>45901</v>
      </c>
      <c r="G31" s="170" t="s">
        <v>439</v>
      </c>
      <c r="H31" s="118">
        <v>2</v>
      </c>
      <c r="I31" s="119" t="s">
        <v>174</v>
      </c>
      <c r="J31" s="175">
        <f>Composições!H211</f>
        <v>23923.56</v>
      </c>
      <c r="K31" s="181">
        <f t="shared" si="0"/>
        <v>47847.12</v>
      </c>
      <c r="L31" s="123">
        <v>0.24779999999999999</v>
      </c>
      <c r="M31" s="123">
        <v>1.1284000000000001</v>
      </c>
      <c r="N31" s="34"/>
      <c r="O31" s="102" t="str">
        <f ca="1">IF(N31="","", INDIRECT("base!"&amp;ADDRESS(MATCH(N31,#REF!:#REF!,0)+1,4,4)))</f>
        <v/>
      </c>
      <c r="P31" s="41"/>
      <c r="Q31" s="102" t="str">
        <f ca="1">IF(P31="","", INDIRECT("base!"&amp;ADDRESS(MATCH(CONCATENATE(N31,"|",P31),#REF!:#REF!,0)+1,6,4)))</f>
        <v/>
      </c>
      <c r="R31" s="122" t="s">
        <v>173</v>
      </c>
    </row>
    <row r="32" spans="1:18" ht="30" x14ac:dyDescent="0.25">
      <c r="A32" s="110">
        <v>9</v>
      </c>
      <c r="B32" s="183">
        <f>IF(AND(G32&lt;&gt;"",H32&gt;0,I32&lt;&gt;"",J32&lt;&gt;0,K32&lt;&gt;0),COUNT($B$11:B31)+1,"")</f>
        <v>21</v>
      </c>
      <c r="C32" s="106">
        <v>1</v>
      </c>
      <c r="D32" s="116" t="s">
        <v>201</v>
      </c>
      <c r="E32" s="110" t="s">
        <v>233</v>
      </c>
      <c r="F32" s="111">
        <v>45901</v>
      </c>
      <c r="G32" s="170" t="s">
        <v>442</v>
      </c>
      <c r="H32" s="118">
        <v>4</v>
      </c>
      <c r="I32" s="119" t="s">
        <v>174</v>
      </c>
      <c r="J32" s="175">
        <f>Composições!H221</f>
        <v>11701.56</v>
      </c>
      <c r="K32" s="181">
        <f t="shared" ref="K32" si="1">IFERROR(IF(H32*J32&lt;&gt;0,ROUND(ROUND(H32,4)*ROUND(J32,4),2),""),"")</f>
        <v>46806.239999999998</v>
      </c>
      <c r="L32" s="123">
        <v>0.24779999999999999</v>
      </c>
      <c r="M32" s="123">
        <v>1.1284000000000001</v>
      </c>
      <c r="N32" s="34"/>
      <c r="O32" s="102" t="str">
        <f ca="1">IF(N32="","", INDIRECT("base!"&amp;ADDRESS(MATCH(N32,#REF!:#REF!,0)+1,4,4)))</f>
        <v/>
      </c>
      <c r="P32" s="41"/>
      <c r="Q32" s="102" t="str">
        <f ca="1">IF(P32="","", INDIRECT("base!"&amp;ADDRESS(MATCH(CONCATENATE(N32,"|",P32),#REF!:#REF!,0)+1,6,4)))</f>
        <v/>
      </c>
      <c r="R32" s="122" t="s">
        <v>173</v>
      </c>
    </row>
    <row r="33" spans="1:18" ht="30" x14ac:dyDescent="0.25">
      <c r="A33" s="110">
        <v>10</v>
      </c>
      <c r="B33" s="183">
        <f>IF(AND(G33&lt;&gt;"",H33&gt;0,I33&lt;&gt;"",J33&lt;&gt;0,K33&lt;&gt;0),COUNT($B$11:B32)+1,"")</f>
        <v>22</v>
      </c>
      <c r="C33" s="106">
        <v>1</v>
      </c>
      <c r="D33" s="116" t="s">
        <v>201</v>
      </c>
      <c r="E33" s="110" t="s">
        <v>234</v>
      </c>
      <c r="F33" s="111">
        <v>45901</v>
      </c>
      <c r="G33" s="170" t="s">
        <v>441</v>
      </c>
      <c r="H33" s="118">
        <v>2</v>
      </c>
      <c r="I33" s="119" t="s">
        <v>174</v>
      </c>
      <c r="J33" s="175">
        <f>Composições!H231</f>
        <v>25311.56</v>
      </c>
      <c r="K33" s="181">
        <f t="shared" si="0"/>
        <v>50623.12</v>
      </c>
      <c r="L33" s="123">
        <v>0.24779999999999999</v>
      </c>
      <c r="M33" s="123">
        <v>1.1284000000000001</v>
      </c>
      <c r="N33" s="34"/>
      <c r="O33" s="102" t="str">
        <f ca="1">IF(N33="","", INDIRECT("base!"&amp;ADDRESS(MATCH(N33,#REF!:#REF!,0)+1,4,4)))</f>
        <v/>
      </c>
      <c r="P33" s="41"/>
      <c r="Q33" s="102" t="str">
        <f ca="1">IF(P33="","", INDIRECT("base!"&amp;ADDRESS(MATCH(CONCATENATE(N33,"|",P33),#REF!:#REF!,0)+1,6,4)))</f>
        <v/>
      </c>
      <c r="R33" s="122" t="s">
        <v>173</v>
      </c>
    </row>
    <row r="34" spans="1:18" x14ac:dyDescent="0.25">
      <c r="A34" s="110"/>
      <c r="B34" s="183" t="str">
        <f>IF(AND(G34&lt;&gt;"",H34&gt;0,I34&lt;&gt;"",J34&lt;&gt;0,K34&lt;&gt;0),COUNT($B$11:B33)+1,"")</f>
        <v/>
      </c>
      <c r="C34" s="34"/>
      <c r="D34" s="116"/>
      <c r="E34" s="110"/>
      <c r="F34" s="111"/>
      <c r="G34" s="170"/>
      <c r="H34" s="99"/>
      <c r="I34" s="98"/>
      <c r="J34" s="175"/>
      <c r="K34" s="181" t="str">
        <f t="shared" si="0"/>
        <v/>
      </c>
      <c r="L34" s="84"/>
      <c r="M34" s="84"/>
      <c r="N34" s="34"/>
      <c r="O34" s="102" t="str">
        <f ca="1">IF(N34="","", INDIRECT("base!"&amp;ADDRESS(MATCH(N34,#REF!:#REF!,0)+1,4,4)))</f>
        <v/>
      </c>
      <c r="P34" s="41"/>
      <c r="Q34" s="102" t="str">
        <f ca="1">IF(P34="","", INDIRECT("base!"&amp;ADDRESS(MATCH(CONCATENATE(N34,"|",P34),#REF!:#REF!,0)+1,6,4)))</f>
        <v/>
      </c>
      <c r="R34" s="41"/>
    </row>
    <row r="35" spans="1:18" x14ac:dyDescent="0.25">
      <c r="A35" s="110"/>
      <c r="B35" s="183" t="str">
        <f>IF(AND(G35&lt;&gt;"",H35&gt;0,I35&lt;&gt;"",J35&lt;&gt;0,K35&lt;&gt;0),COUNT($B$11:B34)+1,"")</f>
        <v/>
      </c>
      <c r="C35" s="34"/>
      <c r="D35" s="116"/>
      <c r="E35" s="110"/>
      <c r="F35" s="111"/>
      <c r="G35" s="170"/>
      <c r="H35" s="99"/>
      <c r="I35" s="98"/>
      <c r="J35" s="175"/>
      <c r="K35" s="181" t="str">
        <f t="shared" ref="K35:K69" si="2">IFERROR(IF(H35*J35&lt;&gt;0,ROUND(ROUND(H35,4)*ROUND(J35,4),2),""),"")</f>
        <v/>
      </c>
      <c r="L35" s="84"/>
      <c r="M35" s="84"/>
      <c r="N35" s="34"/>
      <c r="O35" s="102" t="str">
        <f ca="1">IF(N35="","", INDIRECT("base!"&amp;ADDRESS(MATCH(N35,#REF!:#REF!,0)+1,4,4)))</f>
        <v/>
      </c>
      <c r="P35" s="41"/>
      <c r="Q35" s="102" t="str">
        <f ca="1">IF(P35="","", INDIRECT("base!"&amp;ADDRESS(MATCH(CONCATENATE(N35,"|",P35),#REF!:#REF!,0)+1,6,4)))</f>
        <v/>
      </c>
      <c r="R35" s="41"/>
    </row>
    <row r="36" spans="1:18" x14ac:dyDescent="0.25">
      <c r="A36" s="110"/>
      <c r="B36" s="183" t="str">
        <f>IF(AND(G36&lt;&gt;"",H36&gt;0,I36&lt;&gt;"",J36&lt;&gt;0,K36&lt;&gt;0),COUNT($B$11:B35)+1,"")</f>
        <v/>
      </c>
      <c r="C36" s="34"/>
      <c r="D36" s="116"/>
      <c r="E36" s="110"/>
      <c r="F36" s="111"/>
      <c r="G36" s="170"/>
      <c r="H36" s="99"/>
      <c r="I36" s="98"/>
      <c r="J36" s="175"/>
      <c r="K36" s="181" t="str">
        <f t="shared" si="2"/>
        <v/>
      </c>
      <c r="L36" s="84"/>
      <c r="M36" s="84"/>
      <c r="N36" s="34"/>
      <c r="O36" s="102" t="str">
        <f ca="1">IF(N36="","", INDIRECT("base!"&amp;ADDRESS(MATCH(N36,#REF!:#REF!,0)+1,4,4)))</f>
        <v/>
      </c>
      <c r="P36" s="41"/>
      <c r="Q36" s="102" t="str">
        <f ca="1">IF(P36="","", INDIRECT("base!"&amp;ADDRESS(MATCH(CONCATENATE(N36,"|",P36),#REF!:#REF!,0)+1,6,4)))</f>
        <v/>
      </c>
      <c r="R36" s="41"/>
    </row>
    <row r="37" spans="1:18" x14ac:dyDescent="0.25">
      <c r="A37" s="110"/>
      <c r="B37" s="183" t="str">
        <f>IF(AND(G37&lt;&gt;"",H37&gt;0,I37&lt;&gt;"",J37&lt;&gt;0,K37&lt;&gt;0),COUNT($B$11:B36)+1,"")</f>
        <v/>
      </c>
      <c r="C37" s="34"/>
      <c r="D37" s="116"/>
      <c r="E37" s="110"/>
      <c r="F37" s="111"/>
      <c r="G37" s="170"/>
      <c r="H37" s="99"/>
      <c r="I37" s="98"/>
      <c r="J37" s="175"/>
      <c r="K37" s="181" t="str">
        <f t="shared" si="2"/>
        <v/>
      </c>
      <c r="L37" s="84"/>
      <c r="M37" s="84"/>
      <c r="N37" s="34"/>
      <c r="O37" s="102" t="str">
        <f ca="1">IF(N37="","", INDIRECT("base!"&amp;ADDRESS(MATCH(N37,#REF!:#REF!,0)+1,4,4)))</f>
        <v/>
      </c>
      <c r="P37" s="41"/>
      <c r="Q37" s="102" t="str">
        <f ca="1">IF(P37="","", INDIRECT("base!"&amp;ADDRESS(MATCH(CONCATENATE(N37,"|",P37),#REF!:#REF!,0)+1,6,4)))</f>
        <v/>
      </c>
      <c r="R37" s="41"/>
    </row>
    <row r="38" spans="1:18" x14ac:dyDescent="0.25">
      <c r="A38" s="110"/>
      <c r="B38" s="183" t="str">
        <f>IF(AND(G38&lt;&gt;"",H38&gt;0,I38&lt;&gt;"",J38&lt;&gt;0,K38&lt;&gt;0),COUNT($B$11:B37)+1,"")</f>
        <v/>
      </c>
      <c r="C38" s="34"/>
      <c r="D38" s="116"/>
      <c r="E38" s="110"/>
      <c r="F38" s="111"/>
      <c r="G38" s="170"/>
      <c r="H38" s="99"/>
      <c r="I38" s="98"/>
      <c r="J38" s="175"/>
      <c r="K38" s="181" t="str">
        <f t="shared" si="2"/>
        <v/>
      </c>
      <c r="L38" s="84"/>
      <c r="M38" s="84"/>
      <c r="N38" s="34"/>
      <c r="O38" s="102" t="str">
        <f ca="1">IF(N38="","", INDIRECT("base!"&amp;ADDRESS(MATCH(N38,#REF!:#REF!,0)+1,4,4)))</f>
        <v/>
      </c>
      <c r="P38" s="41"/>
      <c r="Q38" s="102" t="str">
        <f ca="1">IF(P38="","", INDIRECT("base!"&amp;ADDRESS(MATCH(CONCATENATE(N38,"|",P38),#REF!:#REF!,0)+1,6,4)))</f>
        <v/>
      </c>
      <c r="R38" s="41"/>
    </row>
    <row r="39" spans="1:18" x14ac:dyDescent="0.25">
      <c r="A39" s="110"/>
      <c r="B39" s="183" t="str">
        <f>IF(AND(G39&lt;&gt;"",H39&gt;0,I39&lt;&gt;"",J39&lt;&gt;0,K39&lt;&gt;0),COUNT($B$11:B38)+1,"")</f>
        <v/>
      </c>
      <c r="C39" s="34"/>
      <c r="D39" s="116"/>
      <c r="E39" s="110"/>
      <c r="F39" s="111"/>
      <c r="G39" s="170"/>
      <c r="H39" s="99"/>
      <c r="I39" s="98"/>
      <c r="J39" s="175"/>
      <c r="K39" s="181" t="str">
        <f t="shared" si="2"/>
        <v/>
      </c>
      <c r="L39" s="84"/>
      <c r="M39" s="84"/>
      <c r="N39" s="34"/>
      <c r="O39" s="102" t="str">
        <f ca="1">IF(N39="","", INDIRECT("base!"&amp;ADDRESS(MATCH(N39,#REF!:#REF!,0)+1,4,4)))</f>
        <v/>
      </c>
      <c r="P39" s="41"/>
      <c r="Q39" s="102" t="str">
        <f ca="1">IF(P39="","", INDIRECT("base!"&amp;ADDRESS(MATCH(CONCATENATE(N39,"|",P39),#REF!:#REF!,0)+1,6,4)))</f>
        <v/>
      </c>
      <c r="R39" s="41"/>
    </row>
    <row r="40" spans="1:18" x14ac:dyDescent="0.25">
      <c r="A40" s="110"/>
      <c r="B40" s="183" t="str">
        <f>IF(AND(G40&lt;&gt;"",H40&gt;0,I40&lt;&gt;"",J40&lt;&gt;0,K40&lt;&gt;0),COUNT($B$11:B39)+1,"")</f>
        <v/>
      </c>
      <c r="C40" s="34"/>
      <c r="D40" s="116"/>
      <c r="E40" s="110"/>
      <c r="F40" s="111"/>
      <c r="G40" s="170"/>
      <c r="H40" s="99"/>
      <c r="I40" s="98"/>
      <c r="J40" s="175"/>
      <c r="K40" s="181" t="str">
        <f t="shared" si="2"/>
        <v/>
      </c>
      <c r="L40" s="84"/>
      <c r="M40" s="84"/>
      <c r="N40" s="34"/>
      <c r="O40" s="102" t="str">
        <f ca="1">IF(N40="","", INDIRECT("base!"&amp;ADDRESS(MATCH(N40,#REF!:#REF!,0)+1,4,4)))</f>
        <v/>
      </c>
      <c r="P40" s="41"/>
      <c r="Q40" s="102" t="str">
        <f ca="1">IF(P40="","", INDIRECT("base!"&amp;ADDRESS(MATCH(CONCATENATE(N40,"|",P40),#REF!:#REF!,0)+1,6,4)))</f>
        <v/>
      </c>
      <c r="R40" s="41"/>
    </row>
    <row r="41" spans="1:18" x14ac:dyDescent="0.25">
      <c r="A41" s="110"/>
      <c r="B41" s="183" t="str">
        <f>IF(AND(G41&lt;&gt;"",H41&gt;0,I41&lt;&gt;"",J41&lt;&gt;0,K41&lt;&gt;0),COUNT($B$11:B40)+1,"")</f>
        <v/>
      </c>
      <c r="C41" s="34"/>
      <c r="D41" s="116"/>
      <c r="E41" s="110"/>
      <c r="F41" s="111"/>
      <c r="G41" s="170"/>
      <c r="H41" s="99"/>
      <c r="I41" s="98"/>
      <c r="J41" s="175"/>
      <c r="K41" s="181" t="str">
        <f t="shared" si="2"/>
        <v/>
      </c>
      <c r="L41" s="84"/>
      <c r="M41" s="84"/>
      <c r="N41" s="34"/>
      <c r="O41" s="102" t="str">
        <f ca="1">IF(N41="","", INDIRECT("base!"&amp;ADDRESS(MATCH(N41,#REF!:#REF!,0)+1,4,4)))</f>
        <v/>
      </c>
      <c r="P41" s="41"/>
      <c r="Q41" s="102" t="str">
        <f ca="1">IF(P41="","", INDIRECT("base!"&amp;ADDRESS(MATCH(CONCATENATE(N41,"|",P41),#REF!:#REF!,0)+1,6,4)))</f>
        <v/>
      </c>
      <c r="R41" s="41"/>
    </row>
    <row r="42" spans="1:18" x14ac:dyDescent="0.25">
      <c r="A42" s="110"/>
      <c r="B42" s="183" t="str">
        <f>IF(AND(G42&lt;&gt;"",H42&gt;0,I42&lt;&gt;"",J42&lt;&gt;0,K42&lt;&gt;0),COUNT($B$11:B41)+1,"")</f>
        <v/>
      </c>
      <c r="C42" s="34"/>
      <c r="D42" s="116"/>
      <c r="E42" s="110"/>
      <c r="F42" s="111"/>
      <c r="G42" s="170"/>
      <c r="H42" s="99"/>
      <c r="I42" s="98"/>
      <c r="J42" s="175"/>
      <c r="K42" s="181" t="str">
        <f t="shared" si="2"/>
        <v/>
      </c>
      <c r="L42" s="84"/>
      <c r="M42" s="84"/>
      <c r="N42" s="34"/>
      <c r="O42" s="102" t="str">
        <f ca="1">IF(N42="","", INDIRECT("base!"&amp;ADDRESS(MATCH(N42,#REF!:#REF!,0)+1,4,4)))</f>
        <v/>
      </c>
      <c r="P42" s="41"/>
      <c r="Q42" s="102" t="str">
        <f ca="1">IF(P42="","", INDIRECT("base!"&amp;ADDRESS(MATCH(CONCATENATE(N42,"|",P42),#REF!:#REF!,0)+1,6,4)))</f>
        <v/>
      </c>
      <c r="R42" s="41"/>
    </row>
    <row r="43" spans="1:18" x14ac:dyDescent="0.25">
      <c r="A43" s="110"/>
      <c r="B43" s="183" t="str">
        <f>IF(AND(G43&lt;&gt;"",H43&gt;0,I43&lt;&gt;"",J43&lt;&gt;0,K43&lt;&gt;0),COUNT($B$11:B42)+1,"")</f>
        <v/>
      </c>
      <c r="C43" s="34"/>
      <c r="D43" s="116"/>
      <c r="E43" s="110"/>
      <c r="F43" s="111"/>
      <c r="G43" s="170"/>
      <c r="H43" s="99"/>
      <c r="I43" s="98"/>
      <c r="J43" s="175"/>
      <c r="K43" s="181" t="str">
        <f t="shared" si="2"/>
        <v/>
      </c>
      <c r="L43" s="84"/>
      <c r="M43" s="84"/>
      <c r="N43" s="34"/>
      <c r="O43" s="102" t="str">
        <f ca="1">IF(N43="","", INDIRECT("base!"&amp;ADDRESS(MATCH(N43,#REF!:#REF!,0)+1,4,4)))</f>
        <v/>
      </c>
      <c r="P43" s="41"/>
      <c r="Q43" s="102" t="str">
        <f ca="1">IF(P43="","", INDIRECT("base!"&amp;ADDRESS(MATCH(CONCATENATE(N43,"|",P43),#REF!:#REF!,0)+1,6,4)))</f>
        <v/>
      </c>
      <c r="R43" s="41"/>
    </row>
    <row r="44" spans="1:18" x14ac:dyDescent="0.25">
      <c r="A44" s="110"/>
      <c r="B44" s="183" t="str">
        <f>IF(AND(G44&lt;&gt;"",H44&gt;0,I44&lt;&gt;"",J44&lt;&gt;0,K44&lt;&gt;0),COUNT($B$11:B43)+1,"")</f>
        <v/>
      </c>
      <c r="C44" s="34"/>
      <c r="D44" s="116"/>
      <c r="E44" s="110"/>
      <c r="F44" s="111"/>
      <c r="G44" s="170"/>
      <c r="H44" s="99"/>
      <c r="I44" s="98"/>
      <c r="J44" s="175"/>
      <c r="K44" s="181" t="str">
        <f t="shared" si="2"/>
        <v/>
      </c>
      <c r="L44" s="84"/>
      <c r="M44" s="84"/>
      <c r="N44" s="34"/>
      <c r="O44" s="102" t="str">
        <f ca="1">IF(N44="","", INDIRECT("base!"&amp;ADDRESS(MATCH(N44,#REF!:#REF!,0)+1,4,4)))</f>
        <v/>
      </c>
      <c r="P44" s="41"/>
      <c r="Q44" s="102" t="str">
        <f ca="1">IF(P44="","", INDIRECT("base!"&amp;ADDRESS(MATCH(CONCATENATE(N44,"|",P44),#REF!:#REF!,0)+1,6,4)))</f>
        <v/>
      </c>
      <c r="R44" s="41"/>
    </row>
    <row r="45" spans="1:18" x14ac:dyDescent="0.25">
      <c r="A45" s="110"/>
      <c r="B45" s="183" t="str">
        <f>IF(AND(G45&lt;&gt;"",H45&gt;0,I45&lt;&gt;"",J45&lt;&gt;0,K45&lt;&gt;0),COUNT($B$11:B44)+1,"")</f>
        <v/>
      </c>
      <c r="C45" s="34"/>
      <c r="D45" s="116"/>
      <c r="E45" s="110"/>
      <c r="F45" s="111"/>
      <c r="G45" s="170"/>
      <c r="H45" s="99"/>
      <c r="I45" s="98"/>
      <c r="J45" s="175"/>
      <c r="K45" s="181" t="str">
        <f t="shared" si="2"/>
        <v/>
      </c>
      <c r="L45" s="84"/>
      <c r="M45" s="84"/>
      <c r="N45" s="34"/>
      <c r="O45" s="102" t="str">
        <f ca="1">IF(N45="","", INDIRECT("base!"&amp;ADDRESS(MATCH(N45,#REF!:#REF!,0)+1,4,4)))</f>
        <v/>
      </c>
      <c r="P45" s="41"/>
      <c r="Q45" s="102" t="str">
        <f ca="1">IF(P45="","", INDIRECT("base!"&amp;ADDRESS(MATCH(CONCATENATE(N45,"|",P45),#REF!:#REF!,0)+1,6,4)))</f>
        <v/>
      </c>
      <c r="R45" s="41"/>
    </row>
    <row r="46" spans="1:18" x14ac:dyDescent="0.25">
      <c r="A46" s="110"/>
      <c r="B46" s="183" t="str">
        <f>IF(AND(G46&lt;&gt;"",H46&gt;0,I46&lt;&gt;"",J46&lt;&gt;0,K46&lt;&gt;0),COUNT($B$11:B45)+1,"")</f>
        <v/>
      </c>
      <c r="C46" s="34"/>
      <c r="D46" s="116"/>
      <c r="E46" s="110"/>
      <c r="F46" s="111"/>
      <c r="G46" s="170"/>
      <c r="H46" s="99"/>
      <c r="I46" s="98"/>
      <c r="J46" s="175"/>
      <c r="K46" s="181" t="str">
        <f t="shared" si="2"/>
        <v/>
      </c>
      <c r="L46" s="84"/>
      <c r="M46" s="84"/>
      <c r="N46" s="34"/>
      <c r="O46" s="102" t="str">
        <f ca="1">IF(N46="","", INDIRECT("base!"&amp;ADDRESS(MATCH(N46,#REF!:#REF!,0)+1,4,4)))</f>
        <v/>
      </c>
      <c r="P46" s="41"/>
      <c r="Q46" s="102" t="str">
        <f ca="1">IF(P46="","", INDIRECT("base!"&amp;ADDRESS(MATCH(CONCATENATE(N46,"|",P46),#REF!:#REF!,0)+1,6,4)))</f>
        <v/>
      </c>
      <c r="R46" s="41"/>
    </row>
    <row r="47" spans="1:18" x14ac:dyDescent="0.25">
      <c r="A47" s="110"/>
      <c r="B47" s="183" t="str">
        <f>IF(AND(G47&lt;&gt;"",H47&gt;0,I47&lt;&gt;"",J47&lt;&gt;0,K47&lt;&gt;0),COUNT($B$11:B46)+1,"")</f>
        <v/>
      </c>
      <c r="C47" s="34"/>
      <c r="D47" s="116"/>
      <c r="E47" s="110"/>
      <c r="F47" s="111"/>
      <c r="G47" s="170"/>
      <c r="H47" s="99"/>
      <c r="I47" s="98"/>
      <c r="J47" s="175"/>
      <c r="K47" s="181" t="str">
        <f t="shared" si="2"/>
        <v/>
      </c>
      <c r="L47" s="84"/>
      <c r="M47" s="84"/>
      <c r="N47" s="34"/>
      <c r="O47" s="102" t="str">
        <f ca="1">IF(N47="","", INDIRECT("base!"&amp;ADDRESS(MATCH(N47,#REF!:#REF!,0)+1,4,4)))</f>
        <v/>
      </c>
      <c r="P47" s="41"/>
      <c r="Q47" s="102" t="str">
        <f ca="1">IF(P47="","", INDIRECT("base!"&amp;ADDRESS(MATCH(CONCATENATE(N47,"|",P47),#REF!:#REF!,0)+1,6,4)))</f>
        <v/>
      </c>
      <c r="R47" s="41"/>
    </row>
    <row r="48" spans="1:18" x14ac:dyDescent="0.25">
      <c r="A48" s="110"/>
      <c r="B48" s="183" t="str">
        <f>IF(AND(G48&lt;&gt;"",H48&gt;0,I48&lt;&gt;"",J48&lt;&gt;0,K48&lt;&gt;0),COUNT($B$11:B47)+1,"")</f>
        <v/>
      </c>
      <c r="C48" s="34"/>
      <c r="D48" s="116"/>
      <c r="E48" s="110"/>
      <c r="F48" s="111"/>
      <c r="G48" s="170"/>
      <c r="H48" s="99"/>
      <c r="I48" s="98"/>
      <c r="J48" s="175"/>
      <c r="K48" s="181" t="str">
        <f t="shared" si="2"/>
        <v/>
      </c>
      <c r="L48" s="84"/>
      <c r="M48" s="84"/>
      <c r="N48" s="34"/>
      <c r="O48" s="102" t="str">
        <f ca="1">IF(N48="","", INDIRECT("base!"&amp;ADDRESS(MATCH(N48,#REF!:#REF!,0)+1,4,4)))</f>
        <v/>
      </c>
      <c r="P48" s="41"/>
      <c r="Q48" s="102" t="str">
        <f ca="1">IF(P48="","", INDIRECT("base!"&amp;ADDRESS(MATCH(CONCATENATE(N48,"|",P48),#REF!:#REF!,0)+1,6,4)))</f>
        <v/>
      </c>
      <c r="R48" s="41"/>
    </row>
    <row r="49" spans="1:18" x14ac:dyDescent="0.25">
      <c r="A49" s="110"/>
      <c r="B49" s="183" t="str">
        <f>IF(AND(G49&lt;&gt;"",H49&gt;0,I49&lt;&gt;"",J49&lt;&gt;0,K49&lt;&gt;0),COUNT($B$11:B48)+1,"")</f>
        <v/>
      </c>
      <c r="C49" s="34"/>
      <c r="D49" s="116"/>
      <c r="E49" s="110"/>
      <c r="F49" s="111"/>
      <c r="G49" s="170"/>
      <c r="H49" s="99"/>
      <c r="I49" s="98"/>
      <c r="J49" s="175"/>
      <c r="K49" s="181" t="str">
        <f t="shared" si="2"/>
        <v/>
      </c>
      <c r="L49" s="84"/>
      <c r="M49" s="84"/>
      <c r="N49" s="34"/>
      <c r="O49" s="102" t="str">
        <f ca="1">IF(N49="","", INDIRECT("base!"&amp;ADDRESS(MATCH(N49,#REF!:#REF!,0)+1,4,4)))</f>
        <v/>
      </c>
      <c r="P49" s="41"/>
      <c r="Q49" s="102" t="str">
        <f ca="1">IF(P49="","", INDIRECT("base!"&amp;ADDRESS(MATCH(CONCATENATE(N49,"|",P49),#REF!:#REF!,0)+1,6,4)))</f>
        <v/>
      </c>
      <c r="R49" s="41"/>
    </row>
    <row r="50" spans="1:18" x14ac:dyDescent="0.25">
      <c r="A50" s="110"/>
      <c r="B50" s="183" t="str">
        <f>IF(AND(G50&lt;&gt;"",H50&gt;0,I50&lt;&gt;"",J50&lt;&gt;0,K50&lt;&gt;0),COUNT($B$11:B49)+1,"")</f>
        <v/>
      </c>
      <c r="C50" s="34"/>
      <c r="D50" s="116"/>
      <c r="E50" s="110"/>
      <c r="F50" s="111"/>
      <c r="G50" s="170"/>
      <c r="H50" s="99"/>
      <c r="I50" s="98"/>
      <c r="J50" s="175"/>
      <c r="K50" s="181" t="str">
        <f t="shared" si="2"/>
        <v/>
      </c>
      <c r="L50" s="84"/>
      <c r="M50" s="84"/>
      <c r="N50" s="34"/>
      <c r="O50" s="102" t="str">
        <f ca="1">IF(N50="","", INDIRECT("base!"&amp;ADDRESS(MATCH(N50,#REF!:#REF!,0)+1,4,4)))</f>
        <v/>
      </c>
      <c r="P50" s="41"/>
      <c r="Q50" s="102" t="str">
        <f ca="1">IF(P50="","", INDIRECT("base!"&amp;ADDRESS(MATCH(CONCATENATE(N50,"|",P50),#REF!:#REF!,0)+1,6,4)))</f>
        <v/>
      </c>
      <c r="R50" s="41"/>
    </row>
    <row r="51" spans="1:18" x14ac:dyDescent="0.25">
      <c r="A51" s="110"/>
      <c r="B51" s="183" t="str">
        <f>IF(AND(G51&lt;&gt;"",H51&gt;0,I51&lt;&gt;"",J51&lt;&gt;0,K51&lt;&gt;0),COUNT($B$11:B50)+1,"")</f>
        <v/>
      </c>
      <c r="C51" s="34"/>
      <c r="D51" s="116"/>
      <c r="E51" s="110"/>
      <c r="F51" s="111"/>
      <c r="G51" s="170"/>
      <c r="H51" s="99"/>
      <c r="I51" s="98"/>
      <c r="J51" s="175"/>
      <c r="K51" s="181" t="str">
        <f t="shared" si="2"/>
        <v/>
      </c>
      <c r="L51" s="84"/>
      <c r="M51" s="84"/>
      <c r="N51" s="34"/>
      <c r="O51" s="102" t="str">
        <f ca="1">IF(N51="","", INDIRECT("base!"&amp;ADDRESS(MATCH(N51,#REF!:#REF!,0)+1,4,4)))</f>
        <v/>
      </c>
      <c r="P51" s="41"/>
      <c r="Q51" s="102" t="str">
        <f ca="1">IF(P51="","", INDIRECT("base!"&amp;ADDRESS(MATCH(CONCATENATE(N51,"|",P51),#REF!:#REF!,0)+1,6,4)))</f>
        <v/>
      </c>
      <c r="R51" s="41"/>
    </row>
    <row r="52" spans="1:18" x14ac:dyDescent="0.25">
      <c r="A52" s="110"/>
      <c r="B52" s="183" t="str">
        <f>IF(AND(G52&lt;&gt;"",H52&gt;0,I52&lt;&gt;"",J52&lt;&gt;0,K52&lt;&gt;0),COUNT($B$11:B51)+1,"")</f>
        <v/>
      </c>
      <c r="C52" s="34"/>
      <c r="D52" s="116"/>
      <c r="E52" s="110"/>
      <c r="F52" s="111"/>
      <c r="G52" s="170"/>
      <c r="H52" s="99"/>
      <c r="I52" s="98"/>
      <c r="J52" s="175"/>
      <c r="K52" s="181" t="str">
        <f t="shared" si="2"/>
        <v/>
      </c>
      <c r="L52" s="84"/>
      <c r="M52" s="84"/>
      <c r="N52" s="34"/>
      <c r="O52" s="102" t="str">
        <f ca="1">IF(N52="","", INDIRECT("base!"&amp;ADDRESS(MATCH(N52,#REF!:#REF!,0)+1,4,4)))</f>
        <v/>
      </c>
      <c r="P52" s="41"/>
      <c r="Q52" s="102" t="str">
        <f ca="1">IF(P52="","", INDIRECT("base!"&amp;ADDRESS(MATCH(CONCATENATE(N52,"|",P52),#REF!:#REF!,0)+1,6,4)))</f>
        <v/>
      </c>
      <c r="R52" s="41"/>
    </row>
    <row r="53" spans="1:18" x14ac:dyDescent="0.25">
      <c r="A53" s="110"/>
      <c r="B53" s="183" t="str">
        <f>IF(AND(G53&lt;&gt;"",H53&gt;0,I53&lt;&gt;"",J53&lt;&gt;0,K53&lt;&gt;0),COUNT($B$11:B52)+1,"")</f>
        <v/>
      </c>
      <c r="C53" s="34"/>
      <c r="D53" s="116"/>
      <c r="E53" s="110"/>
      <c r="F53" s="111"/>
      <c r="G53" s="170"/>
      <c r="H53" s="99"/>
      <c r="I53" s="98"/>
      <c r="J53" s="175"/>
      <c r="K53" s="181" t="str">
        <f t="shared" si="2"/>
        <v/>
      </c>
      <c r="L53" s="84"/>
      <c r="M53" s="84"/>
      <c r="N53" s="34"/>
      <c r="O53" s="102" t="str">
        <f ca="1">IF(N53="","", INDIRECT("base!"&amp;ADDRESS(MATCH(N53,#REF!:#REF!,0)+1,4,4)))</f>
        <v/>
      </c>
      <c r="P53" s="41"/>
      <c r="Q53" s="102" t="str">
        <f ca="1">IF(P53="","", INDIRECT("base!"&amp;ADDRESS(MATCH(CONCATENATE(N53,"|",P53),#REF!:#REF!,0)+1,6,4)))</f>
        <v/>
      </c>
      <c r="R53" s="41"/>
    </row>
    <row r="54" spans="1:18" x14ac:dyDescent="0.25">
      <c r="A54" s="110"/>
      <c r="B54" s="183" t="str">
        <f>IF(AND(G54&lt;&gt;"",H54&gt;0,I54&lt;&gt;"",J54&lt;&gt;0,K54&lt;&gt;0),COUNT($B$11:B53)+1,"")</f>
        <v/>
      </c>
      <c r="C54" s="34"/>
      <c r="D54" s="116"/>
      <c r="E54" s="110"/>
      <c r="F54" s="111"/>
      <c r="G54" s="170"/>
      <c r="H54" s="99"/>
      <c r="I54" s="98"/>
      <c r="J54" s="175"/>
      <c r="K54" s="181" t="str">
        <f t="shared" si="2"/>
        <v/>
      </c>
      <c r="L54" s="84"/>
      <c r="M54" s="84"/>
      <c r="N54" s="34"/>
      <c r="O54" s="102" t="str">
        <f ca="1">IF(N54="","", INDIRECT("base!"&amp;ADDRESS(MATCH(N54,#REF!:#REF!,0)+1,4,4)))</f>
        <v/>
      </c>
      <c r="P54" s="41"/>
      <c r="Q54" s="102" t="str">
        <f ca="1">IF(P54="","", INDIRECT("base!"&amp;ADDRESS(MATCH(CONCATENATE(N54,"|",P54),#REF!:#REF!,0)+1,6,4)))</f>
        <v/>
      </c>
      <c r="R54" s="41"/>
    </row>
    <row r="55" spans="1:18" x14ac:dyDescent="0.25">
      <c r="A55" s="110"/>
      <c r="B55" s="183" t="str">
        <f>IF(AND(G55&lt;&gt;"",H55&gt;0,I55&lt;&gt;"",J55&lt;&gt;0,K55&lt;&gt;0),COUNT($B$11:B54)+1,"")</f>
        <v/>
      </c>
      <c r="C55" s="34"/>
      <c r="D55" s="116"/>
      <c r="E55" s="110"/>
      <c r="F55" s="111"/>
      <c r="G55" s="170"/>
      <c r="H55" s="99"/>
      <c r="I55" s="98"/>
      <c r="J55" s="175"/>
      <c r="K55" s="181" t="str">
        <f t="shared" si="2"/>
        <v/>
      </c>
      <c r="L55" s="84"/>
      <c r="M55" s="84"/>
      <c r="N55" s="34"/>
      <c r="O55" s="102" t="str">
        <f ca="1">IF(N55="","", INDIRECT("base!"&amp;ADDRESS(MATCH(N55,#REF!:#REF!,0)+1,4,4)))</f>
        <v/>
      </c>
      <c r="P55" s="41"/>
      <c r="Q55" s="102" t="str">
        <f ca="1">IF(P55="","", INDIRECT("base!"&amp;ADDRESS(MATCH(CONCATENATE(N55,"|",P55),#REF!:#REF!,0)+1,6,4)))</f>
        <v/>
      </c>
      <c r="R55" s="41"/>
    </row>
    <row r="56" spans="1:18" x14ac:dyDescent="0.25">
      <c r="A56" s="110"/>
      <c r="B56" s="183" t="str">
        <f>IF(AND(G56&lt;&gt;"",H56&gt;0,I56&lt;&gt;"",J56&lt;&gt;0,K56&lt;&gt;0),COUNT($B$11:B55)+1,"")</f>
        <v/>
      </c>
      <c r="C56" s="34"/>
      <c r="D56" s="116"/>
      <c r="E56" s="110"/>
      <c r="F56" s="111"/>
      <c r="G56" s="170"/>
      <c r="H56" s="99"/>
      <c r="I56" s="98"/>
      <c r="J56" s="175"/>
      <c r="K56" s="181" t="str">
        <f t="shared" si="2"/>
        <v/>
      </c>
      <c r="L56" s="84"/>
      <c r="M56" s="84"/>
      <c r="N56" s="34"/>
      <c r="O56" s="102" t="str">
        <f ca="1">IF(N56="","", INDIRECT("base!"&amp;ADDRESS(MATCH(N56,#REF!:#REF!,0)+1,4,4)))</f>
        <v/>
      </c>
      <c r="P56" s="41"/>
      <c r="Q56" s="102" t="str">
        <f ca="1">IF(P56="","", INDIRECT("base!"&amp;ADDRESS(MATCH(CONCATENATE(N56,"|",P56),#REF!:#REF!,0)+1,6,4)))</f>
        <v/>
      </c>
      <c r="R56" s="41"/>
    </row>
    <row r="57" spans="1:18" x14ac:dyDescent="0.25">
      <c r="A57" s="110"/>
      <c r="B57" s="183" t="str">
        <f>IF(AND(G57&lt;&gt;"",H57&gt;0,I57&lt;&gt;"",J57&lt;&gt;0,K57&lt;&gt;0),COUNT($B$11:B56)+1,"")</f>
        <v/>
      </c>
      <c r="C57" s="34"/>
      <c r="D57" s="116"/>
      <c r="E57" s="110"/>
      <c r="F57" s="111"/>
      <c r="G57" s="170"/>
      <c r="H57" s="99"/>
      <c r="I57" s="98"/>
      <c r="J57" s="175"/>
      <c r="K57" s="181" t="str">
        <f t="shared" si="2"/>
        <v/>
      </c>
      <c r="L57" s="84"/>
      <c r="M57" s="84"/>
      <c r="N57" s="34"/>
      <c r="O57" s="102" t="str">
        <f ca="1">IF(N57="","", INDIRECT("base!"&amp;ADDRESS(MATCH(N57,#REF!:#REF!,0)+1,4,4)))</f>
        <v/>
      </c>
      <c r="P57" s="41"/>
      <c r="Q57" s="102" t="str">
        <f ca="1">IF(P57="","", INDIRECT("base!"&amp;ADDRESS(MATCH(CONCATENATE(N57,"|",P57),#REF!:#REF!,0)+1,6,4)))</f>
        <v/>
      </c>
      <c r="R57" s="41"/>
    </row>
    <row r="58" spans="1:18" x14ac:dyDescent="0.25">
      <c r="A58" s="110"/>
      <c r="B58" s="183" t="str">
        <f>IF(AND(G58&lt;&gt;"",H58&gt;0,I58&lt;&gt;"",J58&lt;&gt;0,K58&lt;&gt;0),COUNT($B$11:B57)+1,"")</f>
        <v/>
      </c>
      <c r="C58" s="34"/>
      <c r="D58" s="116"/>
      <c r="E58" s="110"/>
      <c r="F58" s="111"/>
      <c r="G58" s="170"/>
      <c r="H58" s="99"/>
      <c r="I58" s="98"/>
      <c r="J58" s="175"/>
      <c r="K58" s="181" t="str">
        <f t="shared" si="2"/>
        <v/>
      </c>
      <c r="L58" s="84"/>
      <c r="M58" s="84"/>
      <c r="N58" s="34"/>
      <c r="O58" s="102" t="str">
        <f ca="1">IF(N58="","", INDIRECT("base!"&amp;ADDRESS(MATCH(N58,#REF!:#REF!,0)+1,4,4)))</f>
        <v/>
      </c>
      <c r="P58" s="41"/>
      <c r="Q58" s="102" t="str">
        <f ca="1">IF(P58="","", INDIRECT("base!"&amp;ADDRESS(MATCH(CONCATENATE(N58,"|",P58),#REF!:#REF!,0)+1,6,4)))</f>
        <v/>
      </c>
      <c r="R58" s="41"/>
    </row>
    <row r="59" spans="1:18" x14ac:dyDescent="0.25">
      <c r="A59" s="110"/>
      <c r="B59" s="183" t="str">
        <f>IF(AND(G59&lt;&gt;"",H59&gt;0,I59&lt;&gt;"",J59&lt;&gt;0,K59&lt;&gt;0),COUNT($B$11:B58)+1,"")</f>
        <v/>
      </c>
      <c r="C59" s="34"/>
      <c r="D59" s="116"/>
      <c r="E59" s="110"/>
      <c r="F59" s="111"/>
      <c r="G59" s="170"/>
      <c r="H59" s="99"/>
      <c r="I59" s="98"/>
      <c r="J59" s="175"/>
      <c r="K59" s="181" t="str">
        <f t="shared" si="2"/>
        <v/>
      </c>
      <c r="L59" s="84"/>
      <c r="M59" s="84"/>
      <c r="N59" s="34"/>
      <c r="O59" s="102" t="str">
        <f ca="1">IF(N59="","", INDIRECT("base!"&amp;ADDRESS(MATCH(N59,#REF!:#REF!,0)+1,4,4)))</f>
        <v/>
      </c>
      <c r="P59" s="41"/>
      <c r="Q59" s="102" t="str">
        <f ca="1">IF(P59="","", INDIRECT("base!"&amp;ADDRESS(MATCH(CONCATENATE(N59,"|",P59),#REF!:#REF!,0)+1,6,4)))</f>
        <v/>
      </c>
      <c r="R59" s="41"/>
    </row>
    <row r="60" spans="1:18" x14ac:dyDescent="0.25">
      <c r="A60" s="110"/>
      <c r="B60" s="183" t="str">
        <f>IF(AND(G60&lt;&gt;"",H60&gt;0,I60&lt;&gt;"",J60&lt;&gt;0,K60&lt;&gt;0),COUNT($B$11:B59)+1,"")</f>
        <v/>
      </c>
      <c r="C60" s="34"/>
      <c r="D60" s="116"/>
      <c r="E60" s="110"/>
      <c r="F60" s="111"/>
      <c r="G60" s="170"/>
      <c r="H60" s="99"/>
      <c r="I60" s="98"/>
      <c r="J60" s="175"/>
      <c r="K60" s="181" t="str">
        <f t="shared" si="2"/>
        <v/>
      </c>
      <c r="L60" s="84"/>
      <c r="M60" s="84"/>
      <c r="N60" s="34"/>
      <c r="O60" s="102" t="str">
        <f ca="1">IF(N60="","", INDIRECT("base!"&amp;ADDRESS(MATCH(N60,#REF!:#REF!,0)+1,4,4)))</f>
        <v/>
      </c>
      <c r="P60" s="41"/>
      <c r="Q60" s="102" t="str">
        <f ca="1">IF(P60="","", INDIRECT("base!"&amp;ADDRESS(MATCH(CONCATENATE(N60,"|",P60),#REF!:#REF!,0)+1,6,4)))</f>
        <v/>
      </c>
      <c r="R60" s="41"/>
    </row>
    <row r="61" spans="1:18" x14ac:dyDescent="0.25">
      <c r="A61" s="110"/>
      <c r="B61" s="183" t="str">
        <f>IF(AND(G61&lt;&gt;"",H61&gt;0,I61&lt;&gt;"",J61&lt;&gt;0,K61&lt;&gt;0),COUNT($B$11:B60)+1,"")</f>
        <v/>
      </c>
      <c r="C61" s="34"/>
      <c r="D61" s="116"/>
      <c r="E61" s="110"/>
      <c r="F61" s="111"/>
      <c r="G61" s="170"/>
      <c r="H61" s="99"/>
      <c r="I61" s="98"/>
      <c r="J61" s="175"/>
      <c r="K61" s="181" t="str">
        <f t="shared" si="2"/>
        <v/>
      </c>
      <c r="L61" s="84"/>
      <c r="M61" s="84"/>
      <c r="N61" s="34"/>
      <c r="O61" s="102" t="str">
        <f ca="1">IF(N61="","", INDIRECT("base!"&amp;ADDRESS(MATCH(N61,#REF!:#REF!,0)+1,4,4)))</f>
        <v/>
      </c>
      <c r="P61" s="41"/>
      <c r="Q61" s="102" t="str">
        <f ca="1">IF(P61="","", INDIRECT("base!"&amp;ADDRESS(MATCH(CONCATENATE(N61,"|",P61),#REF!:#REF!,0)+1,6,4)))</f>
        <v/>
      </c>
      <c r="R61" s="41"/>
    </row>
    <row r="62" spans="1:18" x14ac:dyDescent="0.25">
      <c r="A62" s="110"/>
      <c r="B62" s="183" t="str">
        <f>IF(AND(G62&lt;&gt;"",H62&gt;0,I62&lt;&gt;"",J62&lt;&gt;0,K62&lt;&gt;0),COUNT($B$11:B61)+1,"")</f>
        <v/>
      </c>
      <c r="C62" s="34"/>
      <c r="D62" s="116"/>
      <c r="E62" s="110"/>
      <c r="F62" s="111"/>
      <c r="G62" s="170"/>
      <c r="H62" s="99"/>
      <c r="I62" s="98"/>
      <c r="J62" s="175"/>
      <c r="K62" s="181" t="str">
        <f t="shared" si="2"/>
        <v/>
      </c>
      <c r="L62" s="84"/>
      <c r="M62" s="84"/>
      <c r="N62" s="34"/>
      <c r="O62" s="102" t="str">
        <f ca="1">IF(N62="","", INDIRECT("base!"&amp;ADDRESS(MATCH(N62,#REF!:#REF!,0)+1,4,4)))</f>
        <v/>
      </c>
      <c r="P62" s="41"/>
      <c r="Q62" s="102" t="str">
        <f ca="1">IF(P62="","", INDIRECT("base!"&amp;ADDRESS(MATCH(CONCATENATE(N62,"|",P62),#REF!:#REF!,0)+1,6,4)))</f>
        <v/>
      </c>
      <c r="R62" s="41"/>
    </row>
    <row r="63" spans="1:18" x14ac:dyDescent="0.25">
      <c r="A63" s="110"/>
      <c r="B63" s="183" t="str">
        <f>IF(AND(G63&lt;&gt;"",H63&gt;0,I63&lt;&gt;"",J63&lt;&gt;0,K63&lt;&gt;0),COUNT($B$11:B62)+1,"")</f>
        <v/>
      </c>
      <c r="C63" s="34"/>
      <c r="D63" s="116"/>
      <c r="E63" s="110"/>
      <c r="F63" s="111"/>
      <c r="G63" s="170"/>
      <c r="H63" s="99"/>
      <c r="I63" s="98"/>
      <c r="J63" s="175"/>
      <c r="K63" s="181" t="str">
        <f t="shared" si="2"/>
        <v/>
      </c>
      <c r="L63" s="84"/>
      <c r="M63" s="84"/>
      <c r="N63" s="34"/>
      <c r="O63" s="102" t="str">
        <f ca="1">IF(N63="","", INDIRECT("base!"&amp;ADDRESS(MATCH(N63,#REF!:#REF!,0)+1,4,4)))</f>
        <v/>
      </c>
      <c r="P63" s="41"/>
      <c r="Q63" s="102" t="str">
        <f ca="1">IF(P63="","", INDIRECT("base!"&amp;ADDRESS(MATCH(CONCATENATE(N63,"|",P63),#REF!:#REF!,0)+1,6,4)))</f>
        <v/>
      </c>
      <c r="R63" s="41"/>
    </row>
    <row r="64" spans="1:18" x14ac:dyDescent="0.25">
      <c r="A64" s="110"/>
      <c r="B64" s="183" t="str">
        <f>IF(AND(G64&lt;&gt;"",H64&gt;0,I64&lt;&gt;"",J64&lt;&gt;0,K64&lt;&gt;0),COUNT($B$11:B63)+1,"")</f>
        <v/>
      </c>
      <c r="C64" s="34"/>
      <c r="D64" s="116"/>
      <c r="E64" s="110"/>
      <c r="F64" s="111"/>
      <c r="G64" s="170"/>
      <c r="H64" s="99"/>
      <c r="I64" s="98"/>
      <c r="J64" s="175"/>
      <c r="K64" s="181" t="str">
        <f t="shared" si="2"/>
        <v/>
      </c>
      <c r="L64" s="84"/>
      <c r="M64" s="84"/>
      <c r="N64" s="34"/>
      <c r="O64" s="102" t="str">
        <f ca="1">IF(N64="","", INDIRECT("base!"&amp;ADDRESS(MATCH(N64,#REF!:#REF!,0)+1,4,4)))</f>
        <v/>
      </c>
      <c r="P64" s="41"/>
      <c r="Q64" s="102" t="str">
        <f ca="1">IF(P64="","", INDIRECT("base!"&amp;ADDRESS(MATCH(CONCATENATE(N64,"|",P64),#REF!:#REF!,0)+1,6,4)))</f>
        <v/>
      </c>
      <c r="R64" s="41"/>
    </row>
    <row r="65" spans="1:18" x14ac:dyDescent="0.25">
      <c r="A65" s="110"/>
      <c r="B65" s="183" t="str">
        <f>IF(AND(G65&lt;&gt;"",H65&gt;0,I65&lt;&gt;"",J65&lt;&gt;0,K65&lt;&gt;0),COUNT($B$11:B64)+1,"")</f>
        <v/>
      </c>
      <c r="C65" s="34"/>
      <c r="D65" s="116"/>
      <c r="E65" s="110"/>
      <c r="F65" s="111"/>
      <c r="G65" s="170"/>
      <c r="H65" s="99"/>
      <c r="I65" s="98"/>
      <c r="J65" s="175"/>
      <c r="K65" s="181" t="str">
        <f t="shared" si="2"/>
        <v/>
      </c>
      <c r="L65" s="84"/>
      <c r="M65" s="84"/>
      <c r="N65" s="34"/>
      <c r="O65" s="102" t="str">
        <f ca="1">IF(N65="","", INDIRECT("base!"&amp;ADDRESS(MATCH(N65,#REF!:#REF!,0)+1,4,4)))</f>
        <v/>
      </c>
      <c r="P65" s="41"/>
      <c r="Q65" s="102" t="str">
        <f ca="1">IF(P65="","", INDIRECT("base!"&amp;ADDRESS(MATCH(CONCATENATE(N65,"|",P65),#REF!:#REF!,0)+1,6,4)))</f>
        <v/>
      </c>
      <c r="R65" s="41"/>
    </row>
    <row r="66" spans="1:18" x14ac:dyDescent="0.25">
      <c r="A66" s="110"/>
      <c r="B66" s="183" t="str">
        <f>IF(AND(G66&lt;&gt;"",H66&gt;0,I66&lt;&gt;"",J66&lt;&gt;0,K66&lt;&gt;0),COUNT($B$11:B65)+1,"")</f>
        <v/>
      </c>
      <c r="C66" s="34"/>
      <c r="D66" s="116"/>
      <c r="E66" s="110"/>
      <c r="F66" s="111"/>
      <c r="G66" s="170"/>
      <c r="H66" s="99"/>
      <c r="I66" s="98"/>
      <c r="J66" s="175"/>
      <c r="K66" s="181" t="str">
        <f t="shared" si="2"/>
        <v/>
      </c>
      <c r="L66" s="84"/>
      <c r="M66" s="84"/>
      <c r="N66" s="34"/>
      <c r="O66" s="102" t="str">
        <f ca="1">IF(N66="","", INDIRECT("base!"&amp;ADDRESS(MATCH(N66,#REF!:#REF!,0)+1,4,4)))</f>
        <v/>
      </c>
      <c r="P66" s="41"/>
      <c r="Q66" s="102" t="str">
        <f ca="1">IF(P66="","", INDIRECT("base!"&amp;ADDRESS(MATCH(CONCATENATE(N66,"|",P66),#REF!:#REF!,0)+1,6,4)))</f>
        <v/>
      </c>
      <c r="R66" s="41"/>
    </row>
    <row r="67" spans="1:18" x14ac:dyDescent="0.25">
      <c r="A67" s="110"/>
      <c r="B67" s="183" t="str">
        <f>IF(AND(G67&lt;&gt;"",H67&gt;0,I67&lt;&gt;"",J67&lt;&gt;0,K67&lt;&gt;0),COUNT($B$11:B66)+1,"")</f>
        <v/>
      </c>
      <c r="C67" s="34"/>
      <c r="D67" s="116"/>
      <c r="E67" s="110"/>
      <c r="F67" s="111"/>
      <c r="G67" s="170"/>
      <c r="H67" s="99"/>
      <c r="I67" s="98"/>
      <c r="J67" s="175"/>
      <c r="K67" s="181" t="str">
        <f t="shared" si="2"/>
        <v/>
      </c>
      <c r="L67" s="84"/>
      <c r="M67" s="84"/>
      <c r="N67" s="34"/>
      <c r="O67" s="102" t="str">
        <f ca="1">IF(N67="","", INDIRECT("base!"&amp;ADDRESS(MATCH(N67,#REF!:#REF!,0)+1,4,4)))</f>
        <v/>
      </c>
      <c r="P67" s="41"/>
      <c r="Q67" s="102" t="str">
        <f ca="1">IF(P67="","", INDIRECT("base!"&amp;ADDRESS(MATCH(CONCATENATE(N67,"|",P67),#REF!:#REF!,0)+1,6,4)))</f>
        <v/>
      </c>
      <c r="R67" s="41"/>
    </row>
    <row r="68" spans="1:18" x14ac:dyDescent="0.25">
      <c r="A68" s="110"/>
      <c r="B68" s="183" t="str">
        <f>IF(AND(G68&lt;&gt;"",H68&gt;0,I68&lt;&gt;"",J68&lt;&gt;0,K68&lt;&gt;0),COUNT($B$11:B67)+1,"")</f>
        <v/>
      </c>
      <c r="C68" s="34"/>
      <c r="D68" s="116"/>
      <c r="E68" s="110"/>
      <c r="F68" s="111"/>
      <c r="G68" s="170"/>
      <c r="H68" s="99"/>
      <c r="I68" s="98"/>
      <c r="J68" s="175"/>
      <c r="K68" s="181" t="str">
        <f t="shared" si="2"/>
        <v/>
      </c>
      <c r="L68" s="84"/>
      <c r="M68" s="84"/>
      <c r="N68" s="34"/>
      <c r="O68" s="102" t="str">
        <f ca="1">IF(N68="","", INDIRECT("base!"&amp;ADDRESS(MATCH(N68,#REF!:#REF!,0)+1,4,4)))</f>
        <v/>
      </c>
      <c r="P68" s="41"/>
      <c r="Q68" s="102" t="str">
        <f ca="1">IF(P68="","", INDIRECT("base!"&amp;ADDRESS(MATCH(CONCATENATE(N68,"|",P68),#REF!:#REF!,0)+1,6,4)))</f>
        <v/>
      </c>
      <c r="R68" s="41"/>
    </row>
    <row r="69" spans="1:18" x14ac:dyDescent="0.25">
      <c r="A69" s="110"/>
      <c r="B69" s="183" t="str">
        <f>IF(AND(G69&lt;&gt;"",H69&gt;0,I69&lt;&gt;"",J69&lt;&gt;0,K69&lt;&gt;0),COUNT($B$11:B68)+1,"")</f>
        <v/>
      </c>
      <c r="C69" s="34"/>
      <c r="D69" s="116"/>
      <c r="E69" s="110"/>
      <c r="F69" s="111"/>
      <c r="G69" s="170"/>
      <c r="H69" s="99"/>
      <c r="I69" s="98"/>
      <c r="J69" s="175"/>
      <c r="K69" s="181" t="str">
        <f t="shared" si="2"/>
        <v/>
      </c>
      <c r="L69" s="84"/>
      <c r="M69" s="84"/>
      <c r="N69" s="34"/>
      <c r="O69" s="102" t="str">
        <f ca="1">IF(N69="","", INDIRECT("base!"&amp;ADDRESS(MATCH(N69,#REF!:#REF!,0)+1,4,4)))</f>
        <v/>
      </c>
      <c r="P69" s="41"/>
      <c r="Q69" s="102" t="str">
        <f ca="1">IF(P69="","", INDIRECT("base!"&amp;ADDRESS(MATCH(CONCATENATE(N69,"|",P69),#REF!:#REF!,0)+1,6,4)))</f>
        <v/>
      </c>
      <c r="R69" s="41"/>
    </row>
  </sheetData>
  <sheetProtection password="DEF7" sheet="1" objects="1" scenarios="1" formatCells="0" formatColumns="0" formatRows="0" insertRows="0" deleteRows="0"/>
  <mergeCells count="18"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  <mergeCell ref="B10:B11"/>
    <mergeCell ref="E10:E11"/>
    <mergeCell ref="D10:D11"/>
    <mergeCell ref="F10:F11"/>
    <mergeCell ref="A1:K1"/>
    <mergeCell ref="C2:G2"/>
  </mergeCells>
  <dataValidations disablePrompts="1" count="5">
    <dataValidation type="list" allowBlank="1" showInputMessage="1" showErrorMessage="1" sqref="D3:D6 D1 I1 I10 I3:I4" xr:uid="{00000000-0002-0000-0100-000001000000}">
      <formula1>#REF!</formula1>
    </dataValidation>
    <dataValidation type="list" allowBlank="1" showInputMessage="1" showErrorMessage="1" errorTitle="Tipo de Orçamento Inválido" error="O tipo de orçamento informado é inválido._x000a_Selecione o tipo de orçamento na lista suspensa." sqref="R12:R1048576" xr:uid="{00000000-0002-0000-0100-000003000000}">
      <formula1>#REF!</formula1>
    </dataValidation>
    <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sqref="D12:D1048576" xr:uid="{00000000-0002-0000-0100-000004000000}">
      <formula1>#REF!</formula1>
    </dataValidation>
    <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sqref="I12:I1048576" xr:uid="{00000000-0002-0000-0100-000005000000}">
      <formula1>#REF!</formula1>
    </dataValidation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rintOptions horizontalCentered="1"/>
  <pageMargins left="0.31496062992125984" right="0.31496062992125984" top="0.78740157480314965" bottom="0.78740157480314965" header="0.31496062992125984" footer="0.31496062992125984"/>
  <pageSetup paperSize="9" scale="67" fitToHeight="0" orientation="landscape" horizontalDpi="300" verticalDpi="300" r:id="rId1"/>
  <headerFooter>
    <oddFooter>Página &amp;P de &amp;N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6000000}">
          <x14:formula1>
            <xm:f>Identificação!$A$13:$A$14298</xm:f>
          </x14:formula1>
          <xm:sqref>A12:A1048576</xm:sqref>
        </x14:dataValidation>
        <x14:dataValidation type="list" allowBlank="1" showInputMessage="1" showErrorMessage="1" xr:uid="{00000000-0002-0000-0100-000007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3"/>
  <sheetViews>
    <sheetView topLeftCell="A10" workbookViewId="0">
      <selection activeCell="E22" sqref="E22"/>
    </sheetView>
  </sheetViews>
  <sheetFormatPr defaultRowHeight="16.5" x14ac:dyDescent="0.3"/>
  <cols>
    <col min="1" max="1" width="9.140625" style="187"/>
    <col min="2" max="2" width="7" style="187" bestFit="1" customWidth="1"/>
    <col min="3" max="3" width="10.28515625" style="187" hidden="1" customWidth="1"/>
    <col min="4" max="5" width="10.28515625" style="187" customWidth="1"/>
    <col min="6" max="6" width="9.7109375" style="187" customWidth="1"/>
    <col min="7" max="7" width="50.85546875" style="186" customWidth="1"/>
    <col min="8" max="8" width="7" style="187" hidden="1" customWidth="1"/>
    <col min="9" max="9" width="6.7109375" style="187" hidden="1" customWidth="1"/>
    <col min="10" max="10" width="13.85546875" style="187" customWidth="1"/>
    <col min="11" max="11" width="16.28515625" style="187" customWidth="1"/>
    <col min="12" max="12" width="14.42578125" style="185" customWidth="1"/>
    <col min="13" max="16384" width="9.140625" style="185"/>
  </cols>
  <sheetData>
    <row r="1" spans="1:12" ht="33" x14ac:dyDescent="0.3">
      <c r="A1" s="188" t="s">
        <v>296</v>
      </c>
      <c r="B1" s="188" t="s">
        <v>166</v>
      </c>
      <c r="C1" s="188" t="s">
        <v>295</v>
      </c>
      <c r="D1" s="188" t="s">
        <v>186</v>
      </c>
      <c r="E1" s="188" t="s">
        <v>185</v>
      </c>
      <c r="F1" s="188" t="s">
        <v>301</v>
      </c>
      <c r="G1" s="188" t="s">
        <v>184</v>
      </c>
      <c r="H1" s="188" t="s">
        <v>185</v>
      </c>
      <c r="I1" s="188" t="s">
        <v>186</v>
      </c>
      <c r="J1" s="188" t="s">
        <v>297</v>
      </c>
      <c r="K1" s="188" t="s">
        <v>298</v>
      </c>
      <c r="L1" s="188" t="s">
        <v>299</v>
      </c>
    </row>
    <row r="2" spans="1:12" ht="49.5" x14ac:dyDescent="0.3">
      <c r="A2" s="305">
        <v>1</v>
      </c>
      <c r="B2" s="189">
        <v>1</v>
      </c>
      <c r="C2" s="189" t="s">
        <v>213</v>
      </c>
      <c r="D2" s="189" t="s">
        <v>174</v>
      </c>
      <c r="E2" s="189">
        <f>'Orçamento-base'!H12</f>
        <v>2</v>
      </c>
      <c r="F2" s="189">
        <v>1</v>
      </c>
      <c r="G2" s="190" t="s">
        <v>240</v>
      </c>
      <c r="H2" s="189">
        <v>16</v>
      </c>
      <c r="I2" s="189" t="s">
        <v>174</v>
      </c>
      <c r="J2" s="191">
        <f>Composições!H21</f>
        <v>12733.78</v>
      </c>
      <c r="K2" s="191">
        <v>102038.08</v>
      </c>
      <c r="L2" s="305" t="s">
        <v>300</v>
      </c>
    </row>
    <row r="3" spans="1:12" ht="49.5" x14ac:dyDescent="0.3">
      <c r="A3" s="305"/>
      <c r="B3" s="189">
        <v>2</v>
      </c>
      <c r="C3" s="189" t="s">
        <v>214</v>
      </c>
      <c r="D3" s="189" t="s">
        <v>174</v>
      </c>
      <c r="E3" s="189">
        <f>'Orçamento-base'!H13</f>
        <v>8</v>
      </c>
      <c r="F3" s="189">
        <v>1</v>
      </c>
      <c r="G3" s="190" t="s">
        <v>430</v>
      </c>
      <c r="H3" s="189">
        <v>16</v>
      </c>
      <c r="I3" s="189" t="s">
        <v>174</v>
      </c>
      <c r="J3" s="191">
        <v>9473.6200000000008</v>
      </c>
      <c r="K3" s="191">
        <v>151577.92000000001</v>
      </c>
      <c r="L3" s="305"/>
    </row>
    <row r="4" spans="1:12" ht="33" x14ac:dyDescent="0.3">
      <c r="A4" s="305">
        <v>2</v>
      </c>
      <c r="B4" s="189">
        <v>1</v>
      </c>
      <c r="C4" s="189" t="s">
        <v>217</v>
      </c>
      <c r="D4" s="189" t="s">
        <v>174</v>
      </c>
      <c r="E4" s="189">
        <f>'Orçamento-base'!H14</f>
        <v>6</v>
      </c>
      <c r="F4" s="189">
        <v>1</v>
      </c>
      <c r="G4" s="190" t="s">
        <v>437</v>
      </c>
      <c r="H4" s="189">
        <v>5</v>
      </c>
      <c r="I4" s="189" t="s">
        <v>174</v>
      </c>
      <c r="J4" s="191">
        <v>6315.39</v>
      </c>
      <c r="K4" s="191">
        <v>31576.95</v>
      </c>
      <c r="L4" s="305"/>
    </row>
    <row r="5" spans="1:12" ht="33" x14ac:dyDescent="0.3">
      <c r="A5" s="305"/>
      <c r="B5" s="189">
        <v>2</v>
      </c>
      <c r="C5" s="189" t="s">
        <v>218</v>
      </c>
      <c r="D5" s="189" t="s">
        <v>174</v>
      </c>
      <c r="E5" s="189">
        <f>'Orçamento-base'!H15</f>
        <v>12</v>
      </c>
      <c r="F5" s="189">
        <v>1</v>
      </c>
      <c r="G5" s="190" t="s">
        <v>438</v>
      </c>
      <c r="H5" s="189">
        <v>5</v>
      </c>
      <c r="I5" s="189" t="s">
        <v>174</v>
      </c>
      <c r="J5" s="191">
        <v>11845.53</v>
      </c>
      <c r="K5" s="191">
        <v>59227.65</v>
      </c>
      <c r="L5" s="305"/>
    </row>
    <row r="6" spans="1:12" ht="33" x14ac:dyDescent="0.3">
      <c r="A6" s="305">
        <v>3</v>
      </c>
      <c r="B6" s="189">
        <v>1</v>
      </c>
      <c r="C6" s="189" t="s">
        <v>219</v>
      </c>
      <c r="D6" s="189" t="s">
        <v>174</v>
      </c>
      <c r="E6" s="189">
        <f>'Orçamento-base'!H16</f>
        <v>4</v>
      </c>
      <c r="F6" s="189">
        <v>1</v>
      </c>
      <c r="G6" s="190" t="s">
        <v>241</v>
      </c>
      <c r="H6" s="189">
        <v>5</v>
      </c>
      <c r="I6" s="189" t="s">
        <v>174</v>
      </c>
      <c r="J6" s="191">
        <v>6480.94</v>
      </c>
      <c r="K6" s="191">
        <v>32404.7</v>
      </c>
      <c r="L6" s="305" t="s">
        <v>300</v>
      </c>
    </row>
    <row r="7" spans="1:12" ht="33" x14ac:dyDescent="0.3">
      <c r="A7" s="305"/>
      <c r="B7" s="189">
        <v>2</v>
      </c>
      <c r="C7" s="189" t="s">
        <v>220</v>
      </c>
      <c r="D7" s="189" t="s">
        <v>174</v>
      </c>
      <c r="E7" s="189">
        <f>'Orçamento-base'!H17</f>
        <v>4</v>
      </c>
      <c r="F7" s="189">
        <v>1</v>
      </c>
      <c r="G7" s="190" t="s">
        <v>242</v>
      </c>
      <c r="H7" s="189">
        <v>5</v>
      </c>
      <c r="I7" s="189" t="s">
        <v>174</v>
      </c>
      <c r="J7" s="191">
        <v>14249.19</v>
      </c>
      <c r="K7" s="191">
        <v>71245.95</v>
      </c>
      <c r="L7" s="305"/>
    </row>
    <row r="8" spans="1:12" ht="33" x14ac:dyDescent="0.3">
      <c r="A8" s="305"/>
      <c r="B8" s="189">
        <v>3</v>
      </c>
      <c r="C8" s="189" t="s">
        <v>221</v>
      </c>
      <c r="D8" s="189" t="s">
        <v>174</v>
      </c>
      <c r="E8" s="189">
        <f>'Orçamento-base'!H18</f>
        <v>4</v>
      </c>
      <c r="F8" s="189">
        <v>1</v>
      </c>
      <c r="G8" s="190" t="s">
        <v>243</v>
      </c>
      <c r="H8" s="189">
        <v>5</v>
      </c>
      <c r="I8" s="189" t="s">
        <v>174</v>
      </c>
      <c r="J8" s="191">
        <v>25476.14</v>
      </c>
      <c r="K8" s="191">
        <v>127380.7</v>
      </c>
      <c r="L8" s="305"/>
    </row>
    <row r="9" spans="1:12" ht="33" x14ac:dyDescent="0.3">
      <c r="A9" s="305">
        <v>4</v>
      </c>
      <c r="B9" s="189">
        <v>1</v>
      </c>
      <c r="C9" s="189" t="s">
        <v>225</v>
      </c>
      <c r="D9" s="189" t="s">
        <v>174</v>
      </c>
      <c r="E9" s="189">
        <f>'Orçamento-base'!H19</f>
        <v>3</v>
      </c>
      <c r="F9" s="189">
        <v>1</v>
      </c>
      <c r="G9" s="190" t="s">
        <v>244</v>
      </c>
      <c r="H9" s="189">
        <v>10</v>
      </c>
      <c r="I9" s="189" t="s">
        <v>174</v>
      </c>
      <c r="J9" s="191">
        <v>8726.33</v>
      </c>
      <c r="K9" s="191">
        <v>87263.3</v>
      </c>
      <c r="L9" s="305"/>
    </row>
    <row r="10" spans="1:12" ht="33" x14ac:dyDescent="0.3">
      <c r="A10" s="305"/>
      <c r="B10" s="189">
        <v>2</v>
      </c>
      <c r="C10" s="189" t="s">
        <v>226</v>
      </c>
      <c r="D10" s="189" t="s">
        <v>174</v>
      </c>
      <c r="E10" s="189">
        <f>'Orçamento-base'!H20</f>
        <v>2</v>
      </c>
      <c r="F10" s="189">
        <v>1</v>
      </c>
      <c r="G10" s="190" t="s">
        <v>245</v>
      </c>
      <c r="H10" s="189">
        <v>10</v>
      </c>
      <c r="I10" s="189" t="s">
        <v>174</v>
      </c>
      <c r="J10" s="191">
        <v>12185.03</v>
      </c>
      <c r="K10" s="191">
        <v>121850.3</v>
      </c>
      <c r="L10" s="305"/>
    </row>
    <row r="11" spans="1:12" ht="33" x14ac:dyDescent="0.3">
      <c r="A11" s="305">
        <v>5</v>
      </c>
      <c r="B11" s="189">
        <v>1</v>
      </c>
      <c r="C11" s="189" t="s">
        <v>227</v>
      </c>
      <c r="D11" s="189" t="s">
        <v>174</v>
      </c>
      <c r="E11" s="189">
        <f>'Orçamento-base'!H21</f>
        <v>3</v>
      </c>
      <c r="F11" s="189">
        <v>1</v>
      </c>
      <c r="G11" s="190" t="s">
        <v>246</v>
      </c>
      <c r="H11" s="189">
        <v>6</v>
      </c>
      <c r="I11" s="189" t="s">
        <v>174</v>
      </c>
      <c r="J11" s="191">
        <v>11845.53</v>
      </c>
      <c r="K11" s="191">
        <v>71073.179999999993</v>
      </c>
      <c r="L11" s="305" t="s">
        <v>300</v>
      </c>
    </row>
    <row r="12" spans="1:12" ht="33" x14ac:dyDescent="0.3">
      <c r="A12" s="305"/>
      <c r="B12" s="189">
        <v>2</v>
      </c>
      <c r="C12" s="189" t="s">
        <v>228</v>
      </c>
      <c r="D12" s="189" t="s">
        <v>174</v>
      </c>
      <c r="E12" s="189">
        <f>'Orçamento-base'!H22</f>
        <v>3</v>
      </c>
      <c r="F12" s="189">
        <v>1</v>
      </c>
      <c r="G12" s="190" t="s">
        <v>247</v>
      </c>
      <c r="H12" s="189">
        <v>6</v>
      </c>
      <c r="I12" s="189" t="s">
        <v>174</v>
      </c>
      <c r="J12" s="191">
        <v>24719.16</v>
      </c>
      <c r="K12" s="191">
        <v>148314.96</v>
      </c>
      <c r="L12" s="305"/>
    </row>
    <row r="13" spans="1:12" ht="33" x14ac:dyDescent="0.3">
      <c r="A13" s="305"/>
      <c r="B13" s="189">
        <v>3</v>
      </c>
      <c r="C13" s="189" t="s">
        <v>229</v>
      </c>
      <c r="D13" s="189" t="s">
        <v>174</v>
      </c>
      <c r="E13" s="189">
        <f>'Orçamento-base'!H23</f>
        <v>3</v>
      </c>
      <c r="F13" s="189">
        <v>1</v>
      </c>
      <c r="G13" s="190" t="s">
        <v>248</v>
      </c>
      <c r="H13" s="189">
        <v>6</v>
      </c>
      <c r="I13" s="189" t="s">
        <v>174</v>
      </c>
      <c r="J13" s="191">
        <v>35689.35</v>
      </c>
      <c r="K13" s="191">
        <v>214136.1</v>
      </c>
      <c r="L13" s="305"/>
    </row>
    <row r="14" spans="1:12" ht="33" x14ac:dyDescent="0.3">
      <c r="A14" s="305"/>
      <c r="B14" s="189">
        <v>4</v>
      </c>
      <c r="C14" s="189" t="s">
        <v>230</v>
      </c>
      <c r="D14" s="189" t="s">
        <v>174</v>
      </c>
      <c r="E14" s="189">
        <f>'Orçamento-base'!H24</f>
        <v>3</v>
      </c>
      <c r="F14" s="189">
        <v>1</v>
      </c>
      <c r="G14" s="190" t="s">
        <v>249</v>
      </c>
      <c r="H14" s="189">
        <v>5</v>
      </c>
      <c r="I14" s="189" t="s">
        <v>174</v>
      </c>
      <c r="J14" s="191">
        <v>17345.43</v>
      </c>
      <c r="K14" s="191">
        <v>86727.15</v>
      </c>
      <c r="L14" s="305"/>
    </row>
    <row r="15" spans="1:12" ht="33" x14ac:dyDescent="0.3">
      <c r="A15" s="305"/>
      <c r="B15" s="189">
        <v>5</v>
      </c>
      <c r="C15" s="189" t="s">
        <v>231</v>
      </c>
      <c r="D15" s="189" t="s">
        <v>174</v>
      </c>
      <c r="E15" s="189">
        <f>'Orçamento-base'!H25</f>
        <v>3</v>
      </c>
      <c r="F15" s="189">
        <v>1</v>
      </c>
      <c r="G15" s="190" t="s">
        <v>250</v>
      </c>
      <c r="H15" s="189">
        <v>5</v>
      </c>
      <c r="I15" s="189" t="s">
        <v>174</v>
      </c>
      <c r="J15" s="191">
        <v>34638.93</v>
      </c>
      <c r="K15" s="191">
        <v>173194.65</v>
      </c>
      <c r="L15" s="305"/>
    </row>
    <row r="16" spans="1:12" ht="33" x14ac:dyDescent="0.3">
      <c r="A16" s="305">
        <v>6</v>
      </c>
      <c r="B16" s="189">
        <v>1</v>
      </c>
      <c r="C16" s="189" t="s">
        <v>234</v>
      </c>
      <c r="D16" s="189" t="s">
        <v>174</v>
      </c>
      <c r="E16" s="189">
        <f>'Orçamento-base'!H26</f>
        <v>2</v>
      </c>
      <c r="F16" s="189">
        <v>1</v>
      </c>
      <c r="G16" s="190" t="s">
        <v>251</v>
      </c>
      <c r="H16" s="189">
        <v>5</v>
      </c>
      <c r="I16" s="189" t="s">
        <v>174</v>
      </c>
      <c r="J16" s="191">
        <v>8726.33</v>
      </c>
      <c r="K16" s="191">
        <v>43631.65</v>
      </c>
      <c r="L16" s="305" t="s">
        <v>300</v>
      </c>
    </row>
    <row r="17" spans="1:12" ht="33" x14ac:dyDescent="0.3">
      <c r="A17" s="305"/>
      <c r="B17" s="189">
        <v>2</v>
      </c>
      <c r="C17" s="189" t="s">
        <v>235</v>
      </c>
      <c r="D17" s="189" t="s">
        <v>174</v>
      </c>
      <c r="E17" s="189">
        <f>'Orçamento-base'!H27</f>
        <v>2</v>
      </c>
      <c r="F17" s="189">
        <v>1</v>
      </c>
      <c r="G17" s="190" t="s">
        <v>252</v>
      </c>
      <c r="H17" s="189">
        <v>5</v>
      </c>
      <c r="I17" s="189" t="s">
        <v>174</v>
      </c>
      <c r="J17" s="191">
        <v>17345.43</v>
      </c>
      <c r="K17" s="191">
        <v>86727.15</v>
      </c>
      <c r="L17" s="305"/>
    </row>
    <row r="18" spans="1:12" ht="33" x14ac:dyDescent="0.3">
      <c r="A18" s="305"/>
      <c r="B18" s="189">
        <v>3</v>
      </c>
      <c r="C18" s="189" t="s">
        <v>236</v>
      </c>
      <c r="D18" s="189" t="s">
        <v>174</v>
      </c>
      <c r="E18" s="189">
        <f>'Orçamento-base'!H28</f>
        <v>2</v>
      </c>
      <c r="F18" s="189">
        <v>1</v>
      </c>
      <c r="G18" s="190" t="s">
        <v>253</v>
      </c>
      <c r="H18" s="189">
        <v>5</v>
      </c>
      <c r="I18" s="189" t="s">
        <v>174</v>
      </c>
      <c r="J18" s="191">
        <v>25476.14</v>
      </c>
      <c r="K18" s="191">
        <v>127380.7</v>
      </c>
      <c r="L18" s="305"/>
    </row>
    <row r="19" spans="1:12" ht="33" x14ac:dyDescent="0.3">
      <c r="A19" s="305">
        <v>7</v>
      </c>
      <c r="B19" s="189">
        <v>1</v>
      </c>
      <c r="C19" s="189" t="s">
        <v>237</v>
      </c>
      <c r="D19" s="189" t="s">
        <v>174</v>
      </c>
      <c r="E19" s="189">
        <f>'Orçamento-base'!H29</f>
        <v>3</v>
      </c>
      <c r="F19" s="189">
        <v>1</v>
      </c>
      <c r="G19" s="190" t="s">
        <v>431</v>
      </c>
      <c r="H19" s="189">
        <v>10</v>
      </c>
      <c r="I19" s="189" t="s">
        <v>174</v>
      </c>
      <c r="J19" s="191">
        <v>4416.78</v>
      </c>
      <c r="K19" s="191">
        <v>44167.8</v>
      </c>
      <c r="L19" s="305" t="s">
        <v>300</v>
      </c>
    </row>
    <row r="20" spans="1:12" ht="33" x14ac:dyDescent="0.3">
      <c r="A20" s="305"/>
      <c r="B20" s="189">
        <v>2</v>
      </c>
      <c r="C20" s="189" t="s">
        <v>238</v>
      </c>
      <c r="D20" s="189" t="s">
        <v>174</v>
      </c>
      <c r="E20" s="189">
        <f>'Orçamento-base'!H30</f>
        <v>3</v>
      </c>
      <c r="F20" s="189">
        <v>1</v>
      </c>
      <c r="G20" s="190" t="s">
        <v>432</v>
      </c>
      <c r="H20" s="189">
        <v>6</v>
      </c>
      <c r="I20" s="189" t="s">
        <v>174</v>
      </c>
      <c r="J20" s="191">
        <v>7694.25</v>
      </c>
      <c r="K20" s="191">
        <v>46165.5</v>
      </c>
      <c r="L20" s="305"/>
    </row>
    <row r="21" spans="1:12" x14ac:dyDescent="0.3">
      <c r="A21" s="189">
        <v>8</v>
      </c>
      <c r="B21" s="189">
        <v>1</v>
      </c>
      <c r="C21" s="189" t="s">
        <v>239</v>
      </c>
      <c r="D21" s="189" t="s">
        <v>174</v>
      </c>
      <c r="E21" s="189">
        <f>'Orçamento-base'!H31</f>
        <v>2</v>
      </c>
      <c r="F21" s="189">
        <v>1</v>
      </c>
      <c r="G21" s="190" t="s">
        <v>439</v>
      </c>
      <c r="H21" s="189">
        <v>5</v>
      </c>
      <c r="I21" s="189" t="s">
        <v>174</v>
      </c>
      <c r="J21" s="191">
        <v>23663.84</v>
      </c>
      <c r="K21" s="191">
        <v>118319.2</v>
      </c>
      <c r="L21" s="189" t="s">
        <v>300</v>
      </c>
    </row>
    <row r="22" spans="1:12" x14ac:dyDescent="0.3">
      <c r="A22" s="189">
        <v>9</v>
      </c>
      <c r="B22" s="189">
        <v>1</v>
      </c>
      <c r="C22" s="189" t="s">
        <v>239</v>
      </c>
      <c r="D22" s="189" t="s">
        <v>174</v>
      </c>
      <c r="E22" s="189">
        <f>'Orçamento-base'!H32</f>
        <v>4</v>
      </c>
      <c r="F22" s="189">
        <v>1</v>
      </c>
      <c r="G22" s="190" t="s">
        <v>443</v>
      </c>
      <c r="H22" s="189">
        <v>6</v>
      </c>
      <c r="I22" s="189" t="s">
        <v>174</v>
      </c>
      <c r="J22" s="191">
        <v>23663.84</v>
      </c>
      <c r="K22" s="191">
        <v>118319.2</v>
      </c>
      <c r="L22" s="189" t="s">
        <v>300</v>
      </c>
    </row>
    <row r="23" spans="1:12" ht="33" x14ac:dyDescent="0.3">
      <c r="A23" s="189">
        <v>10</v>
      </c>
      <c r="B23" s="189">
        <v>1</v>
      </c>
      <c r="C23" s="189" t="s">
        <v>239</v>
      </c>
      <c r="D23" s="189" t="s">
        <v>174</v>
      </c>
      <c r="E23" s="189">
        <f>'Orçamento-base'!H33</f>
        <v>2</v>
      </c>
      <c r="F23" s="189">
        <v>1</v>
      </c>
      <c r="G23" s="190" t="s">
        <v>441</v>
      </c>
      <c r="H23" s="189">
        <v>7</v>
      </c>
      <c r="I23" s="189" t="s">
        <v>174</v>
      </c>
      <c r="J23" s="191">
        <v>23663.84</v>
      </c>
      <c r="K23" s="191">
        <v>118319.2</v>
      </c>
      <c r="L23" s="189" t="s">
        <v>300</v>
      </c>
    </row>
  </sheetData>
  <mergeCells count="14">
    <mergeCell ref="L11:L15"/>
    <mergeCell ref="L16:L18"/>
    <mergeCell ref="L19:L20"/>
    <mergeCell ref="L2:L3"/>
    <mergeCell ref="L4:L5"/>
    <mergeCell ref="L6:L8"/>
    <mergeCell ref="L9:L10"/>
    <mergeCell ref="A11:A15"/>
    <mergeCell ref="A16:A18"/>
    <mergeCell ref="A19:A20"/>
    <mergeCell ref="A2:A3"/>
    <mergeCell ref="A4:A5"/>
    <mergeCell ref="A6:A8"/>
    <mergeCell ref="A9:A10"/>
  </mergeCell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E490B-6770-4877-9523-F2E794E04B22}">
  <dimension ref="B2:AI63"/>
  <sheetViews>
    <sheetView topLeftCell="A7" workbookViewId="0">
      <selection activeCell="F17" sqref="F17:H31"/>
    </sheetView>
  </sheetViews>
  <sheetFormatPr defaultRowHeight="15" x14ac:dyDescent="0.25"/>
  <cols>
    <col min="1" max="1" width="2.5703125" customWidth="1"/>
    <col min="3" max="3" width="10.140625" customWidth="1"/>
    <col min="4" max="4" width="9.7109375" customWidth="1"/>
    <col min="5" max="5" width="9.5703125" customWidth="1"/>
    <col min="6" max="6" width="11.7109375" customWidth="1"/>
    <col min="7" max="7" width="8.85546875" customWidth="1"/>
    <col min="8" max="8" width="6.7109375" customWidth="1"/>
    <col min="9" max="9" width="12.7109375" customWidth="1"/>
    <col min="10" max="10" width="13.140625" customWidth="1"/>
    <col min="11" max="11" width="12.42578125" customWidth="1"/>
    <col min="12" max="12" width="11.140625" customWidth="1"/>
    <col min="13" max="13" width="10.85546875" customWidth="1"/>
    <col min="14" max="14" width="10.28515625" customWidth="1"/>
    <col min="15" max="15" width="2.5703125" customWidth="1"/>
    <col min="16" max="255" width="0" hidden="1" customWidth="1"/>
    <col min="257" max="257" width="2.5703125" customWidth="1"/>
    <col min="259" max="259" width="10.140625" customWidth="1"/>
    <col min="260" max="260" width="9.7109375" customWidth="1"/>
    <col min="261" max="261" width="9.5703125" customWidth="1"/>
    <col min="262" max="262" width="11.7109375" customWidth="1"/>
    <col min="263" max="263" width="8.85546875" customWidth="1"/>
  </cols>
  <sheetData>
    <row r="2" spans="2:19" ht="15.75" x14ac:dyDescent="0.25">
      <c r="B2" s="311" t="s">
        <v>302</v>
      </c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</row>
    <row r="3" spans="2:19" ht="15.75" thickBot="1" x14ac:dyDescent="0.3"/>
    <row r="4" spans="2:19" ht="15.75" x14ac:dyDescent="0.25">
      <c r="B4" s="312" t="s">
        <v>303</v>
      </c>
      <c r="C4" s="313"/>
      <c r="D4" s="313"/>
      <c r="E4" s="314" t="s">
        <v>212</v>
      </c>
      <c r="F4" s="315"/>
      <c r="G4" s="315"/>
      <c r="H4" s="315"/>
      <c r="I4" s="315"/>
      <c r="J4" s="315"/>
      <c r="K4" s="315"/>
      <c r="L4" s="315"/>
      <c r="M4" s="315"/>
      <c r="N4" s="316"/>
      <c r="O4" s="192"/>
      <c r="P4" s="192"/>
      <c r="Q4" s="192"/>
      <c r="R4" s="192"/>
    </row>
    <row r="5" spans="2:19" ht="15.75" x14ac:dyDescent="0.25">
      <c r="B5" s="317" t="s">
        <v>304</v>
      </c>
      <c r="C5" s="318"/>
      <c r="D5" s="318"/>
      <c r="E5" s="319" t="s">
        <v>305</v>
      </c>
      <c r="F5" s="320"/>
      <c r="G5" s="320"/>
      <c r="H5" s="320"/>
      <c r="I5" s="320"/>
      <c r="J5" s="320"/>
      <c r="K5" s="320"/>
      <c r="L5" s="320"/>
      <c r="M5" s="320"/>
      <c r="N5" s="321"/>
      <c r="O5" s="193"/>
      <c r="P5" s="193"/>
      <c r="Q5" s="193"/>
      <c r="R5" s="193"/>
    </row>
    <row r="6" spans="2:19" ht="16.5" thickBot="1" x14ac:dyDescent="0.3">
      <c r="B6" s="306" t="s">
        <v>306</v>
      </c>
      <c r="C6" s="307"/>
      <c r="D6" s="307"/>
      <c r="E6" s="308" t="s">
        <v>307</v>
      </c>
      <c r="F6" s="309"/>
      <c r="G6" s="309"/>
      <c r="H6" s="309"/>
      <c r="I6" s="309"/>
      <c r="J6" s="309"/>
      <c r="K6" s="309"/>
      <c r="L6" s="309"/>
      <c r="M6" s="309"/>
      <c r="N6" s="310"/>
      <c r="O6" s="193"/>
      <c r="P6" s="193"/>
      <c r="Q6" s="193"/>
      <c r="R6" s="193"/>
    </row>
    <row r="7" spans="2:19" ht="15.75" thickBot="1" x14ac:dyDescent="0.3"/>
    <row r="8" spans="2:19" x14ac:dyDescent="0.25">
      <c r="B8" s="322" t="s">
        <v>308</v>
      </c>
      <c r="C8" s="323"/>
      <c r="D8" s="323"/>
      <c r="E8" s="323"/>
      <c r="F8" s="323"/>
      <c r="G8" s="323"/>
      <c r="H8" s="323"/>
      <c r="I8" s="323"/>
      <c r="J8" s="323"/>
      <c r="K8" s="323"/>
      <c r="L8" s="323"/>
      <c r="M8" s="323"/>
      <c r="N8" s="324"/>
    </row>
    <row r="9" spans="2:19" ht="15.75" thickBot="1" x14ac:dyDescent="0.3">
      <c r="B9" s="325"/>
      <c r="C9" s="326"/>
      <c r="D9" s="326"/>
      <c r="E9" s="326"/>
      <c r="F9" s="326"/>
      <c r="G9" s="326"/>
      <c r="H9" s="326"/>
      <c r="I9" s="326"/>
      <c r="J9" s="326"/>
      <c r="K9" s="326"/>
      <c r="L9" s="326"/>
      <c r="M9" s="326"/>
      <c r="N9" s="327"/>
    </row>
    <row r="10" spans="2:19" x14ac:dyDescent="0.25">
      <c r="B10" s="328" t="s">
        <v>309</v>
      </c>
      <c r="C10" s="329"/>
      <c r="D10" s="329"/>
      <c r="E10" s="330"/>
      <c r="F10" s="337" t="s">
        <v>310</v>
      </c>
      <c r="G10" s="338"/>
      <c r="H10" s="339"/>
      <c r="I10" s="328" t="s">
        <v>311</v>
      </c>
      <c r="J10" s="329"/>
      <c r="K10" s="329"/>
      <c r="L10" s="329"/>
      <c r="M10" s="329"/>
      <c r="N10" s="330"/>
      <c r="Q10" t="s">
        <v>312</v>
      </c>
    </row>
    <row r="11" spans="2:19" x14ac:dyDescent="0.25">
      <c r="B11" s="331"/>
      <c r="C11" s="332"/>
      <c r="D11" s="332"/>
      <c r="E11" s="333"/>
      <c r="F11" s="340"/>
      <c r="G11" s="341"/>
      <c r="H11" s="342"/>
      <c r="I11" s="346" t="str">
        <f>IF(F10=S16,S23,IF(F10=S17,S24,IF(F10=S18,S25,IF(F10=S19,S26,IF(F10=S20,S27,IF(F10=S21,S28,""))))))</f>
        <v>Para o tipo de obra “Construção de Edifícios” enquadram-se: a construção e reforma de: edifícios, unidades habitacionais, escolas, hospitais, hotéis, restaurantes, armazéns e depósitos, edifícios para uso agropecuário, estações para trens e metropolitanos, estádios esportivos e quadras cobertas, instalações para embarque e desembarque de passageiros (em aeroportos, rodoviárias, portos, etc.), penitenciárias e presídios, a construção de edifícios industriais (fábricas, oficinas, galpões industriais, etc.), conforme classificação 4120-4 do CNAE 2.0. Também enquadram-se pórticos, mirantes e outros edifícios de finalidade turística.</v>
      </c>
      <c r="J11" s="347"/>
      <c r="K11" s="347"/>
      <c r="L11" s="347"/>
      <c r="M11" s="347"/>
      <c r="N11" s="348"/>
      <c r="Q11" t="s">
        <v>313</v>
      </c>
    </row>
    <row r="12" spans="2:19" ht="15.75" thickBot="1" x14ac:dyDescent="0.3">
      <c r="B12" s="334"/>
      <c r="C12" s="335"/>
      <c r="D12" s="335"/>
      <c r="E12" s="336"/>
      <c r="F12" s="343"/>
      <c r="G12" s="344"/>
      <c r="H12" s="345"/>
      <c r="I12" s="346"/>
      <c r="J12" s="347"/>
      <c r="K12" s="347"/>
      <c r="L12" s="347"/>
      <c r="M12" s="347"/>
      <c r="N12" s="348"/>
      <c r="Q12" s="194" t="s">
        <v>314</v>
      </c>
      <c r="S12" t="s">
        <v>315</v>
      </c>
    </row>
    <row r="13" spans="2:19" x14ac:dyDescent="0.25">
      <c r="B13" s="352" t="s">
        <v>316</v>
      </c>
      <c r="C13" s="353"/>
      <c r="D13" s="353"/>
      <c r="E13" s="354"/>
      <c r="F13" s="355" t="s">
        <v>314</v>
      </c>
      <c r="G13" s="356"/>
      <c r="H13" s="357"/>
      <c r="I13" s="346"/>
      <c r="J13" s="347"/>
      <c r="K13" s="347"/>
      <c r="L13" s="347"/>
      <c r="M13" s="347"/>
      <c r="N13" s="348"/>
      <c r="Q13" s="194"/>
      <c r="S13" t="s">
        <v>310</v>
      </c>
    </row>
    <row r="14" spans="2:19" x14ac:dyDescent="0.25">
      <c r="B14" s="352"/>
      <c r="C14" s="353"/>
      <c r="D14" s="353"/>
      <c r="E14" s="354"/>
      <c r="F14" s="355"/>
      <c r="G14" s="356"/>
      <c r="H14" s="357"/>
      <c r="I14" s="346"/>
      <c r="J14" s="347"/>
      <c r="K14" s="347"/>
      <c r="L14" s="347"/>
      <c r="M14" s="347"/>
      <c r="N14" s="348"/>
      <c r="Q14" s="194"/>
      <c r="S14" t="s">
        <v>310</v>
      </c>
    </row>
    <row r="15" spans="2:19" x14ac:dyDescent="0.25">
      <c r="B15" s="352"/>
      <c r="C15" s="353"/>
      <c r="D15" s="353"/>
      <c r="E15" s="354"/>
      <c r="F15" s="355"/>
      <c r="G15" s="356"/>
      <c r="H15" s="357"/>
      <c r="I15" s="346"/>
      <c r="J15" s="347"/>
      <c r="K15" s="347"/>
      <c r="L15" s="347"/>
      <c r="M15" s="347"/>
      <c r="N15" s="348"/>
      <c r="Q15" s="194"/>
      <c r="S15" t="s">
        <v>315</v>
      </c>
    </row>
    <row r="16" spans="2:19" ht="15.75" thickBot="1" x14ac:dyDescent="0.3">
      <c r="B16" s="325"/>
      <c r="C16" s="326"/>
      <c r="D16" s="326"/>
      <c r="E16" s="327"/>
      <c r="F16" s="358"/>
      <c r="G16" s="359"/>
      <c r="H16" s="360"/>
      <c r="I16" s="346"/>
      <c r="J16" s="347"/>
      <c r="K16" s="347"/>
      <c r="L16" s="347"/>
      <c r="M16" s="347"/>
      <c r="N16" s="348"/>
      <c r="Q16" s="194"/>
      <c r="S16" t="s">
        <v>310</v>
      </c>
    </row>
    <row r="17" spans="2:30" x14ac:dyDescent="0.25">
      <c r="B17" s="322" t="str">
        <f>IF(F17="OK","BDI ABAIXO PODE SER ACEITO","")</f>
        <v>BDI ABAIXO PODE SER ACEITO</v>
      </c>
      <c r="C17" s="323"/>
      <c r="D17" s="323"/>
      <c r="E17" s="324"/>
      <c r="F17" s="361" t="str">
        <f>IF(AD32=FALSE,"",IF(G33="FORA DO LIMITE","VERIFICAR ITENS",IF(G35="FORA DO LIMITE","VERIFICAR ITENS",IF(G37="FORA DO LIMITE","VERIFICAR ITENS",IF(G39="FORA DO LIMITE","VERIFICAR ITENS",IF(G41="FORA DO LIMITE","VERIFICAR ITENS",IF(Z31&lt;W31,"FORA DA FAIXA",IF(Z31&gt;X31,"FORA DA FAIXA","OK"))))))))</f>
        <v>OK</v>
      </c>
      <c r="G17" s="362"/>
      <c r="H17" s="363"/>
      <c r="I17" s="346"/>
      <c r="J17" s="347"/>
      <c r="K17" s="347"/>
      <c r="L17" s="347"/>
      <c r="M17" s="347"/>
      <c r="N17" s="348"/>
      <c r="Q17" s="194"/>
      <c r="S17" t="s">
        <v>317</v>
      </c>
    </row>
    <row r="18" spans="2:30" x14ac:dyDescent="0.25">
      <c r="B18" s="352"/>
      <c r="C18" s="353"/>
      <c r="D18" s="353"/>
      <c r="E18" s="354"/>
      <c r="F18" s="361"/>
      <c r="G18" s="362"/>
      <c r="H18" s="363"/>
      <c r="I18" s="346"/>
      <c r="J18" s="347"/>
      <c r="K18" s="347"/>
      <c r="L18" s="347"/>
      <c r="M18" s="347"/>
      <c r="N18" s="348"/>
      <c r="Q18" s="194"/>
      <c r="S18" t="s">
        <v>318</v>
      </c>
    </row>
    <row r="19" spans="2:30" x14ac:dyDescent="0.25">
      <c r="B19" s="352"/>
      <c r="C19" s="353"/>
      <c r="D19" s="353"/>
      <c r="E19" s="354"/>
      <c r="F19" s="361"/>
      <c r="G19" s="362"/>
      <c r="H19" s="363"/>
      <c r="I19" s="346"/>
      <c r="J19" s="347"/>
      <c r="K19" s="347"/>
      <c r="L19" s="347"/>
      <c r="M19" s="347"/>
      <c r="N19" s="348"/>
      <c r="Q19" s="194"/>
      <c r="S19" t="s">
        <v>319</v>
      </c>
    </row>
    <row r="20" spans="2:30" x14ac:dyDescent="0.25">
      <c r="B20" s="352"/>
      <c r="C20" s="353"/>
      <c r="D20" s="353"/>
      <c r="E20" s="354"/>
      <c r="F20" s="361"/>
      <c r="G20" s="362"/>
      <c r="H20" s="363"/>
      <c r="I20" s="346"/>
      <c r="J20" s="347"/>
      <c r="K20" s="347"/>
      <c r="L20" s="347"/>
      <c r="M20" s="347"/>
      <c r="N20" s="348"/>
      <c r="Q20" s="194"/>
      <c r="S20" t="s">
        <v>320</v>
      </c>
    </row>
    <row r="21" spans="2:30" x14ac:dyDescent="0.25">
      <c r="B21" s="352"/>
      <c r="C21" s="353"/>
      <c r="D21" s="353"/>
      <c r="E21" s="354"/>
      <c r="F21" s="361"/>
      <c r="G21" s="362"/>
      <c r="H21" s="363"/>
      <c r="I21" s="346"/>
      <c r="J21" s="347"/>
      <c r="K21" s="347"/>
      <c r="L21" s="347"/>
      <c r="M21" s="347"/>
      <c r="N21" s="348"/>
      <c r="Q21" s="194"/>
      <c r="S21" t="s">
        <v>321</v>
      </c>
      <c r="X21" t="s">
        <v>311</v>
      </c>
    </row>
    <row r="22" spans="2:30" ht="15.75" thickBot="1" x14ac:dyDescent="0.3">
      <c r="B22" s="325"/>
      <c r="C22" s="326"/>
      <c r="D22" s="326"/>
      <c r="E22" s="327"/>
      <c r="F22" s="361"/>
      <c r="G22" s="362"/>
      <c r="H22" s="363"/>
      <c r="I22" s="346"/>
      <c r="J22" s="347"/>
      <c r="K22" s="347"/>
      <c r="L22" s="347"/>
      <c r="M22" s="347"/>
      <c r="N22" s="348"/>
      <c r="Q22" s="194"/>
    </row>
    <row r="23" spans="2:30" x14ac:dyDescent="0.25">
      <c r="B23" s="366">
        <f>IF(Z32=FALSE,IF(F10="Escolha o tipo de obra","Escolha o tipo de obra",IF(F13="ONERADO",Z31,IF(F13="DESONERADO",AB31,"Escolha o regime de contribuição"))),"PREENCHER TODOS OS COMPONENTES DO BDI")</f>
        <v>0.24779999999999999</v>
      </c>
      <c r="C23" s="367"/>
      <c r="D23" s="367"/>
      <c r="E23" s="368"/>
      <c r="F23" s="361"/>
      <c r="G23" s="362"/>
      <c r="H23" s="363"/>
      <c r="I23" s="346"/>
      <c r="J23" s="347"/>
      <c r="K23" s="347"/>
      <c r="L23" s="347"/>
      <c r="M23" s="347"/>
      <c r="N23" s="348"/>
      <c r="Q23" s="194"/>
      <c r="S23" t="s">
        <v>322</v>
      </c>
    </row>
    <row r="24" spans="2:30" x14ac:dyDescent="0.25">
      <c r="B24" s="369"/>
      <c r="C24" s="370"/>
      <c r="D24" s="370"/>
      <c r="E24" s="371"/>
      <c r="F24" s="361"/>
      <c r="G24" s="362"/>
      <c r="H24" s="363"/>
      <c r="I24" s="346"/>
      <c r="J24" s="347"/>
      <c r="K24" s="347"/>
      <c r="L24" s="347"/>
      <c r="M24" s="347"/>
      <c r="N24" s="348"/>
      <c r="Q24" s="194"/>
      <c r="S24" t="s">
        <v>323</v>
      </c>
    </row>
    <row r="25" spans="2:30" x14ac:dyDescent="0.25">
      <c r="B25" s="369"/>
      <c r="C25" s="370"/>
      <c r="D25" s="370"/>
      <c r="E25" s="371"/>
      <c r="F25" s="361"/>
      <c r="G25" s="362"/>
      <c r="H25" s="363"/>
      <c r="I25" s="346"/>
      <c r="J25" s="347"/>
      <c r="K25" s="347"/>
      <c r="L25" s="347"/>
      <c r="M25" s="347"/>
      <c r="N25" s="348"/>
      <c r="Q25" s="194"/>
      <c r="S25" t="s">
        <v>324</v>
      </c>
    </row>
    <row r="26" spans="2:30" x14ac:dyDescent="0.25">
      <c r="B26" s="369"/>
      <c r="C26" s="370"/>
      <c r="D26" s="370"/>
      <c r="E26" s="371"/>
      <c r="F26" s="361"/>
      <c r="G26" s="362"/>
      <c r="H26" s="363"/>
      <c r="I26" s="346"/>
      <c r="J26" s="347"/>
      <c r="K26" s="347"/>
      <c r="L26" s="347"/>
      <c r="M26" s="347"/>
      <c r="N26" s="348"/>
      <c r="Q26" s="194"/>
      <c r="S26" t="s">
        <v>325</v>
      </c>
    </row>
    <row r="27" spans="2:30" x14ac:dyDescent="0.25">
      <c r="B27" s="369"/>
      <c r="C27" s="370"/>
      <c r="D27" s="370"/>
      <c r="E27" s="371"/>
      <c r="F27" s="361"/>
      <c r="G27" s="362"/>
      <c r="H27" s="363"/>
      <c r="I27" s="346"/>
      <c r="J27" s="347"/>
      <c r="K27" s="347"/>
      <c r="L27" s="347"/>
      <c r="M27" s="347"/>
      <c r="N27" s="348"/>
      <c r="Q27" s="194"/>
      <c r="S27" t="s">
        <v>326</v>
      </c>
    </row>
    <row r="28" spans="2:30" x14ac:dyDescent="0.25">
      <c r="B28" s="369"/>
      <c r="C28" s="370"/>
      <c r="D28" s="370"/>
      <c r="E28" s="371"/>
      <c r="F28" s="361"/>
      <c r="G28" s="362"/>
      <c r="H28" s="363"/>
      <c r="I28" s="346"/>
      <c r="J28" s="347"/>
      <c r="K28" s="347"/>
      <c r="L28" s="347"/>
      <c r="M28" s="347"/>
      <c r="N28" s="348"/>
      <c r="Q28" s="194"/>
      <c r="S28" t="s">
        <v>327</v>
      </c>
    </row>
    <row r="29" spans="2:30" ht="15.75" thickBot="1" x14ac:dyDescent="0.3">
      <c r="B29" s="369"/>
      <c r="C29" s="370"/>
      <c r="D29" s="370"/>
      <c r="E29" s="371"/>
      <c r="F29" s="362"/>
      <c r="G29" s="362"/>
      <c r="H29" s="363"/>
      <c r="I29" s="349"/>
      <c r="J29" s="350"/>
      <c r="K29" s="350"/>
      <c r="L29" s="350"/>
      <c r="M29" s="350"/>
      <c r="N29" s="351"/>
      <c r="Q29" s="194"/>
    </row>
    <row r="30" spans="2:30" ht="15.75" thickBot="1" x14ac:dyDescent="0.3">
      <c r="B30" s="369"/>
      <c r="C30" s="370"/>
      <c r="D30" s="370"/>
      <c r="E30" s="371"/>
      <c r="F30" s="362"/>
      <c r="G30" s="362"/>
      <c r="H30" s="363"/>
      <c r="I30" s="375" t="s">
        <v>328</v>
      </c>
      <c r="J30" s="375"/>
      <c r="K30" s="375"/>
      <c r="L30" s="375"/>
      <c r="M30" s="375"/>
      <c r="N30" s="376"/>
      <c r="Q30" s="194"/>
      <c r="S30" t="s">
        <v>329</v>
      </c>
      <c r="W30" s="196" t="s">
        <v>330</v>
      </c>
      <c r="X30" s="196" t="s">
        <v>331</v>
      </c>
      <c r="Z30" s="196" t="s">
        <v>332</v>
      </c>
      <c r="AB30" s="196" t="s">
        <v>333</v>
      </c>
    </row>
    <row r="31" spans="2:30" ht="15.75" thickBot="1" x14ac:dyDescent="0.3">
      <c r="B31" s="372"/>
      <c r="C31" s="373"/>
      <c r="D31" s="373"/>
      <c r="E31" s="374"/>
      <c r="F31" s="364"/>
      <c r="G31" s="364"/>
      <c r="H31" s="365"/>
      <c r="I31" s="377" t="s">
        <v>334</v>
      </c>
      <c r="J31" s="378"/>
      <c r="K31" s="378"/>
      <c r="L31" s="378"/>
      <c r="M31" s="378"/>
      <c r="N31" s="379"/>
      <c r="Q31" s="194"/>
      <c r="S31" t="s">
        <v>335</v>
      </c>
      <c r="W31" s="79">
        <f>IF($F$10=$S$16,T33,IF($F$10=$S$17,X33,IF($F$10=$S$18,AB33,IF($F$10=$S$19,T39,IF($F$10=$S$20,X39,IF($F$10=$S$21,AB39))))))</f>
        <v>0.2034</v>
      </c>
      <c r="X31" s="79">
        <f>IF($F$10=$S$16,U33,IF($F$10=$S$17,Y33,IF($F$10=$S$18,AC33,IF($F$10=$S$19,U39,IF($F$10=$S$20,Y39,IF($F$10=$S$21,AC39))))))</f>
        <v>0.25</v>
      </c>
      <c r="Y31" s="79" t="str">
        <f>IF(F13="DESONERADO",AB31,IF(F13="SEM DESONERAÇÃO",Z31,""))</f>
        <v/>
      </c>
      <c r="Z31" s="79">
        <f>TRUNC(ROUND(((1+F33+F35+F37)*(1+F39)*(1+F41))/(1-(F43+F44+F45))-1,4),4)</f>
        <v>0.24779999999999999</v>
      </c>
      <c r="AB31" s="79">
        <f>TRUNC(ROUND(((1+F33+F35+F37)*(1+F39)*(1+F41))/(1-(F43+F44+F45+F46))-1,4),4)</f>
        <v>0.24779999999999999</v>
      </c>
    </row>
    <row r="32" spans="2:30" ht="15.75" thickBot="1" x14ac:dyDescent="0.3">
      <c r="B32" s="380" t="s">
        <v>336</v>
      </c>
      <c r="C32" s="381"/>
      <c r="D32" s="381"/>
      <c r="E32" s="382"/>
      <c r="F32" s="197" t="s">
        <v>337</v>
      </c>
      <c r="G32" s="383" t="s">
        <v>338</v>
      </c>
      <c r="H32" s="384"/>
      <c r="I32" s="346"/>
      <c r="J32" s="347"/>
      <c r="K32" s="347"/>
      <c r="L32" s="347"/>
      <c r="M32" s="347"/>
      <c r="N32" s="348"/>
      <c r="Q32" s="194"/>
      <c r="S32" t="s">
        <v>339</v>
      </c>
      <c r="W32" t="s">
        <v>340</v>
      </c>
      <c r="Z32" t="b">
        <f>IF(F13="DESONERADO",OR(F33="",F35="",F37="",F39="",F41="",F43="",F44="",F45="",F46=""),OR(F33="",F35="",F37="",F39="",F41="",F43="",F44="",F45=""))</f>
        <v>0</v>
      </c>
      <c r="AA32" t="b">
        <f>IF(F13="SEM DESONERAÇÃO",AND(F33="",F35="",F37="",F39="",F41="",F43="",F44="",F45=""))</f>
        <v>0</v>
      </c>
      <c r="AC32" t="str">
        <f>IF(F13="SEM DESONERAÇÃO",AND(F33="",F35="",F37="",F39="",F41="",F43="",F44="",F45=""),IF(F13="DESONERADO",AND(F33="",F35="",F37="",F39="",F41="",F43="",F44="",F45="",F46=""),"NULO"))</f>
        <v>NULO</v>
      </c>
      <c r="AD32" t="b">
        <f>OR(B23=Z31,B23=AB31)</f>
        <v>1</v>
      </c>
    </row>
    <row r="33" spans="2:35" x14ac:dyDescent="0.25">
      <c r="B33" s="328" t="s">
        <v>341</v>
      </c>
      <c r="C33" s="323"/>
      <c r="D33" s="323"/>
      <c r="E33" s="324"/>
      <c r="F33" s="385">
        <v>4.4999999999999998E-2</v>
      </c>
      <c r="G33" s="387" t="str">
        <f>IF(F10="Escolha o tipo de obra","",IF(F33="","",IF(F33&lt;C34,"FORA DO LIMITE",IF(F33&gt;E34,"FORA DO LIMITE","OK"))))</f>
        <v>OK</v>
      </c>
      <c r="H33" s="388"/>
      <c r="I33" s="346"/>
      <c r="J33" s="347"/>
      <c r="K33" s="347"/>
      <c r="L33" s="347"/>
      <c r="M33" s="347"/>
      <c r="N33" s="348"/>
      <c r="S33" t="s">
        <v>342</v>
      </c>
      <c r="T33" s="79">
        <v>0.2034</v>
      </c>
      <c r="U33" s="79">
        <v>0.25</v>
      </c>
      <c r="W33" t="s">
        <v>343</v>
      </c>
      <c r="X33" s="79">
        <v>0.19600000000000001</v>
      </c>
      <c r="Y33" s="79">
        <v>0.24229999999999999</v>
      </c>
      <c r="AA33" t="s">
        <v>344</v>
      </c>
      <c r="AB33" s="79">
        <v>0.20760000000000001</v>
      </c>
      <c r="AC33" s="79">
        <v>0.26440000000000002</v>
      </c>
    </row>
    <row r="34" spans="2:35" ht="15.75" thickBot="1" x14ac:dyDescent="0.3">
      <c r="B34" s="198" t="s">
        <v>345</v>
      </c>
      <c r="C34" s="199">
        <f>IF($F$10=$S$16,S34,IF($F$10=$S$17,W34,IF($F$10=$S$18,AA34,IF($F$10=$S$19,S40,IF($F$10=$S$20,W40,IF($F$10=$S$21,AA40,""))))))</f>
        <v>0.03</v>
      </c>
      <c r="D34" s="200" t="s">
        <v>346</v>
      </c>
      <c r="E34" s="201">
        <f>IF($F$10=$S$16,T34,IF($F$10=$S$17,X34,IF($F$10=$S$18,AB34,IF($F$10=$S$19,T40,IF($F$10=$S$20,X40,IF($F$10=$S$21,AB40,""))))))</f>
        <v>5.5E-2</v>
      </c>
      <c r="F34" s="386"/>
      <c r="G34" s="389"/>
      <c r="H34" s="390"/>
      <c r="I34" s="346"/>
      <c r="J34" s="347"/>
      <c r="K34" s="347"/>
      <c r="L34" s="347"/>
      <c r="M34" s="347"/>
      <c r="N34" s="348"/>
      <c r="Q34" t="str">
        <f>IF(E6="","",E6)</f>
        <v>São Marcos - RS</v>
      </c>
      <c r="S34" s="79">
        <v>0.03</v>
      </c>
      <c r="T34" s="79">
        <v>5.5E-2</v>
      </c>
      <c r="W34" s="79">
        <v>3.7999999999999999E-2</v>
      </c>
      <c r="X34" s="79">
        <v>4.6699999999999998E-2</v>
      </c>
      <c r="AA34" s="79">
        <v>3.4299999999999997E-2</v>
      </c>
      <c r="AB34" s="79">
        <v>6.7100000000000007E-2</v>
      </c>
      <c r="AH34" s="79">
        <v>0.2034</v>
      </c>
      <c r="AI34" s="79">
        <v>0.25</v>
      </c>
    </row>
    <row r="35" spans="2:35" x14ac:dyDescent="0.25">
      <c r="B35" s="328" t="s">
        <v>347</v>
      </c>
      <c r="C35" s="323"/>
      <c r="D35" s="323"/>
      <c r="E35" s="324"/>
      <c r="F35" s="385">
        <v>8.0000000000000002E-3</v>
      </c>
      <c r="G35" s="387" t="str">
        <f>IF(F10="Escolha o tipo de obra","",IF(F35="","",IF(F35&lt;C36,"FORA DO LIMITE",IF(F35&gt;E36,"FORA DO LIMITE","OK"))))</f>
        <v>OK</v>
      </c>
      <c r="H35" s="388"/>
      <c r="I35" s="346"/>
      <c r="J35" s="347"/>
      <c r="K35" s="347"/>
      <c r="L35" s="347"/>
      <c r="M35" s="347"/>
      <c r="N35" s="348"/>
      <c r="Q35" s="202">
        <f ca="1">TODAY()</f>
        <v>46041</v>
      </c>
      <c r="S35" s="79">
        <v>8.0000000000000002E-3</v>
      </c>
      <c r="T35" s="79">
        <v>0.01</v>
      </c>
      <c r="W35" s="79">
        <v>3.2000000000000002E-3</v>
      </c>
      <c r="X35" s="79">
        <v>7.4000000000000003E-3</v>
      </c>
      <c r="AA35" s="79">
        <v>2.8E-3</v>
      </c>
      <c r="AB35" s="79">
        <v>7.4999999999999997E-3</v>
      </c>
      <c r="AH35" s="79">
        <v>0.19600000000000001</v>
      </c>
      <c r="AI35" s="79">
        <v>0.24229999999999999</v>
      </c>
    </row>
    <row r="36" spans="2:35" ht="15.75" thickBot="1" x14ac:dyDescent="0.3">
      <c r="B36" s="198" t="s">
        <v>345</v>
      </c>
      <c r="C36" s="199">
        <f>IF($F$10=$S$16,S35,IF($F$10=$S$17,W35,IF($F$10=$S$18,AA35,IF($F$10=$S$19,S41,IF($F$10=$S$20,W41,IF($F$10=$S$21,AA41,""))))))</f>
        <v>8.0000000000000002E-3</v>
      </c>
      <c r="D36" s="200" t="s">
        <v>346</v>
      </c>
      <c r="E36" s="201">
        <f>IF($F$10=$S$16,T35,IF($F$10=$S$17,X35,IF($F$10=$S$18,AB35,IF($F$10=$S$19,T41,IF($F$10=$S$20,X41,IF($F$10=$S$21,AB41,""))))))</f>
        <v>0.01</v>
      </c>
      <c r="F36" s="386"/>
      <c r="G36" s="389"/>
      <c r="H36" s="390"/>
      <c r="I36" s="349"/>
      <c r="J36" s="350"/>
      <c r="K36" s="350"/>
      <c r="L36" s="350"/>
      <c r="M36" s="350"/>
      <c r="N36" s="351"/>
      <c r="S36" s="79">
        <v>9.7000000000000003E-3</v>
      </c>
      <c r="T36" s="79">
        <v>1.2699999999999999E-2</v>
      </c>
      <c r="W36" s="79">
        <v>5.0000000000000001E-3</v>
      </c>
      <c r="X36" s="79">
        <v>9.7000000000000003E-3</v>
      </c>
      <c r="AA36" s="79">
        <v>0.01</v>
      </c>
      <c r="AB36" s="79">
        <v>1.7399999999999999E-2</v>
      </c>
      <c r="AH36" s="79">
        <v>0.20760000000000001</v>
      </c>
      <c r="AI36" s="79">
        <v>0.26440000000000002</v>
      </c>
    </row>
    <row r="37" spans="2:35" x14ac:dyDescent="0.25">
      <c r="B37" s="328" t="s">
        <v>348</v>
      </c>
      <c r="C37" s="329"/>
      <c r="D37" s="329"/>
      <c r="E37" s="330"/>
      <c r="F37" s="385">
        <v>1.2699999999999999E-2</v>
      </c>
      <c r="G37" s="387" t="str">
        <f>IF(F10="Escolha o tipo de obra","",IF(F37="","",IF(F37&lt;C38,"FORA DO LIMITE",IF(F37&gt;E38,"FORA DO LIMITE","OK"))))</f>
        <v>OK</v>
      </c>
      <c r="H37" s="388"/>
      <c r="I37" s="377" t="s">
        <v>349</v>
      </c>
      <c r="J37" s="378"/>
      <c r="K37" s="378"/>
      <c r="L37" s="378"/>
      <c r="M37" s="378"/>
      <c r="N37" s="379"/>
      <c r="S37" s="79">
        <v>5.8999999999999999E-3</v>
      </c>
      <c r="T37" s="79">
        <v>1.3899999999999999E-2</v>
      </c>
      <c r="W37" s="79">
        <v>1.0200000000000001E-2</v>
      </c>
      <c r="X37" s="79">
        <v>1.21E-2</v>
      </c>
      <c r="AA37" s="79">
        <v>9.4000000000000004E-3</v>
      </c>
      <c r="AB37" s="79">
        <v>1.17E-2</v>
      </c>
      <c r="AH37" s="79">
        <v>0.24</v>
      </c>
      <c r="AI37" s="79">
        <v>0.27860000000000001</v>
      </c>
    </row>
    <row r="38" spans="2:35" ht="15.75" thickBot="1" x14ac:dyDescent="0.3">
      <c r="B38" s="198" t="s">
        <v>345</v>
      </c>
      <c r="C38" s="199">
        <f>IF($F$10=$S$16,S36,IF($F$10=$S$17,W36,IF($F$10=$S$18,AA36,IF($F$10=$S$19,S42,IF($F$10=$S$20,W42,IF($F$10=$S$21,AA42,""))))))</f>
        <v>9.7000000000000003E-3</v>
      </c>
      <c r="D38" s="200" t="s">
        <v>346</v>
      </c>
      <c r="E38" s="201">
        <f>IF($F$10=$S$16,T36,IF($F$10=$S$17,X36,IF($F$10=$S$18,AB36,IF($F$10=$S$19,T42,IF($F$10=$S$20,X42,IF($F$10=$S$21,AB42,""))))))</f>
        <v>1.2699999999999999E-2</v>
      </c>
      <c r="F38" s="386"/>
      <c r="G38" s="389"/>
      <c r="H38" s="390"/>
      <c r="I38" s="346"/>
      <c r="J38" s="347"/>
      <c r="K38" s="347"/>
      <c r="L38" s="347"/>
      <c r="M38" s="347"/>
      <c r="N38" s="348"/>
      <c r="S38" s="79">
        <v>6.1600000000000002E-2</v>
      </c>
      <c r="T38" s="79">
        <v>8.9599999999999999E-2</v>
      </c>
      <c r="W38" s="79">
        <v>6.6400000000000001E-2</v>
      </c>
      <c r="X38" s="79">
        <v>8.6900000000000005E-2</v>
      </c>
      <c r="AA38" s="79">
        <v>6.7400000000000002E-2</v>
      </c>
      <c r="AB38" s="79">
        <v>9.4E-2</v>
      </c>
      <c r="AH38" s="79">
        <v>0.22800000000000001</v>
      </c>
      <c r="AI38" s="79">
        <v>0.3095</v>
      </c>
    </row>
    <row r="39" spans="2:35" x14ac:dyDescent="0.25">
      <c r="B39" s="328" t="s">
        <v>350</v>
      </c>
      <c r="C39" s="329"/>
      <c r="D39" s="329"/>
      <c r="E39" s="330"/>
      <c r="F39" s="385">
        <v>1.3899999999999999E-2</v>
      </c>
      <c r="G39" s="387" t="str">
        <f>IF(F10="Escolha o tipo de obra","",IF(F39="","",IF(F39&lt;C40,"FORA DO LIMITE",IF(F39&gt;E40,"FORA DO LIMITE","OK"))))</f>
        <v>OK</v>
      </c>
      <c r="H39" s="388"/>
      <c r="I39" s="346"/>
      <c r="J39" s="347"/>
      <c r="K39" s="347"/>
      <c r="L39" s="347"/>
      <c r="M39" s="347"/>
      <c r="N39" s="348"/>
      <c r="S39" t="s">
        <v>351</v>
      </c>
      <c r="T39" s="79">
        <v>0.24</v>
      </c>
      <c r="U39" s="79">
        <v>0.27860000000000001</v>
      </c>
      <c r="W39" t="s">
        <v>352</v>
      </c>
      <c r="X39" s="79">
        <v>0.22800000000000001</v>
      </c>
      <c r="Y39" s="79">
        <v>0.3095</v>
      </c>
      <c r="AA39" t="s">
        <v>353</v>
      </c>
      <c r="AB39" s="79">
        <v>0.111</v>
      </c>
      <c r="AC39" s="79">
        <v>0.16800000000000001</v>
      </c>
      <c r="AH39" s="79">
        <v>0.111</v>
      </c>
      <c r="AI39" s="79">
        <v>0.16800000000000001</v>
      </c>
    </row>
    <row r="40" spans="2:35" ht="15.75" thickBot="1" x14ac:dyDescent="0.3">
      <c r="B40" s="198" t="s">
        <v>345</v>
      </c>
      <c r="C40" s="199">
        <f>IF($F$10=$S$16,S37,IF($F$10=$S$17,W37,IF($F$10=$S$18,AA37,IF($F$10=$S$19,S43,IF($F$10=$S$20,W43,IF($F$10=$S$21,AA43,""))))))</f>
        <v>5.8999999999999999E-3</v>
      </c>
      <c r="D40" s="200" t="s">
        <v>346</v>
      </c>
      <c r="E40" s="201">
        <f>IF($F$10=$S$16,T37,IF($F$10=$S$17,X37,IF($F$10=$S$18,AB37,IF($F$10=$S$19,T43,IF($F$10=$S$20,X43,IF($F$10=$S$21,AB43,""))))))</f>
        <v>1.3899999999999999E-2</v>
      </c>
      <c r="F40" s="386"/>
      <c r="G40" s="389"/>
      <c r="H40" s="390"/>
      <c r="I40" s="346"/>
      <c r="J40" s="347"/>
      <c r="K40" s="347"/>
      <c r="L40" s="347"/>
      <c r="M40" s="347"/>
      <c r="N40" s="348"/>
      <c r="S40" s="79">
        <v>5.2900000000000003E-2</v>
      </c>
      <c r="T40" s="79">
        <v>7.9299999999999995E-2</v>
      </c>
      <c r="W40" s="79">
        <v>0.04</v>
      </c>
      <c r="X40" s="79">
        <v>7.85E-2</v>
      </c>
      <c r="AA40" s="79">
        <v>1.4999999999999999E-2</v>
      </c>
      <c r="AB40" s="79">
        <v>4.4900000000000002E-2</v>
      </c>
      <c r="AH40" s="79"/>
      <c r="AI40" s="79"/>
    </row>
    <row r="41" spans="2:35" x14ac:dyDescent="0.25">
      <c r="B41" s="328" t="s">
        <v>354</v>
      </c>
      <c r="C41" s="329"/>
      <c r="D41" s="329"/>
      <c r="E41" s="330"/>
      <c r="F41" s="385">
        <v>8.9599999999999999E-2</v>
      </c>
      <c r="G41" s="387" t="str">
        <f>IF(F10="Escolha o tipo de obra","",IF(F41="","",IF(F41&lt;C42,"FORA DO LIMITE",IF(F41&gt;E42,"FORA DO LIMITE","OK"))))</f>
        <v>OK</v>
      </c>
      <c r="H41" s="388"/>
      <c r="I41" s="387"/>
      <c r="J41" s="393"/>
      <c r="K41" s="393"/>
      <c r="L41" s="393"/>
      <c r="M41" s="393"/>
      <c r="N41" s="388"/>
      <c r="S41" s="79">
        <v>2.5000000000000001E-3</v>
      </c>
      <c r="T41" s="79">
        <v>5.5999999999999999E-3</v>
      </c>
      <c r="W41" s="79">
        <v>8.0999999999999996E-3</v>
      </c>
      <c r="X41" s="79">
        <v>1.9900000000000001E-2</v>
      </c>
      <c r="AA41" s="79">
        <v>3.0000000000000001E-3</v>
      </c>
      <c r="AB41" s="79">
        <v>8.2000000000000007E-3</v>
      </c>
      <c r="AH41" s="79"/>
      <c r="AI41" s="79"/>
    </row>
    <row r="42" spans="2:35" ht="15.75" thickBot="1" x14ac:dyDescent="0.3">
      <c r="B42" s="198" t="s">
        <v>345</v>
      </c>
      <c r="C42" s="199">
        <f>IF($F$10=$S$16,S38,IF($F$10=$S$17,W38,IF($F$10=$S$18,AA38,IF($F$10=$S$19,S44,IF($F$10=$S$20,W44,IF($F$10=$S$21,AA44,""))))))</f>
        <v>6.1600000000000002E-2</v>
      </c>
      <c r="D42" s="200" t="s">
        <v>346</v>
      </c>
      <c r="E42" s="201">
        <f>IF($F$10=$S$16,T38,IF($F$10=$S$17,X38,IF($F$10=$S$18,AB38,IF($F$10=$S$19,T44,IF($F$10=$S$20,X44,IF($F$10=$S$21,AB44,""))))))</f>
        <v>8.9599999999999999E-2</v>
      </c>
      <c r="F42" s="386"/>
      <c r="G42" s="389"/>
      <c r="H42" s="390"/>
      <c r="I42" s="394"/>
      <c r="J42" s="395"/>
      <c r="K42" s="395"/>
      <c r="L42" s="395"/>
      <c r="M42" s="395"/>
      <c r="N42" s="396"/>
      <c r="S42" s="79">
        <v>0.01</v>
      </c>
      <c r="T42" s="79">
        <v>1.9699999999999999E-2</v>
      </c>
      <c r="W42" s="79">
        <v>1.46E-2</v>
      </c>
      <c r="X42" s="79">
        <v>3.1600000000000003E-2</v>
      </c>
      <c r="AA42" s="79">
        <v>5.5999999999999999E-3</v>
      </c>
      <c r="AB42" s="79">
        <v>8.8999999999999999E-3</v>
      </c>
      <c r="AH42" s="79"/>
      <c r="AI42" s="79"/>
    </row>
    <row r="43" spans="2:35" ht="15.75" thickBot="1" x14ac:dyDescent="0.3">
      <c r="B43" s="398" t="s">
        <v>355</v>
      </c>
      <c r="C43" s="399"/>
      <c r="D43" s="399"/>
      <c r="E43" s="400"/>
      <c r="F43" s="204">
        <v>6.4999999999999997E-3</v>
      </c>
      <c r="G43" s="401" t="str">
        <f>IF(F10="Escolha o tipo de obra","",IF(F43="","",IF(F43&lt;&gt;0.0065,"Em geral deve ser 0,65%","OK")))</f>
        <v>OK</v>
      </c>
      <c r="H43" s="402"/>
      <c r="I43" s="395"/>
      <c r="J43" s="395"/>
      <c r="K43" s="395"/>
      <c r="L43" s="395"/>
      <c r="M43" s="395"/>
      <c r="N43" s="396"/>
      <c r="S43" s="79">
        <v>1.01E-2</v>
      </c>
      <c r="T43" s="79">
        <v>1.11E-2</v>
      </c>
      <c r="W43" s="79">
        <v>9.4000000000000004E-3</v>
      </c>
      <c r="X43" s="79">
        <v>1.3299999999999999E-2</v>
      </c>
      <c r="AA43" s="79">
        <v>8.5000000000000006E-3</v>
      </c>
      <c r="AB43" s="79">
        <v>1.11E-2</v>
      </c>
      <c r="AH43" s="79"/>
      <c r="AI43" s="79"/>
    </row>
    <row r="44" spans="2:35" ht="15.75" thickBot="1" x14ac:dyDescent="0.3">
      <c r="B44" s="398" t="s">
        <v>356</v>
      </c>
      <c r="C44" s="399"/>
      <c r="D44" s="399"/>
      <c r="E44" s="400"/>
      <c r="F44" s="204">
        <v>0.03</v>
      </c>
      <c r="G44" s="403" t="str">
        <f>IF(F10="Escolha o tipo de obra","",IF(F44="","",IF(F44&lt;&gt;0.03,"Em geral deve ser 3,00%","OK")))</f>
        <v>OK</v>
      </c>
      <c r="H44" s="404"/>
      <c r="I44" s="395"/>
      <c r="J44" s="395"/>
      <c r="K44" s="395"/>
      <c r="L44" s="395"/>
      <c r="M44" s="395"/>
      <c r="N44" s="396"/>
      <c r="S44" s="79">
        <v>0.08</v>
      </c>
      <c r="T44" s="79">
        <v>9.5100000000000004E-2</v>
      </c>
      <c r="W44" s="79">
        <v>7.1400000000000005E-2</v>
      </c>
      <c r="X44" s="79">
        <v>0.1043</v>
      </c>
      <c r="AA44" s="79">
        <v>3.5000000000000003E-2</v>
      </c>
      <c r="AB44" s="79">
        <v>6.2199999999999998E-2</v>
      </c>
      <c r="AH44" s="79"/>
      <c r="AI44" s="79"/>
    </row>
    <row r="45" spans="2:35" ht="15.75" thickBot="1" x14ac:dyDescent="0.3">
      <c r="B45" s="398" t="s">
        <v>357</v>
      </c>
      <c r="C45" s="399"/>
      <c r="D45" s="399"/>
      <c r="E45" s="400"/>
      <c r="F45" s="205">
        <v>0.02</v>
      </c>
      <c r="G45" s="403" t="str">
        <f>IF(F10="Escolha o tipo de obra","",IF(F45="","",IF(F45&gt;0.05,"FORA DO LIMITE","OK")))</f>
        <v>OK</v>
      </c>
      <c r="H45" s="404"/>
      <c r="I45" s="394"/>
      <c r="J45" s="395"/>
      <c r="K45" s="395"/>
      <c r="L45" s="395"/>
      <c r="M45" s="395"/>
      <c r="N45" s="396"/>
    </row>
    <row r="46" spans="2:35" ht="15.75" thickBot="1" x14ac:dyDescent="0.3">
      <c r="B46" s="398" t="s">
        <v>358</v>
      </c>
      <c r="C46" s="399"/>
      <c r="D46" s="399"/>
      <c r="E46" s="400"/>
      <c r="F46" s="206">
        <f>IF(F13="ONERADO",0,IF(F13="DESONERADO",0.045,""))</f>
        <v>0</v>
      </c>
      <c r="G46" s="403" t="str">
        <f>IF(F13="Escolha o regime de contribuição","",IF(F13="DESONERADO","OK",IF(F13="ONERADO","OK")))</f>
        <v>OK</v>
      </c>
      <c r="H46" s="404"/>
      <c r="I46" s="389"/>
      <c r="J46" s="397"/>
      <c r="K46" s="397"/>
      <c r="L46" s="397"/>
      <c r="M46" s="397"/>
      <c r="N46" s="390"/>
    </row>
    <row r="47" spans="2:35" x14ac:dyDescent="0.25">
      <c r="B47" s="195"/>
      <c r="C47" s="195"/>
      <c r="D47" s="195"/>
      <c r="E47" s="195"/>
      <c r="F47" s="207"/>
      <c r="G47" s="203"/>
      <c r="H47" s="203"/>
      <c r="I47" s="203"/>
      <c r="J47" s="203"/>
      <c r="K47" s="203"/>
      <c r="L47" s="203"/>
      <c r="M47" s="203"/>
      <c r="N47" s="203"/>
    </row>
    <row r="48" spans="2:35" x14ac:dyDescent="0.25">
      <c r="B48" s="195"/>
      <c r="C48" s="195"/>
      <c r="D48" s="195"/>
      <c r="E48" s="195"/>
      <c r="F48" s="207"/>
      <c r="G48" s="203"/>
      <c r="H48" s="203"/>
      <c r="I48" s="203"/>
      <c r="J48" s="203"/>
      <c r="K48" s="203"/>
      <c r="L48" s="203"/>
      <c r="M48" s="203"/>
      <c r="N48" s="203"/>
    </row>
    <row r="49" spans="2:16" x14ac:dyDescent="0.25">
      <c r="B49" s="405" t="s">
        <v>359</v>
      </c>
      <c r="C49" s="405"/>
      <c r="D49" s="405"/>
      <c r="E49" s="405"/>
      <c r="F49" s="405"/>
      <c r="G49" s="405"/>
      <c r="H49" s="405"/>
      <c r="I49" s="405"/>
      <c r="J49" s="405"/>
      <c r="K49" s="405"/>
      <c r="L49" s="405"/>
      <c r="M49" s="405"/>
      <c r="N49" s="405"/>
    </row>
    <row r="50" spans="2:16" x14ac:dyDescent="0.25">
      <c r="B50" s="406"/>
      <c r="C50" s="406"/>
      <c r="D50" s="406"/>
      <c r="E50" s="406"/>
      <c r="F50" s="406"/>
      <c r="G50" s="406"/>
      <c r="H50" s="406"/>
      <c r="I50" s="406"/>
      <c r="J50" s="406"/>
      <c r="K50" s="406"/>
      <c r="L50" s="406"/>
      <c r="M50" s="406"/>
      <c r="N50" s="406"/>
    </row>
    <row r="51" spans="2:16" x14ac:dyDescent="0.25">
      <c r="B51" s="406"/>
      <c r="C51" s="406"/>
      <c r="D51" s="406"/>
      <c r="E51" s="406"/>
      <c r="F51" s="406"/>
      <c r="G51" s="406"/>
      <c r="H51" s="406"/>
      <c r="I51" s="406"/>
      <c r="J51" s="406"/>
      <c r="K51" s="406"/>
      <c r="L51" s="406"/>
      <c r="M51" s="406"/>
      <c r="N51" s="406"/>
      <c r="P51" t="s">
        <v>360</v>
      </c>
    </row>
    <row r="52" spans="2:16" x14ac:dyDescent="0.25">
      <c r="B52" s="406"/>
      <c r="C52" s="406"/>
      <c r="D52" s="406"/>
      <c r="E52" s="406"/>
      <c r="F52" s="406"/>
      <c r="G52" s="406"/>
      <c r="H52" s="406"/>
      <c r="I52" s="406"/>
      <c r="J52" s="406"/>
      <c r="K52" s="406"/>
      <c r="L52" s="406"/>
      <c r="M52" s="406"/>
      <c r="N52" s="406"/>
      <c r="P52" t="s">
        <v>361</v>
      </c>
    </row>
    <row r="53" spans="2:16" x14ac:dyDescent="0.25">
      <c r="B53" s="406"/>
      <c r="C53" s="406"/>
      <c r="D53" s="406"/>
      <c r="E53" s="406"/>
      <c r="F53" s="406"/>
      <c r="G53" s="406"/>
      <c r="H53" s="406"/>
      <c r="I53" s="406"/>
      <c r="J53" s="406"/>
      <c r="K53" s="406"/>
      <c r="L53" s="406"/>
      <c r="M53" s="406"/>
      <c r="N53" s="406"/>
    </row>
    <row r="54" spans="2:16" x14ac:dyDescent="0.25">
      <c r="I54" s="208"/>
      <c r="J54" s="407" t="s">
        <v>362</v>
      </c>
      <c r="K54" s="408"/>
      <c r="L54" s="408"/>
      <c r="M54" s="408"/>
    </row>
    <row r="55" spans="2:16" x14ac:dyDescent="0.25">
      <c r="C55" s="391"/>
      <c r="D55" s="391"/>
      <c r="E55" s="391"/>
      <c r="F55" s="391"/>
      <c r="G55" s="391"/>
      <c r="H55" s="391"/>
      <c r="J55" s="392" t="s">
        <v>363</v>
      </c>
      <c r="K55" s="392"/>
      <c r="L55" s="392"/>
      <c r="M55" s="392"/>
      <c r="N55" s="209"/>
    </row>
    <row r="56" spans="2:16" x14ac:dyDescent="0.25">
      <c r="B56" s="210"/>
      <c r="C56" s="391"/>
      <c r="D56" s="391"/>
      <c r="E56" s="391"/>
      <c r="F56" s="391"/>
      <c r="G56" s="391"/>
      <c r="H56" s="391"/>
      <c r="I56" s="210"/>
      <c r="J56" s="392"/>
      <c r="K56" s="392"/>
      <c r="L56" s="392"/>
      <c r="M56" s="392"/>
      <c r="N56" s="209"/>
    </row>
    <row r="57" spans="2:16" x14ac:dyDescent="0.25">
      <c r="B57" s="209"/>
      <c r="C57" s="209"/>
      <c r="D57" s="209"/>
      <c r="E57" s="209"/>
      <c r="F57" s="209"/>
      <c r="G57" s="209"/>
      <c r="I57" s="209"/>
      <c r="J57" s="209"/>
      <c r="K57" s="209"/>
      <c r="L57" s="209"/>
      <c r="M57" s="209"/>
      <c r="N57" s="209"/>
    </row>
    <row r="58" spans="2:16" x14ac:dyDescent="0.25">
      <c r="B58" s="209"/>
      <c r="C58" s="209"/>
      <c r="D58" s="209"/>
      <c r="E58" s="209"/>
      <c r="F58" s="209"/>
      <c r="G58" s="209"/>
      <c r="I58" s="209"/>
      <c r="J58" s="209"/>
      <c r="K58" s="209"/>
      <c r="L58" s="209"/>
      <c r="M58" s="209"/>
      <c r="N58" s="209"/>
    </row>
    <row r="59" spans="2:16" x14ac:dyDescent="0.25">
      <c r="B59" s="209"/>
      <c r="C59" s="209"/>
      <c r="D59" s="209"/>
      <c r="E59" s="209"/>
      <c r="F59" s="209"/>
      <c r="G59" s="209"/>
      <c r="I59" s="209"/>
      <c r="J59" s="209"/>
      <c r="K59" s="209"/>
      <c r="L59" s="209"/>
      <c r="M59" s="209"/>
      <c r="N59" s="209"/>
    </row>
    <row r="60" spans="2:16" x14ac:dyDescent="0.25">
      <c r="B60" s="209"/>
      <c r="C60" s="209"/>
      <c r="D60" s="209"/>
      <c r="E60" s="209"/>
      <c r="F60" s="209"/>
      <c r="G60" s="209"/>
      <c r="I60" s="209"/>
      <c r="J60" s="209"/>
      <c r="K60" s="209"/>
      <c r="L60" s="209"/>
      <c r="M60" s="209"/>
      <c r="N60" s="209"/>
    </row>
    <row r="61" spans="2:16" x14ac:dyDescent="0.25">
      <c r="B61" s="209"/>
      <c r="C61" s="209"/>
      <c r="D61" s="209"/>
      <c r="E61" s="209"/>
      <c r="F61" s="209"/>
      <c r="G61" s="209"/>
      <c r="I61" s="209"/>
      <c r="J61" s="209"/>
      <c r="K61" s="209"/>
      <c r="L61" s="209"/>
      <c r="M61" s="209"/>
      <c r="N61" s="209"/>
    </row>
    <row r="62" spans="2:16" x14ac:dyDescent="0.25">
      <c r="B62" s="209"/>
      <c r="C62" s="209"/>
      <c r="D62" s="209"/>
      <c r="E62" s="209"/>
      <c r="F62" s="209"/>
      <c r="G62" s="209"/>
      <c r="I62" s="209"/>
      <c r="J62" s="209"/>
      <c r="K62" s="209"/>
      <c r="L62" s="209"/>
      <c r="M62" s="209"/>
      <c r="N62" s="209"/>
    </row>
    <row r="63" spans="2:16" x14ac:dyDescent="0.25">
      <c r="B63" s="209"/>
      <c r="C63" s="209"/>
      <c r="D63" s="209"/>
      <c r="E63" s="209"/>
      <c r="F63" s="209"/>
      <c r="G63" s="209"/>
      <c r="I63" s="209"/>
      <c r="J63" s="209"/>
      <c r="K63" s="209"/>
      <c r="L63" s="209"/>
      <c r="M63" s="209"/>
      <c r="N63" s="209"/>
    </row>
  </sheetData>
  <mergeCells count="51">
    <mergeCell ref="B46:E46"/>
    <mergeCell ref="G46:H46"/>
    <mergeCell ref="B49:N49"/>
    <mergeCell ref="B50:N53"/>
    <mergeCell ref="J54:M54"/>
    <mergeCell ref="I37:N40"/>
    <mergeCell ref="B39:E39"/>
    <mergeCell ref="F39:F40"/>
    <mergeCell ref="G39:H40"/>
    <mergeCell ref="C55:H56"/>
    <mergeCell ref="J55:M56"/>
    <mergeCell ref="B41:E41"/>
    <mergeCell ref="F41:F42"/>
    <mergeCell ref="G41:H42"/>
    <mergeCell ref="I41:N46"/>
    <mergeCell ref="B43:E43"/>
    <mergeCell ref="G43:H43"/>
    <mergeCell ref="B44:E44"/>
    <mergeCell ref="G44:H44"/>
    <mergeCell ref="B45:E45"/>
    <mergeCell ref="G45:H45"/>
    <mergeCell ref="G33:H34"/>
    <mergeCell ref="B35:E35"/>
    <mergeCell ref="F35:F36"/>
    <mergeCell ref="G35:H36"/>
    <mergeCell ref="B37:E37"/>
    <mergeCell ref="F37:F38"/>
    <mergeCell ref="G37:H38"/>
    <mergeCell ref="B8:N9"/>
    <mergeCell ref="B10:E12"/>
    <mergeCell ref="F10:H12"/>
    <mergeCell ref="I10:N10"/>
    <mergeCell ref="I11:N29"/>
    <mergeCell ref="B13:E16"/>
    <mergeCell ref="F13:H16"/>
    <mergeCell ref="B17:E22"/>
    <mergeCell ref="F17:H31"/>
    <mergeCell ref="B23:E31"/>
    <mergeCell ref="I30:N30"/>
    <mergeCell ref="I31:N36"/>
    <mergeCell ref="B32:E32"/>
    <mergeCell ref="G32:H32"/>
    <mergeCell ref="B33:E33"/>
    <mergeCell ref="F33:F34"/>
    <mergeCell ref="B6:D6"/>
    <mergeCell ref="E6:N6"/>
    <mergeCell ref="B2:N2"/>
    <mergeCell ref="B4:D4"/>
    <mergeCell ref="E4:N4"/>
    <mergeCell ref="B5:D5"/>
    <mergeCell ref="E5:N5"/>
  </mergeCells>
  <conditionalFormatting sqref="F17">
    <cfRule type="cellIs" dxfId="7" priority="1" stopIfTrue="1" operator="equal">
      <formula>"OK"</formula>
    </cfRule>
    <cfRule type="cellIs" dxfId="6" priority="2" stopIfTrue="1" operator="equal">
      <formula>"FORA DA FAIXA"</formula>
    </cfRule>
    <cfRule type="cellIs" dxfId="5" priority="3" stopIfTrue="1" operator="equal">
      <formula>"VERIFICAR ITENS"</formula>
    </cfRule>
  </conditionalFormatting>
  <conditionalFormatting sqref="G33:G45">
    <cfRule type="cellIs" dxfId="4" priority="4" stopIfTrue="1" operator="equal">
      <formula>"OK"</formula>
    </cfRule>
    <cfRule type="cellIs" dxfId="3" priority="5" stopIfTrue="1" operator="equal">
      <formula>"FORA DO LIMITE"</formula>
    </cfRule>
  </conditionalFormatting>
  <conditionalFormatting sqref="G46:H48">
    <cfRule type="cellIs" dxfId="2" priority="6" stopIfTrue="1" operator="equal">
      <formula>"OK"</formula>
    </cfRule>
    <cfRule type="cellIs" dxfId="1" priority="7" stopIfTrue="1" operator="equal">
      <formula>"FORA DO LIMITE"</formula>
    </cfRule>
    <cfRule type="cellIs" dxfId="0" priority="8" stopIfTrue="1" operator="equal">
      <formula>"Deixar em branco o campo ao lado"</formula>
    </cfRule>
  </conditionalFormatting>
  <dataValidations count="3">
    <dataValidation operator="equal" allowBlank="1" showInputMessage="1" showErrorMessage="1" errorTitle="Atenção" error="Alíquota de recolhimento da contribuição previdenciária deve ser de 2%." sqref="F46:F48 JB46:JB48" xr:uid="{73E42BAC-834C-4FF1-9F4D-40551B5AB60F}"/>
    <dataValidation type="list" allowBlank="1" showInputMessage="1" showErrorMessage="1" sqref="F13:H16 JB13:JC16" xr:uid="{5D645DF5-121A-44D5-B7FC-74630DCE6435}">
      <formula1>$Q$10:$Q$12</formula1>
    </dataValidation>
    <dataValidation type="list" allowBlank="1" showInputMessage="1" showErrorMessage="1" sqref="F10:H11 JB10:JC11" xr:uid="{F70FFE06-D0E8-4F37-8060-220C9B2B70D0}">
      <formula1>$S$15:$S$21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F236"/>
  <sheetViews>
    <sheetView view="pageBreakPreview" topLeftCell="A50" zoomScale="60" zoomScaleNormal="50" workbookViewId="0">
      <selection activeCell="C227" sqref="C227"/>
    </sheetView>
  </sheetViews>
  <sheetFormatPr defaultColWidth="10.28515625" defaultRowHeight="20.25" x14ac:dyDescent="0.3"/>
  <cols>
    <col min="1" max="1" width="27" style="124" bestFit="1" customWidth="1"/>
    <col min="2" max="2" width="11" style="124" customWidth="1"/>
    <col min="3" max="3" width="81.7109375" style="124" customWidth="1"/>
    <col min="4" max="4" width="8.5703125" style="124" customWidth="1"/>
    <col min="5" max="5" width="12.5703125" style="124" customWidth="1"/>
    <col min="6" max="8" width="16.5703125" style="124" bestFit="1" customWidth="1"/>
    <col min="9" max="9" width="8.5703125" style="124" customWidth="1"/>
    <col min="10" max="10" width="11.28515625" style="125" customWidth="1"/>
    <col min="11" max="11" width="12.7109375" style="124" bestFit="1" customWidth="1"/>
    <col min="12" max="13" width="11.28515625" style="124" bestFit="1" customWidth="1"/>
    <col min="14" max="254" width="10.28515625" style="124"/>
    <col min="255" max="255" width="2.140625" style="124" customWidth="1"/>
    <col min="256" max="256" width="40.28515625" style="124" customWidth="1"/>
    <col min="257" max="257" width="26.85546875" style="124" customWidth="1"/>
    <col min="258" max="258" width="202" style="124" customWidth="1"/>
    <col min="259" max="259" width="14.85546875" style="124" customWidth="1"/>
    <col min="260" max="260" width="11.7109375" style="124" customWidth="1"/>
    <col min="261" max="261" width="18.140625" style="124" bestFit="1" customWidth="1"/>
    <col min="262" max="264" width="22.28515625" style="124" customWidth="1"/>
    <col min="265" max="265" width="19.85546875" style="124" bestFit="1" customWidth="1"/>
    <col min="266" max="510" width="10.28515625" style="124"/>
    <col min="511" max="511" width="2.140625" style="124" customWidth="1"/>
    <col min="512" max="512" width="40.28515625" style="124" customWidth="1"/>
    <col min="513" max="513" width="26.85546875" style="124" customWidth="1"/>
    <col min="514" max="514" width="202" style="124" customWidth="1"/>
    <col min="515" max="515" width="14.85546875" style="124" customWidth="1"/>
    <col min="516" max="516" width="11.7109375" style="124" customWidth="1"/>
    <col min="517" max="517" width="18.140625" style="124" bestFit="1" customWidth="1"/>
    <col min="518" max="520" width="22.28515625" style="124" customWidth="1"/>
    <col min="521" max="521" width="19.85546875" style="124" bestFit="1" customWidth="1"/>
    <col min="522" max="766" width="10.28515625" style="124"/>
    <col min="767" max="767" width="2.140625" style="124" customWidth="1"/>
    <col min="768" max="768" width="40.28515625" style="124" customWidth="1"/>
    <col min="769" max="769" width="26.85546875" style="124" customWidth="1"/>
    <col min="770" max="770" width="202" style="124" customWidth="1"/>
    <col min="771" max="771" width="14.85546875" style="124" customWidth="1"/>
    <col min="772" max="772" width="11.7109375" style="124" customWidth="1"/>
    <col min="773" max="773" width="18.140625" style="124" bestFit="1" customWidth="1"/>
    <col min="774" max="776" width="22.28515625" style="124" customWidth="1"/>
    <col min="777" max="777" width="19.85546875" style="124" bestFit="1" customWidth="1"/>
    <col min="778" max="1022" width="10.28515625" style="124"/>
    <col min="1023" max="1023" width="2.140625" style="124" customWidth="1"/>
    <col min="1024" max="1024" width="40.28515625" style="124" customWidth="1"/>
    <col min="1025" max="1025" width="26.85546875" style="124" customWidth="1"/>
    <col min="1026" max="1026" width="202" style="124" customWidth="1"/>
    <col min="1027" max="1027" width="14.85546875" style="124" customWidth="1"/>
    <col min="1028" max="1028" width="11.7109375" style="124" customWidth="1"/>
    <col min="1029" max="1029" width="18.140625" style="124" bestFit="1" customWidth="1"/>
    <col min="1030" max="1032" width="22.28515625" style="124" customWidth="1"/>
    <col min="1033" max="1033" width="19.85546875" style="124" bestFit="1" customWidth="1"/>
    <col min="1034" max="1278" width="10.28515625" style="124"/>
    <col min="1279" max="1279" width="2.140625" style="124" customWidth="1"/>
    <col min="1280" max="1280" width="40.28515625" style="124" customWidth="1"/>
    <col min="1281" max="1281" width="26.85546875" style="124" customWidth="1"/>
    <col min="1282" max="1282" width="202" style="124" customWidth="1"/>
    <col min="1283" max="1283" width="14.85546875" style="124" customWidth="1"/>
    <col min="1284" max="1284" width="11.7109375" style="124" customWidth="1"/>
    <col min="1285" max="1285" width="18.140625" style="124" bestFit="1" customWidth="1"/>
    <col min="1286" max="1288" width="22.28515625" style="124" customWidth="1"/>
    <col min="1289" max="1289" width="19.85546875" style="124" bestFit="1" customWidth="1"/>
    <col min="1290" max="1534" width="10.28515625" style="124"/>
    <col min="1535" max="1535" width="2.140625" style="124" customWidth="1"/>
    <col min="1536" max="1536" width="40.28515625" style="124" customWidth="1"/>
    <col min="1537" max="1537" width="26.85546875" style="124" customWidth="1"/>
    <col min="1538" max="1538" width="202" style="124" customWidth="1"/>
    <col min="1539" max="1539" width="14.85546875" style="124" customWidth="1"/>
    <col min="1540" max="1540" width="11.7109375" style="124" customWidth="1"/>
    <col min="1541" max="1541" width="18.140625" style="124" bestFit="1" customWidth="1"/>
    <col min="1542" max="1544" width="22.28515625" style="124" customWidth="1"/>
    <col min="1545" max="1545" width="19.85546875" style="124" bestFit="1" customWidth="1"/>
    <col min="1546" max="1790" width="10.28515625" style="124"/>
    <col min="1791" max="1791" width="2.140625" style="124" customWidth="1"/>
    <col min="1792" max="1792" width="40.28515625" style="124" customWidth="1"/>
    <col min="1793" max="1793" width="26.85546875" style="124" customWidth="1"/>
    <col min="1794" max="1794" width="202" style="124" customWidth="1"/>
    <col min="1795" max="1795" width="14.85546875" style="124" customWidth="1"/>
    <col min="1796" max="1796" width="11.7109375" style="124" customWidth="1"/>
    <col min="1797" max="1797" width="18.140625" style="124" bestFit="1" customWidth="1"/>
    <col min="1798" max="1800" width="22.28515625" style="124" customWidth="1"/>
    <col min="1801" max="1801" width="19.85546875" style="124" bestFit="1" customWidth="1"/>
    <col min="1802" max="2046" width="10.28515625" style="124"/>
    <col min="2047" max="2047" width="2.140625" style="124" customWidth="1"/>
    <col min="2048" max="2048" width="40.28515625" style="124" customWidth="1"/>
    <col min="2049" max="2049" width="26.85546875" style="124" customWidth="1"/>
    <col min="2050" max="2050" width="202" style="124" customWidth="1"/>
    <col min="2051" max="2051" width="14.85546875" style="124" customWidth="1"/>
    <col min="2052" max="2052" width="11.7109375" style="124" customWidth="1"/>
    <col min="2053" max="2053" width="18.140625" style="124" bestFit="1" customWidth="1"/>
    <col min="2054" max="2056" width="22.28515625" style="124" customWidth="1"/>
    <col min="2057" max="2057" width="19.85546875" style="124" bestFit="1" customWidth="1"/>
    <col min="2058" max="2302" width="10.28515625" style="124"/>
    <col min="2303" max="2303" width="2.140625" style="124" customWidth="1"/>
    <col min="2304" max="2304" width="40.28515625" style="124" customWidth="1"/>
    <col min="2305" max="2305" width="26.85546875" style="124" customWidth="1"/>
    <col min="2306" max="2306" width="202" style="124" customWidth="1"/>
    <col min="2307" max="2307" width="14.85546875" style="124" customWidth="1"/>
    <col min="2308" max="2308" width="11.7109375" style="124" customWidth="1"/>
    <col min="2309" max="2309" width="18.140625" style="124" bestFit="1" customWidth="1"/>
    <col min="2310" max="2312" width="22.28515625" style="124" customWidth="1"/>
    <col min="2313" max="2313" width="19.85546875" style="124" bestFit="1" customWidth="1"/>
    <col min="2314" max="2558" width="10.28515625" style="124"/>
    <col min="2559" max="2559" width="2.140625" style="124" customWidth="1"/>
    <col min="2560" max="2560" width="40.28515625" style="124" customWidth="1"/>
    <col min="2561" max="2561" width="26.85546875" style="124" customWidth="1"/>
    <col min="2562" max="2562" width="202" style="124" customWidth="1"/>
    <col min="2563" max="2563" width="14.85546875" style="124" customWidth="1"/>
    <col min="2564" max="2564" width="11.7109375" style="124" customWidth="1"/>
    <col min="2565" max="2565" width="18.140625" style="124" bestFit="1" customWidth="1"/>
    <col min="2566" max="2568" width="22.28515625" style="124" customWidth="1"/>
    <col min="2569" max="2569" width="19.85546875" style="124" bestFit="1" customWidth="1"/>
    <col min="2570" max="2814" width="10.28515625" style="124"/>
    <col min="2815" max="2815" width="2.140625" style="124" customWidth="1"/>
    <col min="2816" max="2816" width="40.28515625" style="124" customWidth="1"/>
    <col min="2817" max="2817" width="26.85546875" style="124" customWidth="1"/>
    <col min="2818" max="2818" width="202" style="124" customWidth="1"/>
    <col min="2819" max="2819" width="14.85546875" style="124" customWidth="1"/>
    <col min="2820" max="2820" width="11.7109375" style="124" customWidth="1"/>
    <col min="2821" max="2821" width="18.140625" style="124" bestFit="1" customWidth="1"/>
    <col min="2822" max="2824" width="22.28515625" style="124" customWidth="1"/>
    <col min="2825" max="2825" width="19.85546875" style="124" bestFit="1" customWidth="1"/>
    <col min="2826" max="3070" width="10.28515625" style="124"/>
    <col min="3071" max="3071" width="2.140625" style="124" customWidth="1"/>
    <col min="3072" max="3072" width="40.28515625" style="124" customWidth="1"/>
    <col min="3073" max="3073" width="26.85546875" style="124" customWidth="1"/>
    <col min="3074" max="3074" width="202" style="124" customWidth="1"/>
    <col min="3075" max="3075" width="14.85546875" style="124" customWidth="1"/>
    <col min="3076" max="3076" width="11.7109375" style="124" customWidth="1"/>
    <col min="3077" max="3077" width="18.140625" style="124" bestFit="1" customWidth="1"/>
    <col min="3078" max="3080" width="22.28515625" style="124" customWidth="1"/>
    <col min="3081" max="3081" width="19.85546875" style="124" bestFit="1" customWidth="1"/>
    <col min="3082" max="3326" width="10.28515625" style="124"/>
    <col min="3327" max="3327" width="2.140625" style="124" customWidth="1"/>
    <col min="3328" max="3328" width="40.28515625" style="124" customWidth="1"/>
    <col min="3329" max="3329" width="26.85546875" style="124" customWidth="1"/>
    <col min="3330" max="3330" width="202" style="124" customWidth="1"/>
    <col min="3331" max="3331" width="14.85546875" style="124" customWidth="1"/>
    <col min="3332" max="3332" width="11.7109375" style="124" customWidth="1"/>
    <col min="3333" max="3333" width="18.140625" style="124" bestFit="1" customWidth="1"/>
    <col min="3334" max="3336" width="22.28515625" style="124" customWidth="1"/>
    <col min="3337" max="3337" width="19.85546875" style="124" bestFit="1" customWidth="1"/>
    <col min="3338" max="3582" width="10.28515625" style="124"/>
    <col min="3583" max="3583" width="2.140625" style="124" customWidth="1"/>
    <col min="3584" max="3584" width="40.28515625" style="124" customWidth="1"/>
    <col min="3585" max="3585" width="26.85546875" style="124" customWidth="1"/>
    <col min="3586" max="3586" width="202" style="124" customWidth="1"/>
    <col min="3587" max="3587" width="14.85546875" style="124" customWidth="1"/>
    <col min="3588" max="3588" width="11.7109375" style="124" customWidth="1"/>
    <col min="3589" max="3589" width="18.140625" style="124" bestFit="1" customWidth="1"/>
    <col min="3590" max="3592" width="22.28515625" style="124" customWidth="1"/>
    <col min="3593" max="3593" width="19.85546875" style="124" bestFit="1" customWidth="1"/>
    <col min="3594" max="3838" width="10.28515625" style="124"/>
    <col min="3839" max="3839" width="2.140625" style="124" customWidth="1"/>
    <col min="3840" max="3840" width="40.28515625" style="124" customWidth="1"/>
    <col min="3841" max="3841" width="26.85546875" style="124" customWidth="1"/>
    <col min="3842" max="3842" width="202" style="124" customWidth="1"/>
    <col min="3843" max="3843" width="14.85546875" style="124" customWidth="1"/>
    <col min="3844" max="3844" width="11.7109375" style="124" customWidth="1"/>
    <col min="3845" max="3845" width="18.140625" style="124" bestFit="1" customWidth="1"/>
    <col min="3846" max="3848" width="22.28515625" style="124" customWidth="1"/>
    <col min="3849" max="3849" width="19.85546875" style="124" bestFit="1" customWidth="1"/>
    <col min="3850" max="4094" width="10.28515625" style="124"/>
    <col min="4095" max="4095" width="2.140625" style="124" customWidth="1"/>
    <col min="4096" max="4096" width="40.28515625" style="124" customWidth="1"/>
    <col min="4097" max="4097" width="26.85546875" style="124" customWidth="1"/>
    <col min="4098" max="4098" width="202" style="124" customWidth="1"/>
    <col min="4099" max="4099" width="14.85546875" style="124" customWidth="1"/>
    <col min="4100" max="4100" width="11.7109375" style="124" customWidth="1"/>
    <col min="4101" max="4101" width="18.140625" style="124" bestFit="1" customWidth="1"/>
    <col min="4102" max="4104" width="22.28515625" style="124" customWidth="1"/>
    <col min="4105" max="4105" width="19.85546875" style="124" bestFit="1" customWidth="1"/>
    <col min="4106" max="4350" width="10.28515625" style="124"/>
    <col min="4351" max="4351" width="2.140625" style="124" customWidth="1"/>
    <col min="4352" max="4352" width="40.28515625" style="124" customWidth="1"/>
    <col min="4353" max="4353" width="26.85546875" style="124" customWidth="1"/>
    <col min="4354" max="4354" width="202" style="124" customWidth="1"/>
    <col min="4355" max="4355" width="14.85546875" style="124" customWidth="1"/>
    <col min="4356" max="4356" width="11.7109375" style="124" customWidth="1"/>
    <col min="4357" max="4357" width="18.140625" style="124" bestFit="1" customWidth="1"/>
    <col min="4358" max="4360" width="22.28515625" style="124" customWidth="1"/>
    <col min="4361" max="4361" width="19.85546875" style="124" bestFit="1" customWidth="1"/>
    <col min="4362" max="4606" width="10.28515625" style="124"/>
    <col min="4607" max="4607" width="2.140625" style="124" customWidth="1"/>
    <col min="4608" max="4608" width="40.28515625" style="124" customWidth="1"/>
    <col min="4609" max="4609" width="26.85546875" style="124" customWidth="1"/>
    <col min="4610" max="4610" width="202" style="124" customWidth="1"/>
    <col min="4611" max="4611" width="14.85546875" style="124" customWidth="1"/>
    <col min="4612" max="4612" width="11.7109375" style="124" customWidth="1"/>
    <col min="4613" max="4613" width="18.140625" style="124" bestFit="1" customWidth="1"/>
    <col min="4614" max="4616" width="22.28515625" style="124" customWidth="1"/>
    <col min="4617" max="4617" width="19.85546875" style="124" bestFit="1" customWidth="1"/>
    <col min="4618" max="4862" width="10.28515625" style="124"/>
    <col min="4863" max="4863" width="2.140625" style="124" customWidth="1"/>
    <col min="4864" max="4864" width="40.28515625" style="124" customWidth="1"/>
    <col min="4865" max="4865" width="26.85546875" style="124" customWidth="1"/>
    <col min="4866" max="4866" width="202" style="124" customWidth="1"/>
    <col min="4867" max="4867" width="14.85546875" style="124" customWidth="1"/>
    <col min="4868" max="4868" width="11.7109375" style="124" customWidth="1"/>
    <col min="4869" max="4869" width="18.140625" style="124" bestFit="1" customWidth="1"/>
    <col min="4870" max="4872" width="22.28515625" style="124" customWidth="1"/>
    <col min="4873" max="4873" width="19.85546875" style="124" bestFit="1" customWidth="1"/>
    <col min="4874" max="5118" width="10.28515625" style="124"/>
    <col min="5119" max="5119" width="2.140625" style="124" customWidth="1"/>
    <col min="5120" max="5120" width="40.28515625" style="124" customWidth="1"/>
    <col min="5121" max="5121" width="26.85546875" style="124" customWidth="1"/>
    <col min="5122" max="5122" width="202" style="124" customWidth="1"/>
    <col min="5123" max="5123" width="14.85546875" style="124" customWidth="1"/>
    <col min="5124" max="5124" width="11.7109375" style="124" customWidth="1"/>
    <col min="5125" max="5125" width="18.140625" style="124" bestFit="1" customWidth="1"/>
    <col min="5126" max="5128" width="22.28515625" style="124" customWidth="1"/>
    <col min="5129" max="5129" width="19.85546875" style="124" bestFit="1" customWidth="1"/>
    <col min="5130" max="5374" width="10.28515625" style="124"/>
    <col min="5375" max="5375" width="2.140625" style="124" customWidth="1"/>
    <col min="5376" max="5376" width="40.28515625" style="124" customWidth="1"/>
    <col min="5377" max="5377" width="26.85546875" style="124" customWidth="1"/>
    <col min="5378" max="5378" width="202" style="124" customWidth="1"/>
    <col min="5379" max="5379" width="14.85546875" style="124" customWidth="1"/>
    <col min="5380" max="5380" width="11.7109375" style="124" customWidth="1"/>
    <col min="5381" max="5381" width="18.140625" style="124" bestFit="1" customWidth="1"/>
    <col min="5382" max="5384" width="22.28515625" style="124" customWidth="1"/>
    <col min="5385" max="5385" width="19.85546875" style="124" bestFit="1" customWidth="1"/>
    <col min="5386" max="5630" width="10.28515625" style="124"/>
    <col min="5631" max="5631" width="2.140625" style="124" customWidth="1"/>
    <col min="5632" max="5632" width="40.28515625" style="124" customWidth="1"/>
    <col min="5633" max="5633" width="26.85546875" style="124" customWidth="1"/>
    <col min="5634" max="5634" width="202" style="124" customWidth="1"/>
    <col min="5635" max="5635" width="14.85546875" style="124" customWidth="1"/>
    <col min="5636" max="5636" width="11.7109375" style="124" customWidth="1"/>
    <col min="5637" max="5637" width="18.140625" style="124" bestFit="1" customWidth="1"/>
    <col min="5638" max="5640" width="22.28515625" style="124" customWidth="1"/>
    <col min="5641" max="5641" width="19.85546875" style="124" bestFit="1" customWidth="1"/>
    <col min="5642" max="5886" width="10.28515625" style="124"/>
    <col min="5887" max="5887" width="2.140625" style="124" customWidth="1"/>
    <col min="5888" max="5888" width="40.28515625" style="124" customWidth="1"/>
    <col min="5889" max="5889" width="26.85546875" style="124" customWidth="1"/>
    <col min="5890" max="5890" width="202" style="124" customWidth="1"/>
    <col min="5891" max="5891" width="14.85546875" style="124" customWidth="1"/>
    <col min="5892" max="5892" width="11.7109375" style="124" customWidth="1"/>
    <col min="5893" max="5893" width="18.140625" style="124" bestFit="1" customWidth="1"/>
    <col min="5894" max="5896" width="22.28515625" style="124" customWidth="1"/>
    <col min="5897" max="5897" width="19.85546875" style="124" bestFit="1" customWidth="1"/>
    <col min="5898" max="6142" width="10.28515625" style="124"/>
    <col min="6143" max="6143" width="2.140625" style="124" customWidth="1"/>
    <col min="6144" max="6144" width="40.28515625" style="124" customWidth="1"/>
    <col min="6145" max="6145" width="26.85546875" style="124" customWidth="1"/>
    <col min="6146" max="6146" width="202" style="124" customWidth="1"/>
    <col min="6147" max="6147" width="14.85546875" style="124" customWidth="1"/>
    <col min="6148" max="6148" width="11.7109375" style="124" customWidth="1"/>
    <col min="6149" max="6149" width="18.140625" style="124" bestFit="1" customWidth="1"/>
    <col min="6150" max="6152" width="22.28515625" style="124" customWidth="1"/>
    <col min="6153" max="6153" width="19.85546875" style="124" bestFit="1" customWidth="1"/>
    <col min="6154" max="6398" width="10.28515625" style="124"/>
    <col min="6399" max="6399" width="2.140625" style="124" customWidth="1"/>
    <col min="6400" max="6400" width="40.28515625" style="124" customWidth="1"/>
    <col min="6401" max="6401" width="26.85546875" style="124" customWidth="1"/>
    <col min="6402" max="6402" width="202" style="124" customWidth="1"/>
    <col min="6403" max="6403" width="14.85546875" style="124" customWidth="1"/>
    <col min="6404" max="6404" width="11.7109375" style="124" customWidth="1"/>
    <col min="6405" max="6405" width="18.140625" style="124" bestFit="1" customWidth="1"/>
    <col min="6406" max="6408" width="22.28515625" style="124" customWidth="1"/>
    <col min="6409" max="6409" width="19.85546875" style="124" bestFit="1" customWidth="1"/>
    <col min="6410" max="6654" width="10.28515625" style="124"/>
    <col min="6655" max="6655" width="2.140625" style="124" customWidth="1"/>
    <col min="6656" max="6656" width="40.28515625" style="124" customWidth="1"/>
    <col min="6657" max="6657" width="26.85546875" style="124" customWidth="1"/>
    <col min="6658" max="6658" width="202" style="124" customWidth="1"/>
    <col min="6659" max="6659" width="14.85546875" style="124" customWidth="1"/>
    <col min="6660" max="6660" width="11.7109375" style="124" customWidth="1"/>
    <col min="6661" max="6661" width="18.140625" style="124" bestFit="1" customWidth="1"/>
    <col min="6662" max="6664" width="22.28515625" style="124" customWidth="1"/>
    <col min="6665" max="6665" width="19.85546875" style="124" bestFit="1" customWidth="1"/>
    <col min="6666" max="6910" width="10.28515625" style="124"/>
    <col min="6911" max="6911" width="2.140625" style="124" customWidth="1"/>
    <col min="6912" max="6912" width="40.28515625" style="124" customWidth="1"/>
    <col min="6913" max="6913" width="26.85546875" style="124" customWidth="1"/>
    <col min="6914" max="6914" width="202" style="124" customWidth="1"/>
    <col min="6915" max="6915" width="14.85546875" style="124" customWidth="1"/>
    <col min="6916" max="6916" width="11.7109375" style="124" customWidth="1"/>
    <col min="6917" max="6917" width="18.140625" style="124" bestFit="1" customWidth="1"/>
    <col min="6918" max="6920" width="22.28515625" style="124" customWidth="1"/>
    <col min="6921" max="6921" width="19.85546875" style="124" bestFit="1" customWidth="1"/>
    <col min="6922" max="7166" width="10.28515625" style="124"/>
    <col min="7167" max="7167" width="2.140625" style="124" customWidth="1"/>
    <col min="7168" max="7168" width="40.28515625" style="124" customWidth="1"/>
    <col min="7169" max="7169" width="26.85546875" style="124" customWidth="1"/>
    <col min="7170" max="7170" width="202" style="124" customWidth="1"/>
    <col min="7171" max="7171" width="14.85546875" style="124" customWidth="1"/>
    <col min="7172" max="7172" width="11.7109375" style="124" customWidth="1"/>
    <col min="7173" max="7173" width="18.140625" style="124" bestFit="1" customWidth="1"/>
    <col min="7174" max="7176" width="22.28515625" style="124" customWidth="1"/>
    <col min="7177" max="7177" width="19.85546875" style="124" bestFit="1" customWidth="1"/>
    <col min="7178" max="7422" width="10.28515625" style="124"/>
    <col min="7423" max="7423" width="2.140625" style="124" customWidth="1"/>
    <col min="7424" max="7424" width="40.28515625" style="124" customWidth="1"/>
    <col min="7425" max="7425" width="26.85546875" style="124" customWidth="1"/>
    <col min="7426" max="7426" width="202" style="124" customWidth="1"/>
    <col min="7427" max="7427" width="14.85546875" style="124" customWidth="1"/>
    <col min="7428" max="7428" width="11.7109375" style="124" customWidth="1"/>
    <col min="7429" max="7429" width="18.140625" style="124" bestFit="1" customWidth="1"/>
    <col min="7430" max="7432" width="22.28515625" style="124" customWidth="1"/>
    <col min="7433" max="7433" width="19.85546875" style="124" bestFit="1" customWidth="1"/>
    <col min="7434" max="7678" width="10.28515625" style="124"/>
    <col min="7679" max="7679" width="2.140625" style="124" customWidth="1"/>
    <col min="7680" max="7680" width="40.28515625" style="124" customWidth="1"/>
    <col min="7681" max="7681" width="26.85546875" style="124" customWidth="1"/>
    <col min="7682" max="7682" width="202" style="124" customWidth="1"/>
    <col min="7683" max="7683" width="14.85546875" style="124" customWidth="1"/>
    <col min="7684" max="7684" width="11.7109375" style="124" customWidth="1"/>
    <col min="7685" max="7685" width="18.140625" style="124" bestFit="1" customWidth="1"/>
    <col min="7686" max="7688" width="22.28515625" style="124" customWidth="1"/>
    <col min="7689" max="7689" width="19.85546875" style="124" bestFit="1" customWidth="1"/>
    <col min="7690" max="7934" width="10.28515625" style="124"/>
    <col min="7935" max="7935" width="2.140625" style="124" customWidth="1"/>
    <col min="7936" max="7936" width="40.28515625" style="124" customWidth="1"/>
    <col min="7937" max="7937" width="26.85546875" style="124" customWidth="1"/>
    <col min="7938" max="7938" width="202" style="124" customWidth="1"/>
    <col min="7939" max="7939" width="14.85546875" style="124" customWidth="1"/>
    <col min="7940" max="7940" width="11.7109375" style="124" customWidth="1"/>
    <col min="7941" max="7941" width="18.140625" style="124" bestFit="1" customWidth="1"/>
    <col min="7942" max="7944" width="22.28515625" style="124" customWidth="1"/>
    <col min="7945" max="7945" width="19.85546875" style="124" bestFit="1" customWidth="1"/>
    <col min="7946" max="8190" width="10.28515625" style="124"/>
    <col min="8191" max="8191" width="2.140625" style="124" customWidth="1"/>
    <col min="8192" max="8192" width="40.28515625" style="124" customWidth="1"/>
    <col min="8193" max="8193" width="26.85546875" style="124" customWidth="1"/>
    <col min="8194" max="8194" width="202" style="124" customWidth="1"/>
    <col min="8195" max="8195" width="14.85546875" style="124" customWidth="1"/>
    <col min="8196" max="8196" width="11.7109375" style="124" customWidth="1"/>
    <col min="8197" max="8197" width="18.140625" style="124" bestFit="1" customWidth="1"/>
    <col min="8198" max="8200" width="22.28515625" style="124" customWidth="1"/>
    <col min="8201" max="8201" width="19.85546875" style="124" bestFit="1" customWidth="1"/>
    <col min="8202" max="8446" width="10.28515625" style="124"/>
    <col min="8447" max="8447" width="2.140625" style="124" customWidth="1"/>
    <col min="8448" max="8448" width="40.28515625" style="124" customWidth="1"/>
    <col min="8449" max="8449" width="26.85546875" style="124" customWidth="1"/>
    <col min="8450" max="8450" width="202" style="124" customWidth="1"/>
    <col min="8451" max="8451" width="14.85546875" style="124" customWidth="1"/>
    <col min="8452" max="8452" width="11.7109375" style="124" customWidth="1"/>
    <col min="8453" max="8453" width="18.140625" style="124" bestFit="1" customWidth="1"/>
    <col min="8454" max="8456" width="22.28515625" style="124" customWidth="1"/>
    <col min="8457" max="8457" width="19.85546875" style="124" bestFit="1" customWidth="1"/>
    <col min="8458" max="8702" width="10.28515625" style="124"/>
    <col min="8703" max="8703" width="2.140625" style="124" customWidth="1"/>
    <col min="8704" max="8704" width="40.28515625" style="124" customWidth="1"/>
    <col min="8705" max="8705" width="26.85546875" style="124" customWidth="1"/>
    <col min="8706" max="8706" width="202" style="124" customWidth="1"/>
    <col min="8707" max="8707" width="14.85546875" style="124" customWidth="1"/>
    <col min="8708" max="8708" width="11.7109375" style="124" customWidth="1"/>
    <col min="8709" max="8709" width="18.140625" style="124" bestFit="1" customWidth="1"/>
    <col min="8710" max="8712" width="22.28515625" style="124" customWidth="1"/>
    <col min="8713" max="8713" width="19.85546875" style="124" bestFit="1" customWidth="1"/>
    <col min="8714" max="8958" width="10.28515625" style="124"/>
    <col min="8959" max="8959" width="2.140625" style="124" customWidth="1"/>
    <col min="8960" max="8960" width="40.28515625" style="124" customWidth="1"/>
    <col min="8961" max="8961" width="26.85546875" style="124" customWidth="1"/>
    <col min="8962" max="8962" width="202" style="124" customWidth="1"/>
    <col min="8963" max="8963" width="14.85546875" style="124" customWidth="1"/>
    <col min="8964" max="8964" width="11.7109375" style="124" customWidth="1"/>
    <col min="8965" max="8965" width="18.140625" style="124" bestFit="1" customWidth="1"/>
    <col min="8966" max="8968" width="22.28515625" style="124" customWidth="1"/>
    <col min="8969" max="8969" width="19.85546875" style="124" bestFit="1" customWidth="1"/>
    <col min="8970" max="9214" width="10.28515625" style="124"/>
    <col min="9215" max="9215" width="2.140625" style="124" customWidth="1"/>
    <col min="9216" max="9216" width="40.28515625" style="124" customWidth="1"/>
    <col min="9217" max="9217" width="26.85546875" style="124" customWidth="1"/>
    <col min="9218" max="9218" width="202" style="124" customWidth="1"/>
    <col min="9219" max="9219" width="14.85546875" style="124" customWidth="1"/>
    <col min="9220" max="9220" width="11.7109375" style="124" customWidth="1"/>
    <col min="9221" max="9221" width="18.140625" style="124" bestFit="1" customWidth="1"/>
    <col min="9222" max="9224" width="22.28515625" style="124" customWidth="1"/>
    <col min="9225" max="9225" width="19.85546875" style="124" bestFit="1" customWidth="1"/>
    <col min="9226" max="9470" width="10.28515625" style="124"/>
    <col min="9471" max="9471" width="2.140625" style="124" customWidth="1"/>
    <col min="9472" max="9472" width="40.28515625" style="124" customWidth="1"/>
    <col min="9473" max="9473" width="26.85546875" style="124" customWidth="1"/>
    <col min="9474" max="9474" width="202" style="124" customWidth="1"/>
    <col min="9475" max="9475" width="14.85546875" style="124" customWidth="1"/>
    <col min="9476" max="9476" width="11.7109375" style="124" customWidth="1"/>
    <col min="9477" max="9477" width="18.140625" style="124" bestFit="1" customWidth="1"/>
    <col min="9478" max="9480" width="22.28515625" style="124" customWidth="1"/>
    <col min="9481" max="9481" width="19.85546875" style="124" bestFit="1" customWidth="1"/>
    <col min="9482" max="9726" width="10.28515625" style="124"/>
    <col min="9727" max="9727" width="2.140625" style="124" customWidth="1"/>
    <col min="9728" max="9728" width="40.28515625" style="124" customWidth="1"/>
    <col min="9729" max="9729" width="26.85546875" style="124" customWidth="1"/>
    <col min="9730" max="9730" width="202" style="124" customWidth="1"/>
    <col min="9731" max="9731" width="14.85546875" style="124" customWidth="1"/>
    <col min="9732" max="9732" width="11.7109375" style="124" customWidth="1"/>
    <col min="9733" max="9733" width="18.140625" style="124" bestFit="1" customWidth="1"/>
    <col min="9734" max="9736" width="22.28515625" style="124" customWidth="1"/>
    <col min="9737" max="9737" width="19.85546875" style="124" bestFit="1" customWidth="1"/>
    <col min="9738" max="9982" width="10.28515625" style="124"/>
    <col min="9983" max="9983" width="2.140625" style="124" customWidth="1"/>
    <col min="9984" max="9984" width="40.28515625" style="124" customWidth="1"/>
    <col min="9985" max="9985" width="26.85546875" style="124" customWidth="1"/>
    <col min="9986" max="9986" width="202" style="124" customWidth="1"/>
    <col min="9987" max="9987" width="14.85546875" style="124" customWidth="1"/>
    <col min="9988" max="9988" width="11.7109375" style="124" customWidth="1"/>
    <col min="9989" max="9989" width="18.140625" style="124" bestFit="1" customWidth="1"/>
    <col min="9990" max="9992" width="22.28515625" style="124" customWidth="1"/>
    <col min="9993" max="9993" width="19.85546875" style="124" bestFit="1" customWidth="1"/>
    <col min="9994" max="10238" width="10.28515625" style="124"/>
    <col min="10239" max="10239" width="2.140625" style="124" customWidth="1"/>
    <col min="10240" max="10240" width="40.28515625" style="124" customWidth="1"/>
    <col min="10241" max="10241" width="26.85546875" style="124" customWidth="1"/>
    <col min="10242" max="10242" width="202" style="124" customWidth="1"/>
    <col min="10243" max="10243" width="14.85546875" style="124" customWidth="1"/>
    <col min="10244" max="10244" width="11.7109375" style="124" customWidth="1"/>
    <col min="10245" max="10245" width="18.140625" style="124" bestFit="1" customWidth="1"/>
    <col min="10246" max="10248" width="22.28515625" style="124" customWidth="1"/>
    <col min="10249" max="10249" width="19.85546875" style="124" bestFit="1" customWidth="1"/>
    <col min="10250" max="10494" width="10.28515625" style="124"/>
    <col min="10495" max="10495" width="2.140625" style="124" customWidth="1"/>
    <col min="10496" max="10496" width="40.28515625" style="124" customWidth="1"/>
    <col min="10497" max="10497" width="26.85546875" style="124" customWidth="1"/>
    <col min="10498" max="10498" width="202" style="124" customWidth="1"/>
    <col min="10499" max="10499" width="14.85546875" style="124" customWidth="1"/>
    <col min="10500" max="10500" width="11.7109375" style="124" customWidth="1"/>
    <col min="10501" max="10501" width="18.140625" style="124" bestFit="1" customWidth="1"/>
    <col min="10502" max="10504" width="22.28515625" style="124" customWidth="1"/>
    <col min="10505" max="10505" width="19.85546875" style="124" bestFit="1" customWidth="1"/>
    <col min="10506" max="10750" width="10.28515625" style="124"/>
    <col min="10751" max="10751" width="2.140625" style="124" customWidth="1"/>
    <col min="10752" max="10752" width="40.28515625" style="124" customWidth="1"/>
    <col min="10753" max="10753" width="26.85546875" style="124" customWidth="1"/>
    <col min="10754" max="10754" width="202" style="124" customWidth="1"/>
    <col min="10755" max="10755" width="14.85546875" style="124" customWidth="1"/>
    <col min="10756" max="10756" width="11.7109375" style="124" customWidth="1"/>
    <col min="10757" max="10757" width="18.140625" style="124" bestFit="1" customWidth="1"/>
    <col min="10758" max="10760" width="22.28515625" style="124" customWidth="1"/>
    <col min="10761" max="10761" width="19.85546875" style="124" bestFit="1" customWidth="1"/>
    <col min="10762" max="11006" width="10.28515625" style="124"/>
    <col min="11007" max="11007" width="2.140625" style="124" customWidth="1"/>
    <col min="11008" max="11008" width="40.28515625" style="124" customWidth="1"/>
    <col min="11009" max="11009" width="26.85546875" style="124" customWidth="1"/>
    <col min="11010" max="11010" width="202" style="124" customWidth="1"/>
    <col min="11011" max="11011" width="14.85546875" style="124" customWidth="1"/>
    <col min="11012" max="11012" width="11.7109375" style="124" customWidth="1"/>
    <col min="11013" max="11013" width="18.140625" style="124" bestFit="1" customWidth="1"/>
    <col min="11014" max="11016" width="22.28515625" style="124" customWidth="1"/>
    <col min="11017" max="11017" width="19.85546875" style="124" bestFit="1" customWidth="1"/>
    <col min="11018" max="11262" width="10.28515625" style="124"/>
    <col min="11263" max="11263" width="2.140625" style="124" customWidth="1"/>
    <col min="11264" max="11264" width="40.28515625" style="124" customWidth="1"/>
    <col min="11265" max="11265" width="26.85546875" style="124" customWidth="1"/>
    <col min="11266" max="11266" width="202" style="124" customWidth="1"/>
    <col min="11267" max="11267" width="14.85546875" style="124" customWidth="1"/>
    <col min="11268" max="11268" width="11.7109375" style="124" customWidth="1"/>
    <col min="11269" max="11269" width="18.140625" style="124" bestFit="1" customWidth="1"/>
    <col min="11270" max="11272" width="22.28515625" style="124" customWidth="1"/>
    <col min="11273" max="11273" width="19.85546875" style="124" bestFit="1" customWidth="1"/>
    <col min="11274" max="11518" width="10.28515625" style="124"/>
    <col min="11519" max="11519" width="2.140625" style="124" customWidth="1"/>
    <col min="11520" max="11520" width="40.28515625" style="124" customWidth="1"/>
    <col min="11521" max="11521" width="26.85546875" style="124" customWidth="1"/>
    <col min="11522" max="11522" width="202" style="124" customWidth="1"/>
    <col min="11523" max="11523" width="14.85546875" style="124" customWidth="1"/>
    <col min="11524" max="11524" width="11.7109375" style="124" customWidth="1"/>
    <col min="11525" max="11525" width="18.140625" style="124" bestFit="1" customWidth="1"/>
    <col min="11526" max="11528" width="22.28515625" style="124" customWidth="1"/>
    <col min="11529" max="11529" width="19.85546875" style="124" bestFit="1" customWidth="1"/>
    <col min="11530" max="11774" width="10.28515625" style="124"/>
    <col min="11775" max="11775" width="2.140625" style="124" customWidth="1"/>
    <col min="11776" max="11776" width="40.28515625" style="124" customWidth="1"/>
    <col min="11777" max="11777" width="26.85546875" style="124" customWidth="1"/>
    <col min="11778" max="11778" width="202" style="124" customWidth="1"/>
    <col min="11779" max="11779" width="14.85546875" style="124" customWidth="1"/>
    <col min="11780" max="11780" width="11.7109375" style="124" customWidth="1"/>
    <col min="11781" max="11781" width="18.140625" style="124" bestFit="1" customWidth="1"/>
    <col min="11782" max="11784" width="22.28515625" style="124" customWidth="1"/>
    <col min="11785" max="11785" width="19.85546875" style="124" bestFit="1" customWidth="1"/>
    <col min="11786" max="12030" width="10.28515625" style="124"/>
    <col min="12031" max="12031" width="2.140625" style="124" customWidth="1"/>
    <col min="12032" max="12032" width="40.28515625" style="124" customWidth="1"/>
    <col min="12033" max="12033" width="26.85546875" style="124" customWidth="1"/>
    <col min="12034" max="12034" width="202" style="124" customWidth="1"/>
    <col min="12035" max="12035" width="14.85546875" style="124" customWidth="1"/>
    <col min="12036" max="12036" width="11.7109375" style="124" customWidth="1"/>
    <col min="12037" max="12037" width="18.140625" style="124" bestFit="1" customWidth="1"/>
    <col min="12038" max="12040" width="22.28515625" style="124" customWidth="1"/>
    <col min="12041" max="12041" width="19.85546875" style="124" bestFit="1" customWidth="1"/>
    <col min="12042" max="12286" width="10.28515625" style="124"/>
    <col min="12287" max="12287" width="2.140625" style="124" customWidth="1"/>
    <col min="12288" max="12288" width="40.28515625" style="124" customWidth="1"/>
    <col min="12289" max="12289" width="26.85546875" style="124" customWidth="1"/>
    <col min="12290" max="12290" width="202" style="124" customWidth="1"/>
    <col min="12291" max="12291" width="14.85546875" style="124" customWidth="1"/>
    <col min="12292" max="12292" width="11.7109375" style="124" customWidth="1"/>
    <col min="12293" max="12293" width="18.140625" style="124" bestFit="1" customWidth="1"/>
    <col min="12294" max="12296" width="22.28515625" style="124" customWidth="1"/>
    <col min="12297" max="12297" width="19.85546875" style="124" bestFit="1" customWidth="1"/>
    <col min="12298" max="12542" width="10.28515625" style="124"/>
    <col min="12543" max="12543" width="2.140625" style="124" customWidth="1"/>
    <col min="12544" max="12544" width="40.28515625" style="124" customWidth="1"/>
    <col min="12545" max="12545" width="26.85546875" style="124" customWidth="1"/>
    <col min="12546" max="12546" width="202" style="124" customWidth="1"/>
    <col min="12547" max="12547" width="14.85546875" style="124" customWidth="1"/>
    <col min="12548" max="12548" width="11.7109375" style="124" customWidth="1"/>
    <col min="12549" max="12549" width="18.140625" style="124" bestFit="1" customWidth="1"/>
    <col min="12550" max="12552" width="22.28515625" style="124" customWidth="1"/>
    <col min="12553" max="12553" width="19.85546875" style="124" bestFit="1" customWidth="1"/>
    <col min="12554" max="12798" width="10.28515625" style="124"/>
    <col min="12799" max="12799" width="2.140625" style="124" customWidth="1"/>
    <col min="12800" max="12800" width="40.28515625" style="124" customWidth="1"/>
    <col min="12801" max="12801" width="26.85546875" style="124" customWidth="1"/>
    <col min="12802" max="12802" width="202" style="124" customWidth="1"/>
    <col min="12803" max="12803" width="14.85546875" style="124" customWidth="1"/>
    <col min="12804" max="12804" width="11.7109375" style="124" customWidth="1"/>
    <col min="12805" max="12805" width="18.140625" style="124" bestFit="1" customWidth="1"/>
    <col min="12806" max="12808" width="22.28515625" style="124" customWidth="1"/>
    <col min="12809" max="12809" width="19.85546875" style="124" bestFit="1" customWidth="1"/>
    <col min="12810" max="13054" width="10.28515625" style="124"/>
    <col min="13055" max="13055" width="2.140625" style="124" customWidth="1"/>
    <col min="13056" max="13056" width="40.28515625" style="124" customWidth="1"/>
    <col min="13057" max="13057" width="26.85546875" style="124" customWidth="1"/>
    <col min="13058" max="13058" width="202" style="124" customWidth="1"/>
    <col min="13059" max="13059" width="14.85546875" style="124" customWidth="1"/>
    <col min="13060" max="13060" width="11.7109375" style="124" customWidth="1"/>
    <col min="13061" max="13061" width="18.140625" style="124" bestFit="1" customWidth="1"/>
    <col min="13062" max="13064" width="22.28515625" style="124" customWidth="1"/>
    <col min="13065" max="13065" width="19.85546875" style="124" bestFit="1" customWidth="1"/>
    <col min="13066" max="13310" width="10.28515625" style="124"/>
    <col min="13311" max="13311" width="2.140625" style="124" customWidth="1"/>
    <col min="13312" max="13312" width="40.28515625" style="124" customWidth="1"/>
    <col min="13313" max="13313" width="26.85546875" style="124" customWidth="1"/>
    <col min="13314" max="13314" width="202" style="124" customWidth="1"/>
    <col min="13315" max="13315" width="14.85546875" style="124" customWidth="1"/>
    <col min="13316" max="13316" width="11.7109375" style="124" customWidth="1"/>
    <col min="13317" max="13317" width="18.140625" style="124" bestFit="1" customWidth="1"/>
    <col min="13318" max="13320" width="22.28515625" style="124" customWidth="1"/>
    <col min="13321" max="13321" width="19.85546875" style="124" bestFit="1" customWidth="1"/>
    <col min="13322" max="13566" width="10.28515625" style="124"/>
    <col min="13567" max="13567" width="2.140625" style="124" customWidth="1"/>
    <col min="13568" max="13568" width="40.28515625" style="124" customWidth="1"/>
    <col min="13569" max="13569" width="26.85546875" style="124" customWidth="1"/>
    <col min="13570" max="13570" width="202" style="124" customWidth="1"/>
    <col min="13571" max="13571" width="14.85546875" style="124" customWidth="1"/>
    <col min="13572" max="13572" width="11.7109375" style="124" customWidth="1"/>
    <col min="13573" max="13573" width="18.140625" style="124" bestFit="1" customWidth="1"/>
    <col min="13574" max="13576" width="22.28515625" style="124" customWidth="1"/>
    <col min="13577" max="13577" width="19.85546875" style="124" bestFit="1" customWidth="1"/>
    <col min="13578" max="13822" width="10.28515625" style="124"/>
    <col min="13823" max="13823" width="2.140625" style="124" customWidth="1"/>
    <col min="13824" max="13824" width="40.28515625" style="124" customWidth="1"/>
    <col min="13825" max="13825" width="26.85546875" style="124" customWidth="1"/>
    <col min="13826" max="13826" width="202" style="124" customWidth="1"/>
    <col min="13827" max="13827" width="14.85546875" style="124" customWidth="1"/>
    <col min="13828" max="13828" width="11.7109375" style="124" customWidth="1"/>
    <col min="13829" max="13829" width="18.140625" style="124" bestFit="1" customWidth="1"/>
    <col min="13830" max="13832" width="22.28515625" style="124" customWidth="1"/>
    <col min="13833" max="13833" width="19.85546875" style="124" bestFit="1" customWidth="1"/>
    <col min="13834" max="14078" width="10.28515625" style="124"/>
    <col min="14079" max="14079" width="2.140625" style="124" customWidth="1"/>
    <col min="14080" max="14080" width="40.28515625" style="124" customWidth="1"/>
    <col min="14081" max="14081" width="26.85546875" style="124" customWidth="1"/>
    <col min="14082" max="14082" width="202" style="124" customWidth="1"/>
    <col min="14083" max="14083" width="14.85546875" style="124" customWidth="1"/>
    <col min="14084" max="14084" width="11.7109375" style="124" customWidth="1"/>
    <col min="14085" max="14085" width="18.140625" style="124" bestFit="1" customWidth="1"/>
    <col min="14086" max="14088" width="22.28515625" style="124" customWidth="1"/>
    <col min="14089" max="14089" width="19.85546875" style="124" bestFit="1" customWidth="1"/>
    <col min="14090" max="14334" width="10.28515625" style="124"/>
    <col min="14335" max="14335" width="2.140625" style="124" customWidth="1"/>
    <col min="14336" max="14336" width="40.28515625" style="124" customWidth="1"/>
    <col min="14337" max="14337" width="26.85546875" style="124" customWidth="1"/>
    <col min="14338" max="14338" width="202" style="124" customWidth="1"/>
    <col min="14339" max="14339" width="14.85546875" style="124" customWidth="1"/>
    <col min="14340" max="14340" width="11.7109375" style="124" customWidth="1"/>
    <col min="14341" max="14341" width="18.140625" style="124" bestFit="1" customWidth="1"/>
    <col min="14342" max="14344" width="22.28515625" style="124" customWidth="1"/>
    <col min="14345" max="14345" width="19.85546875" style="124" bestFit="1" customWidth="1"/>
    <col min="14346" max="14590" width="10.28515625" style="124"/>
    <col min="14591" max="14591" width="2.140625" style="124" customWidth="1"/>
    <col min="14592" max="14592" width="40.28515625" style="124" customWidth="1"/>
    <col min="14593" max="14593" width="26.85546875" style="124" customWidth="1"/>
    <col min="14594" max="14594" width="202" style="124" customWidth="1"/>
    <col min="14595" max="14595" width="14.85546875" style="124" customWidth="1"/>
    <col min="14596" max="14596" width="11.7109375" style="124" customWidth="1"/>
    <col min="14597" max="14597" width="18.140625" style="124" bestFit="1" customWidth="1"/>
    <col min="14598" max="14600" width="22.28515625" style="124" customWidth="1"/>
    <col min="14601" max="14601" width="19.85546875" style="124" bestFit="1" customWidth="1"/>
    <col min="14602" max="14846" width="10.28515625" style="124"/>
    <col min="14847" max="14847" width="2.140625" style="124" customWidth="1"/>
    <col min="14848" max="14848" width="40.28515625" style="124" customWidth="1"/>
    <col min="14849" max="14849" width="26.85546875" style="124" customWidth="1"/>
    <col min="14850" max="14850" width="202" style="124" customWidth="1"/>
    <col min="14851" max="14851" width="14.85546875" style="124" customWidth="1"/>
    <col min="14852" max="14852" width="11.7109375" style="124" customWidth="1"/>
    <col min="14853" max="14853" width="18.140625" style="124" bestFit="1" customWidth="1"/>
    <col min="14854" max="14856" width="22.28515625" style="124" customWidth="1"/>
    <col min="14857" max="14857" width="19.85546875" style="124" bestFit="1" customWidth="1"/>
    <col min="14858" max="15102" width="10.28515625" style="124"/>
    <col min="15103" max="15103" width="2.140625" style="124" customWidth="1"/>
    <col min="15104" max="15104" width="40.28515625" style="124" customWidth="1"/>
    <col min="15105" max="15105" width="26.85546875" style="124" customWidth="1"/>
    <col min="15106" max="15106" width="202" style="124" customWidth="1"/>
    <col min="15107" max="15107" width="14.85546875" style="124" customWidth="1"/>
    <col min="15108" max="15108" width="11.7109375" style="124" customWidth="1"/>
    <col min="15109" max="15109" width="18.140625" style="124" bestFit="1" customWidth="1"/>
    <col min="15110" max="15112" width="22.28515625" style="124" customWidth="1"/>
    <col min="15113" max="15113" width="19.85546875" style="124" bestFit="1" customWidth="1"/>
    <col min="15114" max="15358" width="10.28515625" style="124"/>
    <col min="15359" max="15359" width="2.140625" style="124" customWidth="1"/>
    <col min="15360" max="15360" width="40.28515625" style="124" customWidth="1"/>
    <col min="15361" max="15361" width="26.85546875" style="124" customWidth="1"/>
    <col min="15362" max="15362" width="202" style="124" customWidth="1"/>
    <col min="15363" max="15363" width="14.85546875" style="124" customWidth="1"/>
    <col min="15364" max="15364" width="11.7109375" style="124" customWidth="1"/>
    <col min="15365" max="15365" width="18.140625" style="124" bestFit="1" customWidth="1"/>
    <col min="15366" max="15368" width="22.28515625" style="124" customWidth="1"/>
    <col min="15369" max="15369" width="19.85546875" style="124" bestFit="1" customWidth="1"/>
    <col min="15370" max="15614" width="10.28515625" style="124"/>
    <col min="15615" max="15615" width="2.140625" style="124" customWidth="1"/>
    <col min="15616" max="15616" width="40.28515625" style="124" customWidth="1"/>
    <col min="15617" max="15617" width="26.85546875" style="124" customWidth="1"/>
    <col min="15618" max="15618" width="202" style="124" customWidth="1"/>
    <col min="15619" max="15619" width="14.85546875" style="124" customWidth="1"/>
    <col min="15620" max="15620" width="11.7109375" style="124" customWidth="1"/>
    <col min="15621" max="15621" width="18.140625" style="124" bestFit="1" customWidth="1"/>
    <col min="15622" max="15624" width="22.28515625" style="124" customWidth="1"/>
    <col min="15625" max="15625" width="19.85546875" style="124" bestFit="1" customWidth="1"/>
    <col min="15626" max="15870" width="10.28515625" style="124"/>
    <col min="15871" max="15871" width="2.140625" style="124" customWidth="1"/>
    <col min="15872" max="15872" width="40.28515625" style="124" customWidth="1"/>
    <col min="15873" max="15873" width="26.85546875" style="124" customWidth="1"/>
    <col min="15874" max="15874" width="202" style="124" customWidth="1"/>
    <col min="15875" max="15875" width="14.85546875" style="124" customWidth="1"/>
    <col min="15876" max="15876" width="11.7109375" style="124" customWidth="1"/>
    <col min="15877" max="15877" width="18.140625" style="124" bestFit="1" customWidth="1"/>
    <col min="15878" max="15880" width="22.28515625" style="124" customWidth="1"/>
    <col min="15881" max="15881" width="19.85546875" style="124" bestFit="1" customWidth="1"/>
    <col min="15882" max="16126" width="10.28515625" style="124"/>
    <col min="16127" max="16127" width="2.140625" style="124" customWidth="1"/>
    <col min="16128" max="16128" width="40.28515625" style="124" customWidth="1"/>
    <col min="16129" max="16129" width="26.85546875" style="124" customWidth="1"/>
    <col min="16130" max="16130" width="202" style="124" customWidth="1"/>
    <col min="16131" max="16131" width="14.85546875" style="124" customWidth="1"/>
    <col min="16132" max="16132" width="11.7109375" style="124" customWidth="1"/>
    <col min="16133" max="16133" width="18.140625" style="124" bestFit="1" customWidth="1"/>
    <col min="16134" max="16136" width="22.28515625" style="124" customWidth="1"/>
    <col min="16137" max="16137" width="19.85546875" style="124" bestFit="1" customWidth="1"/>
    <col min="16138" max="16384" width="10.28515625" style="124"/>
  </cols>
  <sheetData>
    <row r="1" spans="1:240" ht="21" thickBot="1" x14ac:dyDescent="0.35"/>
    <row r="2" spans="1:240" ht="21" thickTop="1" x14ac:dyDescent="0.3">
      <c r="A2" s="417" t="s">
        <v>254</v>
      </c>
      <c r="B2" s="418"/>
      <c r="C2" s="418"/>
      <c r="D2" s="418"/>
      <c r="E2" s="418"/>
      <c r="F2" s="418"/>
      <c r="G2" s="418"/>
      <c r="H2" s="419"/>
      <c r="I2" s="126"/>
    </row>
    <row r="3" spans="1:240" ht="20.25" customHeight="1" x14ac:dyDescent="0.3">
      <c r="A3" s="420" t="s">
        <v>255</v>
      </c>
      <c r="B3" s="421"/>
      <c r="C3" s="421"/>
      <c r="D3" s="421"/>
      <c r="E3" s="421"/>
      <c r="F3" s="421"/>
      <c r="G3" s="421"/>
      <c r="H3" s="422"/>
      <c r="I3" s="127"/>
    </row>
    <row r="4" spans="1:240" x14ac:dyDescent="0.3">
      <c r="A4" s="423" t="s">
        <v>305</v>
      </c>
      <c r="B4" s="424"/>
      <c r="C4" s="424"/>
      <c r="D4" s="424"/>
      <c r="E4" s="424"/>
      <c r="F4" s="424"/>
      <c r="G4" s="424"/>
      <c r="H4" s="425"/>
      <c r="I4" s="126"/>
    </row>
    <row r="5" spans="1:240" x14ac:dyDescent="0.3">
      <c r="A5" s="426" t="s">
        <v>364</v>
      </c>
      <c r="B5" s="427"/>
      <c r="C5" s="427"/>
      <c r="D5" s="427"/>
      <c r="E5" s="427"/>
      <c r="F5" s="427"/>
      <c r="G5" s="427"/>
      <c r="H5" s="428"/>
      <c r="I5" s="128"/>
    </row>
    <row r="6" spans="1:240" x14ac:dyDescent="0.3">
      <c r="A6" s="426" t="s">
        <v>365</v>
      </c>
      <c r="B6" s="427"/>
      <c r="C6" s="427"/>
      <c r="D6" s="427"/>
      <c r="E6" s="427"/>
      <c r="F6" s="427"/>
      <c r="G6" s="427"/>
      <c r="H6" s="428"/>
      <c r="I6" s="132"/>
    </row>
    <row r="7" spans="1:240" x14ac:dyDescent="0.3">
      <c r="A7" s="133"/>
      <c r="B7" s="134"/>
      <c r="C7" s="129"/>
      <c r="D7" s="129"/>
      <c r="E7" s="129"/>
      <c r="F7" s="129"/>
      <c r="G7" s="130"/>
      <c r="H7" s="131"/>
      <c r="I7" s="132"/>
    </row>
    <row r="8" spans="1:240" x14ac:dyDescent="0.3">
      <c r="A8" s="133" t="str">
        <f>[1]Identificação!A3</f>
        <v>Descrição do Objeto</v>
      </c>
      <c r="B8" s="134" t="str">
        <f>[1]Identificação!B3</f>
        <v>Contratação de projetos de engenharia/arquitetura</v>
      </c>
      <c r="C8" s="129"/>
      <c r="D8" s="129"/>
      <c r="E8" s="129"/>
      <c r="F8" s="129"/>
      <c r="G8" s="130"/>
      <c r="H8" s="131"/>
      <c r="I8" s="132"/>
    </row>
    <row r="9" spans="1:240" x14ac:dyDescent="0.3">
      <c r="A9" s="133"/>
      <c r="B9" s="135"/>
      <c r="C9" s="129"/>
      <c r="D9" s="129"/>
      <c r="E9" s="129"/>
      <c r="F9" s="129"/>
      <c r="G9" s="130"/>
      <c r="H9" s="131"/>
      <c r="I9" s="132"/>
    </row>
    <row r="10" spans="1:240" x14ac:dyDescent="0.3">
      <c r="A10" s="133" t="s">
        <v>256</v>
      </c>
      <c r="B10" s="429" t="s">
        <v>433</v>
      </c>
      <c r="C10" s="429"/>
      <c r="D10" s="136"/>
      <c r="E10" s="136"/>
      <c r="F10" s="136"/>
      <c r="G10" s="136"/>
      <c r="H10" s="137"/>
      <c r="I10" s="138"/>
    </row>
    <row r="11" spans="1:240" ht="21" thickBot="1" x14ac:dyDescent="0.35">
      <c r="A11" s="139"/>
      <c r="B11" s="430" t="e">
        <f>[2]Planilha!C11</f>
        <v>#REF!</v>
      </c>
      <c r="C11" s="430"/>
      <c r="D11" s="430"/>
      <c r="E11" s="430"/>
      <c r="F11" s="430"/>
      <c r="G11" s="430"/>
      <c r="H11" s="431"/>
      <c r="I11" s="140"/>
      <c r="J11" s="141"/>
      <c r="K11" s="142"/>
      <c r="L11" s="142"/>
      <c r="M11" s="142"/>
      <c r="N11" s="142"/>
      <c r="O11" s="142"/>
      <c r="P11" s="142"/>
      <c r="Q11" s="142"/>
      <c r="R11" s="142"/>
      <c r="S11" s="142"/>
      <c r="T11" s="142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  <c r="AT11" s="142"/>
      <c r="AU11" s="142"/>
      <c r="AV11" s="142"/>
      <c r="AW11" s="142"/>
      <c r="AX11" s="142"/>
      <c r="AY11" s="142"/>
      <c r="AZ11" s="142"/>
      <c r="BA11" s="142"/>
      <c r="BB11" s="142"/>
      <c r="BC11" s="142"/>
      <c r="BD11" s="142"/>
      <c r="BE11" s="142"/>
      <c r="BF11" s="142"/>
      <c r="BG11" s="142"/>
      <c r="BH11" s="142"/>
      <c r="BI11" s="142"/>
      <c r="BJ11" s="142"/>
      <c r="BK11" s="142"/>
      <c r="BL11" s="142"/>
      <c r="BM11" s="142"/>
      <c r="BN11" s="142"/>
      <c r="BO11" s="142"/>
      <c r="BP11" s="142"/>
      <c r="BQ11" s="142"/>
      <c r="BR11" s="142"/>
      <c r="BS11" s="142"/>
      <c r="BT11" s="142"/>
      <c r="BU11" s="142"/>
      <c r="BV11" s="142"/>
      <c r="BW11" s="142"/>
      <c r="BX11" s="142"/>
      <c r="BY11" s="142"/>
      <c r="BZ11" s="142"/>
      <c r="CA11" s="142"/>
      <c r="CB11" s="142"/>
      <c r="CC11" s="142"/>
      <c r="CD11" s="142"/>
      <c r="CE11" s="142"/>
      <c r="CF11" s="142"/>
      <c r="CG11" s="142"/>
      <c r="CH11" s="142"/>
      <c r="CI11" s="142"/>
      <c r="CJ11" s="142"/>
      <c r="CK11" s="142"/>
      <c r="CL11" s="142"/>
      <c r="CM11" s="142"/>
      <c r="CN11" s="142"/>
      <c r="CO11" s="142"/>
      <c r="CP11" s="142"/>
      <c r="CQ11" s="142"/>
      <c r="CR11" s="142"/>
      <c r="CS11" s="142"/>
      <c r="CT11" s="142"/>
      <c r="CU11" s="142"/>
      <c r="CV11" s="142"/>
      <c r="CW11" s="142"/>
      <c r="CX11" s="142"/>
      <c r="CY11" s="142"/>
      <c r="CZ11" s="142"/>
      <c r="DA11" s="142"/>
      <c r="DB11" s="142"/>
      <c r="DC11" s="142"/>
      <c r="DD11" s="142"/>
      <c r="DE11" s="142"/>
      <c r="DF11" s="142"/>
      <c r="DG11" s="142"/>
      <c r="DH11" s="142"/>
      <c r="DI11" s="142"/>
      <c r="DJ11" s="142"/>
      <c r="DK11" s="142"/>
      <c r="DL11" s="142"/>
      <c r="DM11" s="142"/>
      <c r="DN11" s="142"/>
      <c r="DO11" s="142"/>
      <c r="DP11" s="142"/>
      <c r="DQ11" s="142"/>
      <c r="DR11" s="142"/>
      <c r="DS11" s="142"/>
      <c r="DT11" s="142"/>
      <c r="DU11" s="142"/>
      <c r="DV11" s="142"/>
      <c r="DW11" s="142"/>
      <c r="DX11" s="142"/>
      <c r="DY11" s="142"/>
      <c r="DZ11" s="142"/>
      <c r="EA11" s="142"/>
      <c r="EB11" s="142"/>
      <c r="EC11" s="142"/>
      <c r="ED11" s="142"/>
      <c r="EE11" s="142"/>
      <c r="EF11" s="142"/>
      <c r="EG11" s="142"/>
      <c r="EH11" s="142"/>
      <c r="EI11" s="142"/>
      <c r="EJ11" s="142"/>
      <c r="EK11" s="142"/>
      <c r="EL11" s="142"/>
      <c r="EM11" s="142"/>
      <c r="EN11" s="142"/>
      <c r="EO11" s="142"/>
      <c r="EP11" s="142"/>
      <c r="EQ11" s="142"/>
      <c r="ER11" s="142"/>
      <c r="ES11" s="142"/>
      <c r="ET11" s="142"/>
      <c r="EU11" s="142"/>
      <c r="EV11" s="142"/>
      <c r="EW11" s="142"/>
      <c r="EX11" s="142"/>
      <c r="EY11" s="142"/>
      <c r="EZ11" s="142"/>
      <c r="FA11" s="142"/>
      <c r="FB11" s="142"/>
      <c r="FC11" s="142"/>
      <c r="FD11" s="142"/>
      <c r="FE11" s="142"/>
      <c r="FF11" s="142"/>
      <c r="FG11" s="142"/>
      <c r="FH11" s="142"/>
      <c r="FI11" s="142"/>
      <c r="FJ11" s="142"/>
      <c r="FK11" s="142"/>
      <c r="FL11" s="142"/>
      <c r="FM11" s="142"/>
      <c r="FN11" s="142"/>
      <c r="FO11" s="142"/>
      <c r="FP11" s="142"/>
      <c r="FQ11" s="142"/>
      <c r="FR11" s="142"/>
      <c r="FS11" s="142"/>
      <c r="FT11" s="142"/>
      <c r="FU11" s="142"/>
      <c r="FV11" s="142"/>
      <c r="FW11" s="142"/>
      <c r="FX11" s="142"/>
      <c r="FY11" s="142"/>
      <c r="FZ11" s="142"/>
      <c r="GA11" s="142"/>
      <c r="GB11" s="142"/>
      <c r="GC11" s="142"/>
      <c r="GD11" s="142"/>
      <c r="GE11" s="142"/>
      <c r="GF11" s="142"/>
      <c r="GG11" s="142"/>
      <c r="GH11" s="142"/>
      <c r="GI11" s="142"/>
      <c r="GJ11" s="142"/>
      <c r="GK11" s="142"/>
      <c r="GL11" s="142"/>
      <c r="GM11" s="142"/>
      <c r="GN11" s="142"/>
      <c r="GO11" s="142"/>
      <c r="GP11" s="142"/>
      <c r="GQ11" s="142"/>
      <c r="GR11" s="142"/>
      <c r="GS11" s="142"/>
      <c r="GT11" s="142"/>
      <c r="GU11" s="142"/>
      <c r="GV11" s="142"/>
      <c r="GW11" s="142"/>
      <c r="GX11" s="142"/>
      <c r="GY11" s="142"/>
      <c r="GZ11" s="142"/>
      <c r="HA11" s="142"/>
      <c r="HB11" s="142"/>
      <c r="HC11" s="142"/>
      <c r="HD11" s="142"/>
      <c r="HE11" s="142"/>
      <c r="HF11" s="142"/>
      <c r="HG11" s="142"/>
      <c r="HH11" s="142"/>
      <c r="HI11" s="142"/>
      <c r="HJ11" s="142"/>
      <c r="HK11" s="142"/>
      <c r="HL11" s="142"/>
      <c r="HM11" s="142"/>
      <c r="HN11" s="142"/>
      <c r="HO11" s="142"/>
      <c r="HP11" s="142"/>
      <c r="HQ11" s="142"/>
      <c r="HR11" s="142"/>
      <c r="HS11" s="142"/>
      <c r="HT11" s="142"/>
      <c r="HU11" s="142"/>
      <c r="HV11" s="142"/>
      <c r="HW11" s="142"/>
      <c r="HX11" s="142"/>
      <c r="HY11" s="142"/>
      <c r="HZ11" s="142"/>
      <c r="IA11" s="142"/>
      <c r="IB11" s="142"/>
      <c r="IC11" s="142"/>
      <c r="ID11" s="142"/>
      <c r="IE11" s="142"/>
      <c r="IF11" s="142"/>
    </row>
    <row r="12" spans="1:240" ht="21" thickTop="1" x14ac:dyDescent="0.3">
      <c r="A12" s="143"/>
      <c r="B12" s="143"/>
      <c r="C12" s="143"/>
      <c r="D12" s="143"/>
      <c r="E12" s="143"/>
      <c r="F12" s="143"/>
      <c r="G12" s="142"/>
      <c r="H12" s="142"/>
      <c r="I12" s="144"/>
      <c r="J12" s="141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  <c r="BM12" s="142"/>
      <c r="BN12" s="142"/>
      <c r="BO12" s="142"/>
      <c r="BP12" s="142"/>
      <c r="BQ12" s="142"/>
      <c r="BR12" s="142"/>
      <c r="BS12" s="142"/>
      <c r="BT12" s="142"/>
      <c r="BU12" s="142"/>
      <c r="BV12" s="142"/>
      <c r="BW12" s="142"/>
      <c r="BX12" s="142"/>
      <c r="BY12" s="142"/>
      <c r="BZ12" s="142"/>
      <c r="CA12" s="142"/>
      <c r="CB12" s="142"/>
      <c r="CC12" s="142"/>
      <c r="CD12" s="142"/>
      <c r="CE12" s="142"/>
      <c r="CF12" s="142"/>
      <c r="CG12" s="142"/>
      <c r="CH12" s="142"/>
      <c r="CI12" s="142"/>
      <c r="CJ12" s="142"/>
      <c r="CK12" s="142"/>
      <c r="CL12" s="142"/>
      <c r="CM12" s="142"/>
      <c r="CN12" s="142"/>
      <c r="CO12" s="142"/>
      <c r="CP12" s="142"/>
      <c r="CQ12" s="142"/>
      <c r="CR12" s="142"/>
      <c r="CS12" s="142"/>
      <c r="CT12" s="142"/>
      <c r="CU12" s="142"/>
      <c r="CV12" s="142"/>
      <c r="CW12" s="142"/>
      <c r="CX12" s="142"/>
      <c r="CY12" s="142"/>
      <c r="CZ12" s="142"/>
      <c r="DA12" s="142"/>
      <c r="DB12" s="142"/>
      <c r="DC12" s="142"/>
      <c r="DD12" s="142"/>
      <c r="DE12" s="142"/>
      <c r="DF12" s="142"/>
      <c r="DG12" s="142"/>
      <c r="DH12" s="142"/>
      <c r="DI12" s="142"/>
      <c r="DJ12" s="142"/>
      <c r="DK12" s="142"/>
      <c r="DL12" s="142"/>
      <c r="DM12" s="142"/>
      <c r="DN12" s="142"/>
      <c r="DO12" s="142"/>
      <c r="DP12" s="142"/>
      <c r="DQ12" s="142"/>
      <c r="DR12" s="142"/>
      <c r="DS12" s="142"/>
      <c r="DT12" s="142"/>
      <c r="DU12" s="142"/>
      <c r="DV12" s="142"/>
      <c r="DW12" s="142"/>
      <c r="DX12" s="142"/>
      <c r="DY12" s="142"/>
      <c r="DZ12" s="142"/>
      <c r="EA12" s="142"/>
      <c r="EB12" s="142"/>
      <c r="EC12" s="142"/>
      <c r="ED12" s="142"/>
      <c r="EE12" s="142"/>
      <c r="EF12" s="142"/>
      <c r="EG12" s="142"/>
      <c r="EH12" s="142"/>
      <c r="EI12" s="142"/>
      <c r="EJ12" s="142"/>
      <c r="EK12" s="142"/>
      <c r="EL12" s="142"/>
      <c r="EM12" s="142"/>
      <c r="EN12" s="142"/>
      <c r="EO12" s="142"/>
      <c r="EP12" s="142"/>
      <c r="EQ12" s="142"/>
      <c r="ER12" s="142"/>
      <c r="ES12" s="142"/>
      <c r="ET12" s="142"/>
      <c r="EU12" s="142"/>
      <c r="EV12" s="142"/>
      <c r="EW12" s="142"/>
      <c r="EX12" s="142"/>
      <c r="EY12" s="142"/>
      <c r="EZ12" s="142"/>
      <c r="FA12" s="142"/>
      <c r="FB12" s="142"/>
      <c r="FC12" s="142"/>
      <c r="FD12" s="142"/>
      <c r="FE12" s="142"/>
      <c r="FF12" s="142"/>
      <c r="FG12" s="142"/>
      <c r="FH12" s="142"/>
      <c r="FI12" s="142"/>
      <c r="FJ12" s="142"/>
      <c r="FK12" s="142"/>
      <c r="FL12" s="142"/>
      <c r="FM12" s="142"/>
      <c r="FN12" s="142"/>
      <c r="FO12" s="142"/>
      <c r="FP12" s="142"/>
      <c r="FQ12" s="142"/>
      <c r="FR12" s="142"/>
      <c r="FS12" s="142"/>
      <c r="FT12" s="142"/>
      <c r="FU12" s="142"/>
      <c r="FV12" s="142"/>
      <c r="FW12" s="142"/>
      <c r="FX12" s="142"/>
      <c r="FY12" s="142"/>
      <c r="FZ12" s="142"/>
      <c r="GA12" s="142"/>
      <c r="GB12" s="142"/>
      <c r="GC12" s="142"/>
      <c r="GD12" s="142"/>
      <c r="GE12" s="142"/>
      <c r="GF12" s="142"/>
      <c r="GG12" s="142"/>
      <c r="GH12" s="142"/>
      <c r="GI12" s="142"/>
      <c r="GJ12" s="142"/>
      <c r="GK12" s="142"/>
      <c r="GL12" s="142"/>
      <c r="GM12" s="142"/>
      <c r="GN12" s="142"/>
      <c r="GO12" s="142"/>
      <c r="GP12" s="142"/>
      <c r="GQ12" s="142"/>
      <c r="GR12" s="142"/>
      <c r="GS12" s="142"/>
      <c r="GT12" s="142"/>
      <c r="GU12" s="142"/>
      <c r="GV12" s="142"/>
      <c r="GW12" s="142"/>
      <c r="GX12" s="142"/>
      <c r="GY12" s="142"/>
      <c r="GZ12" s="142"/>
      <c r="HA12" s="142"/>
      <c r="HB12" s="142"/>
      <c r="HC12" s="142"/>
      <c r="HD12" s="142"/>
      <c r="HE12" s="142"/>
      <c r="HF12" s="142"/>
      <c r="HG12" s="142"/>
      <c r="HH12" s="142"/>
      <c r="HI12" s="142"/>
      <c r="HJ12" s="142"/>
      <c r="HK12" s="142"/>
      <c r="HL12" s="142"/>
      <c r="HM12" s="142"/>
      <c r="HN12" s="142"/>
      <c r="HO12" s="142"/>
      <c r="HP12" s="142"/>
      <c r="HQ12" s="142"/>
      <c r="HR12" s="142"/>
      <c r="HS12" s="142"/>
      <c r="HT12" s="142"/>
      <c r="HU12" s="142"/>
      <c r="HV12" s="142"/>
      <c r="HW12" s="142"/>
      <c r="HX12" s="142"/>
      <c r="HY12" s="142"/>
      <c r="HZ12" s="142"/>
      <c r="IA12" s="142"/>
      <c r="IB12" s="142"/>
      <c r="IC12" s="142"/>
      <c r="ID12" s="142"/>
      <c r="IE12" s="142"/>
      <c r="IF12" s="142"/>
    </row>
    <row r="13" spans="1:240" ht="38.25" customHeight="1" x14ac:dyDescent="0.3">
      <c r="A13" s="415" t="s">
        <v>257</v>
      </c>
      <c r="B13" s="416"/>
      <c r="C13" s="416"/>
      <c r="D13" s="416"/>
      <c r="E13" s="416"/>
      <c r="F13" s="416"/>
      <c r="G13" s="416"/>
      <c r="H13" s="416"/>
      <c r="I13" s="145"/>
    </row>
    <row r="14" spans="1:240" ht="40.5" customHeight="1" x14ac:dyDescent="0.3">
      <c r="A14" s="411" t="s">
        <v>258</v>
      </c>
      <c r="B14" s="411"/>
      <c r="C14" s="411" t="s">
        <v>259</v>
      </c>
      <c r="D14" s="411" t="s">
        <v>186</v>
      </c>
      <c r="E14" s="412" t="s">
        <v>260</v>
      </c>
      <c r="F14" s="413" t="s">
        <v>261</v>
      </c>
      <c r="G14" s="413" t="s">
        <v>262</v>
      </c>
      <c r="H14" s="413" t="s">
        <v>263</v>
      </c>
      <c r="I14" s="146"/>
    </row>
    <row r="15" spans="1:240" x14ac:dyDescent="0.3">
      <c r="A15" s="411"/>
      <c r="B15" s="411"/>
      <c r="C15" s="411"/>
      <c r="D15" s="411"/>
      <c r="E15" s="412"/>
      <c r="F15" s="414"/>
      <c r="G15" s="414"/>
      <c r="H15" s="414"/>
      <c r="I15" s="146"/>
    </row>
    <row r="16" spans="1:240" ht="40.5" x14ac:dyDescent="0.3">
      <c r="A16" s="147" t="s">
        <v>193</v>
      </c>
      <c r="B16" s="148">
        <v>90777</v>
      </c>
      <c r="C16" s="149" t="s">
        <v>264</v>
      </c>
      <c r="D16" s="147" t="s">
        <v>175</v>
      </c>
      <c r="E16" s="150">
        <v>4</v>
      </c>
      <c r="F16" s="151">
        <v>128.96</v>
      </c>
      <c r="G16" s="151">
        <f>TRUNC(F16*1.2478,2)</f>
        <v>160.91</v>
      </c>
      <c r="H16" s="151">
        <f>(E16*G16)</f>
        <v>643.64</v>
      </c>
      <c r="I16" s="152"/>
    </row>
    <row r="17" spans="1:11" s="154" customFormat="1" ht="40.5" x14ac:dyDescent="0.25">
      <c r="A17" s="147" t="s">
        <v>193</v>
      </c>
      <c r="B17" s="148">
        <v>90777</v>
      </c>
      <c r="C17" s="149" t="s">
        <v>265</v>
      </c>
      <c r="D17" s="147" t="s">
        <v>175</v>
      </c>
      <c r="E17" s="150">
        <v>70</v>
      </c>
      <c r="F17" s="151">
        <v>128.96</v>
      </c>
      <c r="G17" s="151">
        <f t="shared" ref="G17:G20" si="0">TRUNC(F17*1.2478,2)</f>
        <v>160.91</v>
      </c>
      <c r="H17" s="151">
        <f>(E17*G17)</f>
        <v>11263.699999999999</v>
      </c>
      <c r="I17" s="152"/>
      <c r="J17" s="153">
        <f>7*10</f>
        <v>70</v>
      </c>
      <c r="K17" s="154" t="s">
        <v>280</v>
      </c>
    </row>
    <row r="18" spans="1:11" s="154" customFormat="1" ht="40.5" x14ac:dyDescent="0.25">
      <c r="A18" s="147" t="s">
        <v>193</v>
      </c>
      <c r="B18" s="148" t="s">
        <v>267</v>
      </c>
      <c r="C18" s="155" t="s">
        <v>268</v>
      </c>
      <c r="D18" s="147" t="s">
        <v>175</v>
      </c>
      <c r="E18" s="150">
        <v>14</v>
      </c>
      <c r="F18" s="151">
        <v>23.84</v>
      </c>
      <c r="G18" s="151">
        <f t="shared" si="0"/>
        <v>29.74</v>
      </c>
      <c r="H18" s="151">
        <f>(E18*G18)</f>
        <v>416.35999999999996</v>
      </c>
      <c r="I18" s="152"/>
      <c r="J18" s="153"/>
      <c r="K18" s="154" t="s">
        <v>269</v>
      </c>
    </row>
    <row r="19" spans="1:11" s="154" customFormat="1" x14ac:dyDescent="0.25">
      <c r="A19" s="156" t="s">
        <v>270</v>
      </c>
      <c r="B19" s="156" t="s">
        <v>271</v>
      </c>
      <c r="C19" s="157" t="s">
        <v>434</v>
      </c>
      <c r="D19" s="147" t="s">
        <v>175</v>
      </c>
      <c r="E19" s="150">
        <v>6</v>
      </c>
      <c r="F19" s="151">
        <v>37.61</v>
      </c>
      <c r="G19" s="151">
        <f t="shared" si="0"/>
        <v>46.92</v>
      </c>
      <c r="H19" s="151">
        <f>(E19*G19)</f>
        <v>281.52</v>
      </c>
      <c r="I19" s="152"/>
      <c r="J19" s="153"/>
    </row>
    <row r="20" spans="1:11" s="154" customFormat="1" ht="21" thickBot="1" x14ac:dyDescent="0.3">
      <c r="A20" s="158" t="s">
        <v>272</v>
      </c>
      <c r="B20" s="159">
        <v>2025</v>
      </c>
      <c r="C20" s="160" t="s">
        <v>273</v>
      </c>
      <c r="D20" s="161" t="s">
        <v>274</v>
      </c>
      <c r="E20" s="150">
        <v>1</v>
      </c>
      <c r="F20" s="162">
        <v>103.03</v>
      </c>
      <c r="G20" s="151">
        <f t="shared" si="0"/>
        <v>128.56</v>
      </c>
      <c r="H20" s="151">
        <f>(E20*G20)</f>
        <v>128.56</v>
      </c>
      <c r="I20" s="152"/>
      <c r="J20" s="153"/>
    </row>
    <row r="21" spans="1:11" ht="21" thickBot="1" x14ac:dyDescent="0.35">
      <c r="G21" s="125"/>
      <c r="H21" s="163">
        <f>TRUNC(SUM(H16:H20),2)</f>
        <v>12733.78</v>
      </c>
      <c r="I21" s="145"/>
    </row>
    <row r="22" spans="1:11" x14ac:dyDescent="0.3">
      <c r="G22" s="125"/>
      <c r="H22" s="164"/>
      <c r="I22" s="145"/>
    </row>
    <row r="23" spans="1:11" ht="45.75" customHeight="1" x14ac:dyDescent="0.3">
      <c r="A23" s="415" t="s">
        <v>429</v>
      </c>
      <c r="B23" s="416"/>
      <c r="C23" s="416"/>
      <c r="D23" s="416"/>
      <c r="E23" s="416"/>
      <c r="F23" s="416"/>
      <c r="G23" s="416"/>
      <c r="H23" s="416"/>
      <c r="I23" s="145"/>
    </row>
    <row r="24" spans="1:11" ht="47.25" customHeight="1" x14ac:dyDescent="0.3">
      <c r="A24" s="432" t="s">
        <v>258</v>
      </c>
      <c r="B24" s="433"/>
      <c r="C24" s="436" t="s">
        <v>259</v>
      </c>
      <c r="D24" s="436" t="s">
        <v>186</v>
      </c>
      <c r="E24" s="413" t="s">
        <v>260</v>
      </c>
      <c r="F24" s="413" t="s">
        <v>261</v>
      </c>
      <c r="G24" s="413" t="s">
        <v>262</v>
      </c>
      <c r="H24" s="413" t="s">
        <v>263</v>
      </c>
      <c r="I24" s="146"/>
    </row>
    <row r="25" spans="1:11" ht="20.25" customHeight="1" x14ac:dyDescent="0.3">
      <c r="A25" s="434"/>
      <c r="B25" s="435"/>
      <c r="C25" s="437"/>
      <c r="D25" s="437"/>
      <c r="E25" s="414"/>
      <c r="F25" s="414"/>
      <c r="G25" s="414"/>
      <c r="H25" s="414"/>
      <c r="I25" s="146"/>
    </row>
    <row r="26" spans="1:11" ht="43.5" customHeight="1" x14ac:dyDescent="0.3">
      <c r="A26" s="147" t="s">
        <v>193</v>
      </c>
      <c r="B26" s="148">
        <v>90777</v>
      </c>
      <c r="C26" s="149" t="s">
        <v>264</v>
      </c>
      <c r="D26" s="147" t="s">
        <v>175</v>
      </c>
      <c r="E26" s="150">
        <v>4</v>
      </c>
      <c r="F26" s="151">
        <v>128.96</v>
      </c>
      <c r="G26" s="151">
        <f>TRUNC(F26*1.2478,2)</f>
        <v>160.91</v>
      </c>
      <c r="H26" s="151">
        <f>(E26*G26)</f>
        <v>643.64</v>
      </c>
      <c r="I26" s="152"/>
    </row>
    <row r="27" spans="1:11" ht="40.5" x14ac:dyDescent="0.3">
      <c r="A27" s="147" t="s">
        <v>193</v>
      </c>
      <c r="B27" s="148">
        <v>90777</v>
      </c>
      <c r="C27" s="149" t="s">
        <v>265</v>
      </c>
      <c r="D27" s="147" t="s">
        <v>175</v>
      </c>
      <c r="E27" s="150">
        <v>105</v>
      </c>
      <c r="F27" s="151">
        <v>128.96</v>
      </c>
      <c r="G27" s="151">
        <f t="shared" ref="G27:G30" si="1">TRUNC(F27*1.2478,2)</f>
        <v>160.91</v>
      </c>
      <c r="H27" s="151">
        <f>(E27*G27)</f>
        <v>16895.55</v>
      </c>
      <c r="I27" s="152"/>
      <c r="J27" s="153">
        <f>7*15</f>
        <v>105</v>
      </c>
      <c r="K27" s="154" t="s">
        <v>283</v>
      </c>
    </row>
    <row r="28" spans="1:11" ht="40.5" x14ac:dyDescent="0.3">
      <c r="A28" s="147" t="s">
        <v>193</v>
      </c>
      <c r="B28" s="148" t="s">
        <v>267</v>
      </c>
      <c r="C28" s="155" t="s">
        <v>268</v>
      </c>
      <c r="D28" s="147" t="s">
        <v>175</v>
      </c>
      <c r="E28" s="150">
        <v>14</v>
      </c>
      <c r="F28" s="151">
        <v>23.84</v>
      </c>
      <c r="G28" s="151">
        <f t="shared" si="1"/>
        <v>29.74</v>
      </c>
      <c r="H28" s="151">
        <f>(E28*G28)</f>
        <v>416.35999999999996</v>
      </c>
      <c r="I28" s="152"/>
      <c r="K28" s="154" t="s">
        <v>269</v>
      </c>
    </row>
    <row r="29" spans="1:11" x14ac:dyDescent="0.3">
      <c r="A29" s="156" t="s">
        <v>270</v>
      </c>
      <c r="B29" s="147" t="s">
        <v>271</v>
      </c>
      <c r="C29" s="157" t="s">
        <v>434</v>
      </c>
      <c r="D29" s="147" t="s">
        <v>175</v>
      </c>
      <c r="E29" s="150">
        <v>15</v>
      </c>
      <c r="F29" s="151">
        <v>37.61</v>
      </c>
      <c r="G29" s="151">
        <f t="shared" si="1"/>
        <v>46.92</v>
      </c>
      <c r="H29" s="151">
        <f>(E29*G29)</f>
        <v>703.80000000000007</v>
      </c>
      <c r="I29" s="152"/>
      <c r="K29" s="154"/>
    </row>
    <row r="30" spans="1:11" ht="21" thickBot="1" x14ac:dyDescent="0.35">
      <c r="A30" s="158" t="s">
        <v>272</v>
      </c>
      <c r="B30" s="148">
        <v>2025</v>
      </c>
      <c r="C30" s="160" t="s">
        <v>273</v>
      </c>
      <c r="D30" s="161" t="s">
        <v>274</v>
      </c>
      <c r="E30" s="150">
        <v>1</v>
      </c>
      <c r="F30" s="162">
        <v>103.03</v>
      </c>
      <c r="G30" s="151">
        <f t="shared" si="1"/>
        <v>128.56</v>
      </c>
      <c r="H30" s="151">
        <f>(E30*G30)</f>
        <v>128.56</v>
      </c>
      <c r="I30" s="152"/>
    </row>
    <row r="31" spans="1:11" ht="21" thickBot="1" x14ac:dyDescent="0.35">
      <c r="G31" s="125"/>
      <c r="H31" s="163">
        <f>TRUNC(SUM(H26:H30),2)</f>
        <v>18787.91</v>
      </c>
      <c r="I31" s="145"/>
    </row>
    <row r="32" spans="1:11" x14ac:dyDescent="0.3">
      <c r="A32" s="143"/>
      <c r="B32" s="143"/>
      <c r="C32" s="143"/>
      <c r="D32" s="143"/>
      <c r="E32" s="143"/>
      <c r="F32" s="143"/>
      <c r="G32" s="142"/>
      <c r="H32" s="142"/>
      <c r="I32" s="165"/>
    </row>
    <row r="33" spans="1:11" x14ac:dyDescent="0.3">
      <c r="A33" s="409" t="s">
        <v>435</v>
      </c>
      <c r="B33" s="410"/>
      <c r="C33" s="410"/>
      <c r="D33" s="410"/>
      <c r="E33" s="410"/>
      <c r="F33" s="410"/>
      <c r="G33" s="410"/>
      <c r="H33" s="410"/>
    </row>
    <row r="34" spans="1:11" ht="20.25" customHeight="1" x14ac:dyDescent="0.3">
      <c r="A34" s="411" t="s">
        <v>258</v>
      </c>
      <c r="B34" s="411"/>
      <c r="C34" s="411" t="s">
        <v>259</v>
      </c>
      <c r="D34" s="411" t="s">
        <v>186</v>
      </c>
      <c r="E34" s="412" t="s">
        <v>260</v>
      </c>
      <c r="F34" s="413" t="s">
        <v>261</v>
      </c>
      <c r="G34" s="413" t="s">
        <v>262</v>
      </c>
      <c r="H34" s="413" t="s">
        <v>263</v>
      </c>
    </row>
    <row r="35" spans="1:11" x14ac:dyDescent="0.3">
      <c r="A35" s="411"/>
      <c r="B35" s="411"/>
      <c r="C35" s="411"/>
      <c r="D35" s="411"/>
      <c r="E35" s="412"/>
      <c r="F35" s="414"/>
      <c r="G35" s="414"/>
      <c r="H35" s="414"/>
    </row>
    <row r="36" spans="1:11" ht="40.5" x14ac:dyDescent="0.3">
      <c r="A36" s="147" t="s">
        <v>193</v>
      </c>
      <c r="B36" s="148">
        <v>90768</v>
      </c>
      <c r="C36" s="149" t="s">
        <v>275</v>
      </c>
      <c r="D36" s="147" t="s">
        <v>175</v>
      </c>
      <c r="E36" s="150">
        <v>4</v>
      </c>
      <c r="F36" s="151">
        <v>125.81</v>
      </c>
      <c r="G36" s="151">
        <f>TRUNC(F36*1.2478,2)</f>
        <v>156.97999999999999</v>
      </c>
      <c r="H36" s="151">
        <f>(E36*G36)</f>
        <v>627.91999999999996</v>
      </c>
    </row>
    <row r="37" spans="1:11" ht="40.5" x14ac:dyDescent="0.3">
      <c r="A37" s="147" t="s">
        <v>193</v>
      </c>
      <c r="B37" s="148">
        <v>90768</v>
      </c>
      <c r="C37" s="149" t="s">
        <v>276</v>
      </c>
      <c r="D37" s="147" t="s">
        <v>175</v>
      </c>
      <c r="E37" s="150">
        <v>35</v>
      </c>
      <c r="F37" s="151">
        <v>125.81</v>
      </c>
      <c r="G37" s="151">
        <f t="shared" ref="G37:G40" si="2">TRUNC(F37*1.2478,2)</f>
        <v>156.97999999999999</v>
      </c>
      <c r="H37" s="151">
        <f>(E37*G37)</f>
        <v>5494.2999999999993</v>
      </c>
      <c r="K37" s="154" t="s">
        <v>266</v>
      </c>
    </row>
    <row r="38" spans="1:11" ht="40.5" x14ac:dyDescent="0.3">
      <c r="A38" s="147" t="s">
        <v>193</v>
      </c>
      <c r="B38" s="148" t="s">
        <v>267</v>
      </c>
      <c r="C38" s="155" t="s">
        <v>268</v>
      </c>
      <c r="D38" s="147" t="s">
        <v>175</v>
      </c>
      <c r="E38" s="150">
        <v>18</v>
      </c>
      <c r="F38" s="151">
        <v>23.84</v>
      </c>
      <c r="G38" s="151">
        <f t="shared" si="2"/>
        <v>29.74</v>
      </c>
      <c r="H38" s="151">
        <f>(E38*G38)</f>
        <v>535.31999999999994</v>
      </c>
      <c r="K38" s="154" t="s">
        <v>277</v>
      </c>
    </row>
    <row r="39" spans="1:11" x14ac:dyDescent="0.3">
      <c r="A39" s="147" t="s">
        <v>270</v>
      </c>
      <c r="B39" s="147" t="s">
        <v>271</v>
      </c>
      <c r="C39" s="157" t="s">
        <v>434</v>
      </c>
      <c r="D39" s="147" t="s">
        <v>175</v>
      </c>
      <c r="E39" s="150">
        <v>7</v>
      </c>
      <c r="F39" s="151">
        <v>37.61</v>
      </c>
      <c r="G39" s="151">
        <f t="shared" si="2"/>
        <v>46.92</v>
      </c>
      <c r="H39" s="151">
        <f>(E39*G39)</f>
        <v>328.44</v>
      </c>
    </row>
    <row r="40" spans="1:11" ht="21" thickBot="1" x14ac:dyDescent="0.35">
      <c r="A40" s="166" t="s">
        <v>278</v>
      </c>
      <c r="B40" s="148">
        <v>2025</v>
      </c>
      <c r="C40" s="160" t="s">
        <v>279</v>
      </c>
      <c r="D40" s="161" t="s">
        <v>274</v>
      </c>
      <c r="E40" s="150">
        <v>1</v>
      </c>
      <c r="F40" s="162">
        <v>125.4</v>
      </c>
      <c r="G40" s="151">
        <f t="shared" si="2"/>
        <v>156.47</v>
      </c>
      <c r="H40" s="151">
        <f>(E40*G40)</f>
        <v>156.47</v>
      </c>
    </row>
    <row r="41" spans="1:11" ht="21" thickBot="1" x14ac:dyDescent="0.35">
      <c r="G41" s="125"/>
      <c r="H41" s="163">
        <f>TRUNC(SUM(H36:H40),2)</f>
        <v>7142.45</v>
      </c>
    </row>
    <row r="43" spans="1:11" x14ac:dyDescent="0.3">
      <c r="A43" s="409" t="s">
        <v>436</v>
      </c>
      <c r="B43" s="410"/>
      <c r="C43" s="410"/>
      <c r="D43" s="410"/>
      <c r="E43" s="410"/>
      <c r="F43" s="410"/>
      <c r="G43" s="410"/>
      <c r="H43" s="410"/>
    </row>
    <row r="44" spans="1:11" ht="20.25" customHeight="1" x14ac:dyDescent="0.3">
      <c r="A44" s="411" t="s">
        <v>258</v>
      </c>
      <c r="B44" s="411"/>
      <c r="C44" s="411" t="s">
        <v>259</v>
      </c>
      <c r="D44" s="411" t="s">
        <v>186</v>
      </c>
      <c r="E44" s="412" t="s">
        <v>260</v>
      </c>
      <c r="F44" s="413" t="s">
        <v>261</v>
      </c>
      <c r="G44" s="413" t="s">
        <v>262</v>
      </c>
      <c r="H44" s="413" t="s">
        <v>263</v>
      </c>
    </row>
    <row r="45" spans="1:11" x14ac:dyDescent="0.3">
      <c r="A45" s="411"/>
      <c r="B45" s="411"/>
      <c r="C45" s="411"/>
      <c r="D45" s="411"/>
      <c r="E45" s="412"/>
      <c r="F45" s="414"/>
      <c r="G45" s="414"/>
      <c r="H45" s="414"/>
    </row>
    <row r="46" spans="1:11" ht="40.5" x14ac:dyDescent="0.3">
      <c r="A46" s="147" t="s">
        <v>193</v>
      </c>
      <c r="B46" s="148">
        <v>90768</v>
      </c>
      <c r="C46" s="149" t="s">
        <v>275</v>
      </c>
      <c r="D46" s="147" t="s">
        <v>175</v>
      </c>
      <c r="E46" s="150">
        <v>4</v>
      </c>
      <c r="F46" s="151">
        <v>125.81</v>
      </c>
      <c r="G46" s="151">
        <f>TRUNC(F46*1.2478,2)</f>
        <v>156.97999999999999</v>
      </c>
      <c r="H46" s="151">
        <f>(E46*G46)</f>
        <v>627.91999999999996</v>
      </c>
    </row>
    <row r="47" spans="1:11" ht="40.5" x14ac:dyDescent="0.3">
      <c r="A47" s="147" t="s">
        <v>193</v>
      </c>
      <c r="B47" s="148">
        <v>90768</v>
      </c>
      <c r="C47" s="149" t="s">
        <v>276</v>
      </c>
      <c r="D47" s="147" t="s">
        <v>175</v>
      </c>
      <c r="E47" s="150">
        <v>70</v>
      </c>
      <c r="F47" s="151">
        <v>125.81</v>
      </c>
      <c r="G47" s="151">
        <f t="shared" ref="G47:G50" si="3">TRUNC(F47*1.2478,2)</f>
        <v>156.97999999999999</v>
      </c>
      <c r="H47" s="151">
        <f>(E47*G47)</f>
        <v>10988.599999999999</v>
      </c>
      <c r="K47" s="154" t="s">
        <v>280</v>
      </c>
    </row>
    <row r="48" spans="1:11" ht="40.5" x14ac:dyDescent="0.3">
      <c r="A48" s="147" t="s">
        <v>193</v>
      </c>
      <c r="B48" s="148" t="s">
        <v>267</v>
      </c>
      <c r="C48" s="155" t="s">
        <v>268</v>
      </c>
      <c r="D48" s="147" t="s">
        <v>175</v>
      </c>
      <c r="E48" s="150">
        <v>39</v>
      </c>
      <c r="F48" s="151">
        <v>23.84</v>
      </c>
      <c r="G48" s="151">
        <f t="shared" si="3"/>
        <v>29.74</v>
      </c>
      <c r="H48" s="151">
        <f>(E48*G48)</f>
        <v>1159.8599999999999</v>
      </c>
      <c r="K48" s="154" t="s">
        <v>281</v>
      </c>
    </row>
    <row r="49" spans="1:11" x14ac:dyDescent="0.3">
      <c r="A49" s="147" t="s">
        <v>270</v>
      </c>
      <c r="B49" s="147" t="s">
        <v>271</v>
      </c>
      <c r="C49" s="157" t="s">
        <v>434</v>
      </c>
      <c r="D49" s="147" t="s">
        <v>175</v>
      </c>
      <c r="E49" s="150">
        <v>20</v>
      </c>
      <c r="F49" s="151">
        <v>37.61</v>
      </c>
      <c r="G49" s="151">
        <f t="shared" si="3"/>
        <v>46.92</v>
      </c>
      <c r="H49" s="151">
        <f>(E49*G49)</f>
        <v>938.40000000000009</v>
      </c>
    </row>
    <row r="50" spans="1:11" ht="21" thickBot="1" x14ac:dyDescent="0.35">
      <c r="A50" s="166" t="s">
        <v>278</v>
      </c>
      <c r="B50" s="148">
        <v>2025</v>
      </c>
      <c r="C50" s="160" t="s">
        <v>279</v>
      </c>
      <c r="D50" s="161" t="s">
        <v>274</v>
      </c>
      <c r="E50" s="150">
        <v>1</v>
      </c>
      <c r="F50" s="162">
        <v>125.4</v>
      </c>
      <c r="G50" s="151">
        <f t="shared" si="3"/>
        <v>156.47</v>
      </c>
      <c r="H50" s="151">
        <f>(E50*G50)</f>
        <v>156.47</v>
      </c>
    </row>
    <row r="51" spans="1:11" ht="21" thickBot="1" x14ac:dyDescent="0.35">
      <c r="G51" s="125"/>
      <c r="H51" s="163">
        <f>TRUNC(SUM(H46:H50),2)</f>
        <v>13871.25</v>
      </c>
    </row>
    <row r="53" spans="1:11" x14ac:dyDescent="0.3">
      <c r="A53" s="409" t="s">
        <v>426</v>
      </c>
      <c r="B53" s="410"/>
      <c r="C53" s="410"/>
      <c r="D53" s="410"/>
      <c r="E53" s="410"/>
      <c r="F53" s="410"/>
      <c r="G53" s="410"/>
      <c r="H53" s="410"/>
    </row>
    <row r="54" spans="1:11" ht="20.25" customHeight="1" x14ac:dyDescent="0.3">
      <c r="A54" s="411" t="s">
        <v>258</v>
      </c>
      <c r="B54" s="411"/>
      <c r="C54" s="411" t="s">
        <v>259</v>
      </c>
      <c r="D54" s="411" t="s">
        <v>186</v>
      </c>
      <c r="E54" s="412" t="s">
        <v>260</v>
      </c>
      <c r="F54" s="413" t="s">
        <v>261</v>
      </c>
      <c r="G54" s="413" t="s">
        <v>262</v>
      </c>
      <c r="H54" s="413" t="s">
        <v>263</v>
      </c>
    </row>
    <row r="55" spans="1:11" x14ac:dyDescent="0.3">
      <c r="A55" s="411"/>
      <c r="B55" s="411"/>
      <c r="C55" s="411"/>
      <c r="D55" s="411"/>
      <c r="E55" s="412"/>
      <c r="F55" s="414"/>
      <c r="G55" s="414"/>
      <c r="H55" s="414"/>
    </row>
    <row r="56" spans="1:11" ht="40.5" x14ac:dyDescent="0.3">
      <c r="A56" s="147" t="s">
        <v>193</v>
      </c>
      <c r="B56" s="148">
        <v>90777</v>
      </c>
      <c r="C56" s="149" t="s">
        <v>264</v>
      </c>
      <c r="D56" s="147" t="s">
        <v>175</v>
      </c>
      <c r="E56" s="150">
        <v>4</v>
      </c>
      <c r="F56" s="151">
        <v>128.96</v>
      </c>
      <c r="G56" s="151">
        <f>TRUNC(F56*1.2478,2)</f>
        <v>160.91</v>
      </c>
      <c r="H56" s="151">
        <f>(E56*G56)</f>
        <v>643.64</v>
      </c>
    </row>
    <row r="57" spans="1:11" ht="40.5" x14ac:dyDescent="0.3">
      <c r="A57" s="147" t="s">
        <v>193</v>
      </c>
      <c r="B57" s="148">
        <v>90777</v>
      </c>
      <c r="C57" s="149" t="s">
        <v>265</v>
      </c>
      <c r="D57" s="147" t="s">
        <v>175</v>
      </c>
      <c r="E57" s="150">
        <v>35</v>
      </c>
      <c r="F57" s="151">
        <v>128.96</v>
      </c>
      <c r="G57" s="151">
        <f t="shared" ref="G57:G60" si="4">TRUNC(F57*1.2478,2)</f>
        <v>160.91</v>
      </c>
      <c r="H57" s="151">
        <f>(E57*G57)</f>
        <v>5631.8499999999995</v>
      </c>
      <c r="K57" s="154" t="s">
        <v>266</v>
      </c>
    </row>
    <row r="58" spans="1:11" ht="40.5" x14ac:dyDescent="0.3">
      <c r="A58" s="147" t="s">
        <v>193</v>
      </c>
      <c r="B58" s="148" t="s">
        <v>267</v>
      </c>
      <c r="C58" s="155" t="s">
        <v>268</v>
      </c>
      <c r="D58" s="147" t="s">
        <v>175</v>
      </c>
      <c r="E58" s="150">
        <v>18</v>
      </c>
      <c r="F58" s="151">
        <v>23.84</v>
      </c>
      <c r="G58" s="151">
        <f t="shared" si="4"/>
        <v>29.74</v>
      </c>
      <c r="H58" s="151">
        <f>(E58*G58)</f>
        <v>535.31999999999994</v>
      </c>
      <c r="K58" s="154" t="s">
        <v>277</v>
      </c>
    </row>
    <row r="59" spans="1:11" x14ac:dyDescent="0.3">
      <c r="A59" s="147" t="s">
        <v>270</v>
      </c>
      <c r="B59" s="147" t="s">
        <v>271</v>
      </c>
      <c r="C59" s="157" t="s">
        <v>434</v>
      </c>
      <c r="D59" s="147" t="s">
        <v>175</v>
      </c>
      <c r="E59" s="150">
        <v>3</v>
      </c>
      <c r="F59" s="151">
        <v>37.61</v>
      </c>
      <c r="G59" s="151">
        <f t="shared" si="4"/>
        <v>46.92</v>
      </c>
      <c r="H59" s="151">
        <f>(E59*G59)</f>
        <v>140.76</v>
      </c>
    </row>
    <row r="60" spans="1:11" ht="21" thickBot="1" x14ac:dyDescent="0.35">
      <c r="A60" s="166" t="s">
        <v>272</v>
      </c>
      <c r="B60" s="148">
        <v>2025</v>
      </c>
      <c r="C60" s="160" t="s">
        <v>273</v>
      </c>
      <c r="D60" s="161" t="s">
        <v>274</v>
      </c>
      <c r="E60" s="150">
        <v>1</v>
      </c>
      <c r="F60" s="162">
        <v>103.03</v>
      </c>
      <c r="G60" s="151">
        <f t="shared" si="4"/>
        <v>128.56</v>
      </c>
      <c r="H60" s="151">
        <f>(E60*G60)</f>
        <v>128.56</v>
      </c>
    </row>
    <row r="61" spans="1:11" ht="21" thickBot="1" x14ac:dyDescent="0.35">
      <c r="G61" s="125"/>
      <c r="H61" s="163">
        <f>TRUNC(SUM(H56:H60),2)</f>
        <v>7080.13</v>
      </c>
    </row>
    <row r="63" spans="1:11" x14ac:dyDescent="0.3">
      <c r="A63" s="409" t="s">
        <v>427</v>
      </c>
      <c r="B63" s="410"/>
      <c r="C63" s="410"/>
      <c r="D63" s="410"/>
      <c r="E63" s="410"/>
      <c r="F63" s="410"/>
      <c r="G63" s="410"/>
      <c r="H63" s="410"/>
    </row>
    <row r="64" spans="1:11" ht="20.25" customHeight="1" x14ac:dyDescent="0.3">
      <c r="A64" s="411" t="s">
        <v>258</v>
      </c>
      <c r="B64" s="411"/>
      <c r="C64" s="411" t="s">
        <v>259</v>
      </c>
      <c r="D64" s="411" t="s">
        <v>186</v>
      </c>
      <c r="E64" s="412" t="s">
        <v>260</v>
      </c>
      <c r="F64" s="413" t="s">
        <v>261</v>
      </c>
      <c r="G64" s="413" t="s">
        <v>262</v>
      </c>
      <c r="H64" s="413" t="s">
        <v>263</v>
      </c>
    </row>
    <row r="65" spans="1:11" x14ac:dyDescent="0.3">
      <c r="A65" s="411"/>
      <c r="B65" s="411"/>
      <c r="C65" s="411"/>
      <c r="D65" s="411"/>
      <c r="E65" s="412"/>
      <c r="F65" s="414"/>
      <c r="G65" s="414"/>
      <c r="H65" s="414"/>
    </row>
    <row r="66" spans="1:11" ht="40.5" x14ac:dyDescent="0.3">
      <c r="A66" s="147" t="s">
        <v>193</v>
      </c>
      <c r="B66" s="148">
        <v>90777</v>
      </c>
      <c r="C66" s="149" t="s">
        <v>264</v>
      </c>
      <c r="D66" s="147" t="s">
        <v>175</v>
      </c>
      <c r="E66" s="150">
        <v>4</v>
      </c>
      <c r="F66" s="151">
        <v>128.96</v>
      </c>
      <c r="G66" s="151">
        <f>TRUNC(F66*1.2478,2)</f>
        <v>160.91</v>
      </c>
      <c r="H66" s="151">
        <f>(E66*G66)</f>
        <v>643.64</v>
      </c>
    </row>
    <row r="67" spans="1:11" ht="40.5" x14ac:dyDescent="0.3">
      <c r="A67" s="147" t="s">
        <v>193</v>
      </c>
      <c r="B67" s="148">
        <v>90777</v>
      </c>
      <c r="C67" s="149" t="s">
        <v>265</v>
      </c>
      <c r="D67" s="147" t="s">
        <v>175</v>
      </c>
      <c r="E67" s="150">
        <v>84</v>
      </c>
      <c r="F67" s="151">
        <v>128.96</v>
      </c>
      <c r="G67" s="151">
        <f t="shared" ref="G67:G70" si="5">TRUNC(F67*1.2478,2)</f>
        <v>160.91</v>
      </c>
      <c r="H67" s="151">
        <f>(E67*G67)</f>
        <v>13516.44</v>
      </c>
      <c r="K67" s="154" t="s">
        <v>282</v>
      </c>
    </row>
    <row r="68" spans="1:11" ht="40.5" x14ac:dyDescent="0.3">
      <c r="A68" s="147" t="s">
        <v>193</v>
      </c>
      <c r="B68" s="148" t="s">
        <v>267</v>
      </c>
      <c r="C68" s="155" t="s">
        <v>268</v>
      </c>
      <c r="D68" s="147" t="s">
        <v>175</v>
      </c>
      <c r="E68" s="150">
        <v>39</v>
      </c>
      <c r="F68" s="151">
        <v>23.84</v>
      </c>
      <c r="G68" s="151">
        <f t="shared" si="5"/>
        <v>29.74</v>
      </c>
      <c r="H68" s="151">
        <f>(E68*G68)</f>
        <v>1159.8599999999999</v>
      </c>
      <c r="K68" s="154" t="s">
        <v>281</v>
      </c>
    </row>
    <row r="69" spans="1:11" x14ac:dyDescent="0.3">
      <c r="A69" s="147" t="s">
        <v>270</v>
      </c>
      <c r="B69" s="147" t="s">
        <v>271</v>
      </c>
      <c r="C69" s="157" t="s">
        <v>434</v>
      </c>
      <c r="D69" s="147" t="s">
        <v>175</v>
      </c>
      <c r="E69" s="150">
        <v>8</v>
      </c>
      <c r="F69" s="151">
        <v>37.61</v>
      </c>
      <c r="G69" s="151">
        <f t="shared" si="5"/>
        <v>46.92</v>
      </c>
      <c r="H69" s="151">
        <f>(E69*G69)</f>
        <v>375.36</v>
      </c>
    </row>
    <row r="70" spans="1:11" ht="21" thickBot="1" x14ac:dyDescent="0.35">
      <c r="A70" s="166" t="s">
        <v>272</v>
      </c>
      <c r="B70" s="148">
        <v>2025</v>
      </c>
      <c r="C70" s="160" t="s">
        <v>273</v>
      </c>
      <c r="D70" s="161" t="s">
        <v>274</v>
      </c>
      <c r="E70" s="150">
        <v>1</v>
      </c>
      <c r="F70" s="162">
        <v>103.03</v>
      </c>
      <c r="G70" s="151">
        <f t="shared" si="5"/>
        <v>128.56</v>
      </c>
      <c r="H70" s="151">
        <f>(E70*G70)</f>
        <v>128.56</v>
      </c>
    </row>
    <row r="71" spans="1:11" ht="21" thickBot="1" x14ac:dyDescent="0.35">
      <c r="G71" s="125"/>
      <c r="H71" s="163">
        <f>TRUNC(SUM(H66:H70),2)</f>
        <v>15823.86</v>
      </c>
    </row>
    <row r="73" spans="1:11" x14ac:dyDescent="0.3">
      <c r="A73" s="409" t="s">
        <v>428</v>
      </c>
      <c r="B73" s="410"/>
      <c r="C73" s="410"/>
      <c r="D73" s="410"/>
      <c r="E73" s="410"/>
      <c r="F73" s="410"/>
      <c r="G73" s="410"/>
      <c r="H73" s="410"/>
    </row>
    <row r="74" spans="1:11" ht="20.25" customHeight="1" x14ac:dyDescent="0.3">
      <c r="A74" s="411" t="s">
        <v>258</v>
      </c>
      <c r="B74" s="411"/>
      <c r="C74" s="411" t="s">
        <v>259</v>
      </c>
      <c r="D74" s="411" t="s">
        <v>186</v>
      </c>
      <c r="E74" s="412" t="s">
        <v>260</v>
      </c>
      <c r="F74" s="413" t="s">
        <v>261</v>
      </c>
      <c r="G74" s="413" t="s">
        <v>262</v>
      </c>
      <c r="H74" s="413" t="s">
        <v>263</v>
      </c>
    </row>
    <row r="75" spans="1:11" x14ac:dyDescent="0.3">
      <c r="A75" s="411"/>
      <c r="B75" s="411"/>
      <c r="C75" s="411"/>
      <c r="D75" s="411"/>
      <c r="E75" s="412"/>
      <c r="F75" s="414"/>
      <c r="G75" s="414"/>
      <c r="H75" s="414"/>
    </row>
    <row r="76" spans="1:11" ht="40.5" x14ac:dyDescent="0.3">
      <c r="A76" s="147" t="s">
        <v>193</v>
      </c>
      <c r="B76" s="148">
        <v>90777</v>
      </c>
      <c r="C76" s="149" t="s">
        <v>264</v>
      </c>
      <c r="D76" s="147" t="s">
        <v>175</v>
      </c>
      <c r="E76" s="150">
        <v>4</v>
      </c>
      <c r="F76" s="151">
        <v>128.96</v>
      </c>
      <c r="G76" s="151">
        <f>TRUNC(F76*1.2478,2)</f>
        <v>160.91</v>
      </c>
      <c r="H76" s="151">
        <f>(E76*G76)</f>
        <v>643.64</v>
      </c>
    </row>
    <row r="77" spans="1:11" ht="40.5" x14ac:dyDescent="0.3">
      <c r="A77" s="147" t="s">
        <v>193</v>
      </c>
      <c r="B77" s="148">
        <v>90777</v>
      </c>
      <c r="C77" s="149" t="s">
        <v>265</v>
      </c>
      <c r="D77" s="147" t="s">
        <v>175</v>
      </c>
      <c r="E77" s="150">
        <v>154</v>
      </c>
      <c r="F77" s="151">
        <v>128.96</v>
      </c>
      <c r="G77" s="151">
        <f t="shared" ref="G77:G80" si="6">TRUNC(F77*1.2478,2)</f>
        <v>160.91</v>
      </c>
      <c r="H77" s="151">
        <f>(E77*G77)</f>
        <v>24780.14</v>
      </c>
      <c r="K77" s="154" t="s">
        <v>283</v>
      </c>
    </row>
    <row r="78" spans="1:11" ht="40.5" x14ac:dyDescent="0.3">
      <c r="A78" s="147" t="s">
        <v>193</v>
      </c>
      <c r="B78" s="148" t="s">
        <v>267</v>
      </c>
      <c r="C78" s="155" t="s">
        <v>268</v>
      </c>
      <c r="D78" s="147" t="s">
        <v>175</v>
      </c>
      <c r="E78" s="150">
        <v>74</v>
      </c>
      <c r="F78" s="151">
        <v>23.84</v>
      </c>
      <c r="G78" s="151">
        <f t="shared" si="6"/>
        <v>29.74</v>
      </c>
      <c r="H78" s="151">
        <f>(E78*G78)</f>
        <v>2200.7599999999998</v>
      </c>
      <c r="K78" s="154" t="s">
        <v>284</v>
      </c>
    </row>
    <row r="79" spans="1:11" x14ac:dyDescent="0.3">
      <c r="A79" s="147" t="s">
        <v>270</v>
      </c>
      <c r="B79" s="147" t="s">
        <v>271</v>
      </c>
      <c r="C79" s="157" t="s">
        <v>434</v>
      </c>
      <c r="D79" s="147" t="s">
        <v>175</v>
      </c>
      <c r="E79" s="150">
        <v>25</v>
      </c>
      <c r="F79" s="151">
        <v>37.61</v>
      </c>
      <c r="G79" s="151">
        <f t="shared" si="6"/>
        <v>46.92</v>
      </c>
      <c r="H79" s="151">
        <f>(E79*G79)</f>
        <v>1173</v>
      </c>
    </row>
    <row r="80" spans="1:11" ht="21" thickBot="1" x14ac:dyDescent="0.35">
      <c r="A80" s="166" t="s">
        <v>272</v>
      </c>
      <c r="B80" s="148">
        <v>2025</v>
      </c>
      <c r="C80" s="160" t="s">
        <v>273</v>
      </c>
      <c r="D80" s="161" t="s">
        <v>274</v>
      </c>
      <c r="E80" s="150">
        <v>1</v>
      </c>
      <c r="F80" s="162">
        <v>103.03</v>
      </c>
      <c r="G80" s="151">
        <f t="shared" si="6"/>
        <v>128.56</v>
      </c>
      <c r="H80" s="151">
        <f>(E80*G80)</f>
        <v>128.56</v>
      </c>
    </row>
    <row r="81" spans="1:11" ht="21" thickBot="1" x14ac:dyDescent="0.35">
      <c r="G81" s="125"/>
      <c r="H81" s="163">
        <f>TRUNC(SUM(H76:H80),2)</f>
        <v>28926.1</v>
      </c>
    </row>
    <row r="83" spans="1:11" x14ac:dyDescent="0.3">
      <c r="A83" s="409" t="s">
        <v>516</v>
      </c>
      <c r="B83" s="410"/>
      <c r="C83" s="410"/>
      <c r="D83" s="410"/>
      <c r="E83" s="410"/>
      <c r="F83" s="410"/>
      <c r="G83" s="410"/>
      <c r="H83" s="410"/>
    </row>
    <row r="84" spans="1:11" ht="20.25" customHeight="1" x14ac:dyDescent="0.3">
      <c r="A84" s="411" t="s">
        <v>258</v>
      </c>
      <c r="B84" s="411"/>
      <c r="C84" s="411" t="s">
        <v>259</v>
      </c>
      <c r="D84" s="411" t="s">
        <v>186</v>
      </c>
      <c r="E84" s="412" t="s">
        <v>260</v>
      </c>
      <c r="F84" s="413" t="s">
        <v>261</v>
      </c>
      <c r="G84" s="413" t="s">
        <v>262</v>
      </c>
      <c r="H84" s="413" t="s">
        <v>263</v>
      </c>
    </row>
    <row r="85" spans="1:11" x14ac:dyDescent="0.3">
      <c r="A85" s="411"/>
      <c r="B85" s="411"/>
      <c r="C85" s="411"/>
      <c r="D85" s="411"/>
      <c r="E85" s="412"/>
      <c r="F85" s="414"/>
      <c r="G85" s="414"/>
      <c r="H85" s="414"/>
    </row>
    <row r="86" spans="1:11" ht="40.5" x14ac:dyDescent="0.3">
      <c r="A86" s="147" t="s">
        <v>193</v>
      </c>
      <c r="B86" s="148">
        <v>90777</v>
      </c>
      <c r="C86" s="149" t="s">
        <v>264</v>
      </c>
      <c r="D86" s="147" t="s">
        <v>175</v>
      </c>
      <c r="E86" s="150">
        <v>4</v>
      </c>
      <c r="F86" s="151">
        <v>116.61</v>
      </c>
      <c r="G86" s="151">
        <f>TRUNC(F86*1.2478,2)</f>
        <v>145.5</v>
      </c>
      <c r="H86" s="151">
        <f>(E86*G86)</f>
        <v>582</v>
      </c>
    </row>
    <row r="87" spans="1:11" ht="40.5" x14ac:dyDescent="0.3">
      <c r="A87" s="147" t="s">
        <v>193</v>
      </c>
      <c r="B87" s="148">
        <v>90777</v>
      </c>
      <c r="C87" s="149" t="s">
        <v>265</v>
      </c>
      <c r="D87" s="147" t="s">
        <v>175</v>
      </c>
      <c r="E87" s="150">
        <v>49</v>
      </c>
      <c r="F87" s="151">
        <v>116.61</v>
      </c>
      <c r="G87" s="151">
        <f t="shared" ref="G87:G90" si="7">TRUNC(F87*1.2478,2)</f>
        <v>145.5</v>
      </c>
      <c r="H87" s="151">
        <f>(E87*G87)</f>
        <v>7129.5</v>
      </c>
      <c r="K87" s="154" t="s">
        <v>286</v>
      </c>
    </row>
    <row r="88" spans="1:11" ht="40.5" x14ac:dyDescent="0.3">
      <c r="A88" s="147" t="s">
        <v>193</v>
      </c>
      <c r="B88" s="148" t="s">
        <v>267</v>
      </c>
      <c r="C88" s="155" t="s">
        <v>268</v>
      </c>
      <c r="D88" s="147" t="s">
        <v>175</v>
      </c>
      <c r="E88" s="150">
        <v>25</v>
      </c>
      <c r="F88" s="151">
        <v>20.48</v>
      </c>
      <c r="G88" s="151">
        <f t="shared" si="7"/>
        <v>25.55</v>
      </c>
      <c r="H88" s="151">
        <f>(E88*G88)</f>
        <v>638.75</v>
      </c>
      <c r="K88" s="154" t="s">
        <v>287</v>
      </c>
    </row>
    <row r="89" spans="1:11" x14ac:dyDescent="0.3">
      <c r="A89" s="147" t="s">
        <v>270</v>
      </c>
      <c r="B89" s="147" t="s">
        <v>271</v>
      </c>
      <c r="C89" s="157" t="s">
        <v>434</v>
      </c>
      <c r="D89" s="147" t="s">
        <v>175</v>
      </c>
      <c r="E89" s="150">
        <v>10</v>
      </c>
      <c r="F89" s="151">
        <v>37.61</v>
      </c>
      <c r="G89" s="151">
        <f t="shared" si="7"/>
        <v>46.92</v>
      </c>
      <c r="H89" s="151">
        <f>(E89*G89)</f>
        <v>469.20000000000005</v>
      </c>
    </row>
    <row r="90" spans="1:11" ht="21" thickBot="1" x14ac:dyDescent="0.35">
      <c r="A90" s="166" t="s">
        <v>272</v>
      </c>
      <c r="B90" s="148">
        <v>2025</v>
      </c>
      <c r="C90" s="160" t="s">
        <v>273</v>
      </c>
      <c r="D90" s="161" t="s">
        <v>274</v>
      </c>
      <c r="E90" s="150">
        <v>1</v>
      </c>
      <c r="F90" s="162">
        <v>103.03</v>
      </c>
      <c r="G90" s="151">
        <f t="shared" si="7"/>
        <v>128.56</v>
      </c>
      <c r="H90" s="151">
        <f>(E90*G90)</f>
        <v>128.56</v>
      </c>
    </row>
    <row r="91" spans="1:11" ht="21" thickBot="1" x14ac:dyDescent="0.35">
      <c r="G91" s="125"/>
      <c r="H91" s="163">
        <f>TRUNC(SUM(H86:H90),2)</f>
        <v>8948.01</v>
      </c>
    </row>
    <row r="93" spans="1:11" x14ac:dyDescent="0.3">
      <c r="A93" s="409" t="s">
        <v>517</v>
      </c>
      <c r="B93" s="410"/>
      <c r="C93" s="410"/>
      <c r="D93" s="410"/>
      <c r="E93" s="410"/>
      <c r="F93" s="410"/>
      <c r="G93" s="410"/>
      <c r="H93" s="410"/>
    </row>
    <row r="94" spans="1:11" ht="20.25" customHeight="1" x14ac:dyDescent="0.3">
      <c r="A94" s="411" t="s">
        <v>258</v>
      </c>
      <c r="B94" s="411"/>
      <c r="C94" s="411" t="s">
        <v>259</v>
      </c>
      <c r="D94" s="411" t="s">
        <v>186</v>
      </c>
      <c r="E94" s="412" t="s">
        <v>260</v>
      </c>
      <c r="F94" s="413" t="s">
        <v>261</v>
      </c>
      <c r="G94" s="413" t="s">
        <v>262</v>
      </c>
      <c r="H94" s="413" t="s">
        <v>263</v>
      </c>
    </row>
    <row r="95" spans="1:11" x14ac:dyDescent="0.3">
      <c r="A95" s="411"/>
      <c r="B95" s="411"/>
      <c r="C95" s="411"/>
      <c r="D95" s="411"/>
      <c r="E95" s="412"/>
      <c r="F95" s="414"/>
      <c r="G95" s="414"/>
      <c r="H95" s="414"/>
    </row>
    <row r="96" spans="1:11" ht="40.5" x14ac:dyDescent="0.3">
      <c r="A96" s="147" t="s">
        <v>193</v>
      </c>
      <c r="B96" s="148">
        <v>90777</v>
      </c>
      <c r="C96" s="149" t="s">
        <v>264</v>
      </c>
      <c r="D96" s="147" t="s">
        <v>175</v>
      </c>
      <c r="E96" s="150">
        <v>4</v>
      </c>
      <c r="F96" s="151">
        <v>116.61</v>
      </c>
      <c r="G96" s="151">
        <f>TRUNC(F96*1.2478,2)</f>
        <v>145.5</v>
      </c>
      <c r="H96" s="151">
        <f>(E96*G96)</f>
        <v>582</v>
      </c>
    </row>
    <row r="97" spans="1:11" ht="40.5" x14ac:dyDescent="0.3">
      <c r="A97" s="147" t="s">
        <v>193</v>
      </c>
      <c r="B97" s="148">
        <v>90777</v>
      </c>
      <c r="C97" s="149" t="s">
        <v>265</v>
      </c>
      <c r="D97" s="147" t="s">
        <v>175</v>
      </c>
      <c r="E97" s="150">
        <v>70</v>
      </c>
      <c r="F97" s="151">
        <v>116.61</v>
      </c>
      <c r="G97" s="151">
        <f t="shared" ref="G97:G100" si="8">TRUNC(F97*1.2478,2)</f>
        <v>145.5</v>
      </c>
      <c r="H97" s="151">
        <f>(E97*G97)</f>
        <v>10185</v>
      </c>
      <c r="K97" s="154" t="s">
        <v>280</v>
      </c>
    </row>
    <row r="98" spans="1:11" ht="40.5" x14ac:dyDescent="0.3">
      <c r="A98" s="147" t="s">
        <v>193</v>
      </c>
      <c r="B98" s="148" t="s">
        <v>267</v>
      </c>
      <c r="C98" s="155" t="s">
        <v>268</v>
      </c>
      <c r="D98" s="147" t="s">
        <v>175</v>
      </c>
      <c r="E98" s="150">
        <v>39</v>
      </c>
      <c r="F98" s="151">
        <v>20.48</v>
      </c>
      <c r="G98" s="151">
        <f t="shared" si="8"/>
        <v>25.55</v>
      </c>
      <c r="H98" s="151">
        <f>(E98*G98)</f>
        <v>996.45</v>
      </c>
      <c r="K98" s="154" t="s">
        <v>281</v>
      </c>
    </row>
    <row r="99" spans="1:11" x14ac:dyDescent="0.3">
      <c r="A99" s="147" t="s">
        <v>270</v>
      </c>
      <c r="B99" s="147" t="s">
        <v>271</v>
      </c>
      <c r="C99" s="157" t="s">
        <v>434</v>
      </c>
      <c r="D99" s="147" t="s">
        <v>175</v>
      </c>
      <c r="E99" s="150">
        <v>15</v>
      </c>
      <c r="F99" s="151">
        <v>37.61</v>
      </c>
      <c r="G99" s="151">
        <f t="shared" si="8"/>
        <v>46.92</v>
      </c>
      <c r="H99" s="151">
        <f>(E99*G99)</f>
        <v>703.80000000000007</v>
      </c>
    </row>
    <row r="100" spans="1:11" ht="21" thickBot="1" x14ac:dyDescent="0.35">
      <c r="A100" s="166" t="s">
        <v>272</v>
      </c>
      <c r="B100" s="148">
        <v>2025</v>
      </c>
      <c r="C100" s="160" t="s">
        <v>273</v>
      </c>
      <c r="D100" s="161" t="s">
        <v>274</v>
      </c>
      <c r="E100" s="150">
        <v>1</v>
      </c>
      <c r="F100" s="162">
        <v>103.03</v>
      </c>
      <c r="G100" s="151">
        <f t="shared" si="8"/>
        <v>128.56</v>
      </c>
      <c r="H100" s="151">
        <f>(E100*G100)</f>
        <v>128.56</v>
      </c>
    </row>
    <row r="101" spans="1:11" ht="21" thickBot="1" x14ac:dyDescent="0.35">
      <c r="G101" s="125"/>
      <c r="H101" s="163">
        <f>TRUNC(SUM(H96:H100),2)</f>
        <v>12595.81</v>
      </c>
    </row>
    <row r="103" spans="1:11" x14ac:dyDescent="0.3">
      <c r="A103" s="409" t="s">
        <v>518</v>
      </c>
      <c r="B103" s="410"/>
      <c r="C103" s="410"/>
      <c r="D103" s="410"/>
      <c r="E103" s="410"/>
      <c r="F103" s="410"/>
      <c r="G103" s="410"/>
      <c r="H103" s="410"/>
    </row>
    <row r="104" spans="1:11" ht="20.25" customHeight="1" x14ac:dyDescent="0.3">
      <c r="A104" s="411" t="s">
        <v>258</v>
      </c>
      <c r="B104" s="411"/>
      <c r="C104" s="411" t="s">
        <v>259</v>
      </c>
      <c r="D104" s="411" t="s">
        <v>186</v>
      </c>
      <c r="E104" s="412" t="s">
        <v>260</v>
      </c>
      <c r="F104" s="413" t="s">
        <v>261</v>
      </c>
      <c r="G104" s="413" t="s">
        <v>262</v>
      </c>
      <c r="H104" s="413" t="s">
        <v>263</v>
      </c>
    </row>
    <row r="105" spans="1:11" x14ac:dyDescent="0.3">
      <c r="A105" s="411"/>
      <c r="B105" s="411"/>
      <c r="C105" s="411"/>
      <c r="D105" s="411"/>
      <c r="E105" s="412"/>
      <c r="F105" s="414"/>
      <c r="G105" s="414"/>
      <c r="H105" s="414"/>
    </row>
    <row r="106" spans="1:11" ht="40.5" x14ac:dyDescent="0.3">
      <c r="A106" s="147" t="s">
        <v>193</v>
      </c>
      <c r="B106" s="148">
        <v>90768</v>
      </c>
      <c r="C106" s="149" t="s">
        <v>275</v>
      </c>
      <c r="D106" s="147" t="s">
        <v>175</v>
      </c>
      <c r="E106" s="150">
        <v>4</v>
      </c>
      <c r="F106" s="151">
        <v>112.68</v>
      </c>
      <c r="G106" s="151">
        <f>TRUNC(F106*1.2478,2)</f>
        <v>140.6</v>
      </c>
      <c r="H106" s="151">
        <f>(E106*G106)</f>
        <v>562.4</v>
      </c>
    </row>
    <row r="107" spans="1:11" ht="40.5" x14ac:dyDescent="0.3">
      <c r="A107" s="147" t="s">
        <v>193</v>
      </c>
      <c r="B107" s="148">
        <v>90768</v>
      </c>
      <c r="C107" s="149" t="s">
        <v>275</v>
      </c>
      <c r="D107" s="147" t="s">
        <v>175</v>
      </c>
      <c r="E107" s="150">
        <v>70</v>
      </c>
      <c r="F107" s="151">
        <v>112.68</v>
      </c>
      <c r="G107" s="151">
        <f t="shared" ref="G107:G110" si="9">TRUNC(F107*1.2478,2)</f>
        <v>140.6</v>
      </c>
      <c r="H107" s="151">
        <f>(E107*G107)</f>
        <v>9842</v>
      </c>
      <c r="K107" s="154" t="s">
        <v>280</v>
      </c>
    </row>
    <row r="108" spans="1:11" ht="40.5" x14ac:dyDescent="0.3">
      <c r="A108" s="147" t="s">
        <v>193</v>
      </c>
      <c r="B108" s="148" t="s">
        <v>267</v>
      </c>
      <c r="C108" s="155" t="s">
        <v>268</v>
      </c>
      <c r="D108" s="147" t="s">
        <v>175</v>
      </c>
      <c r="E108" s="150">
        <v>39</v>
      </c>
      <c r="F108" s="151">
        <v>20.48</v>
      </c>
      <c r="G108" s="151">
        <f t="shared" si="9"/>
        <v>25.55</v>
      </c>
      <c r="H108" s="151">
        <f>(E108*G108)</f>
        <v>996.45</v>
      </c>
      <c r="K108" s="154" t="s">
        <v>281</v>
      </c>
    </row>
    <row r="109" spans="1:11" x14ac:dyDescent="0.3">
      <c r="A109" s="147" t="s">
        <v>270</v>
      </c>
      <c r="B109" s="147" t="s">
        <v>271</v>
      </c>
      <c r="C109" s="157" t="s">
        <v>434</v>
      </c>
      <c r="D109" s="147" t="s">
        <v>175</v>
      </c>
      <c r="E109" s="150">
        <v>10</v>
      </c>
      <c r="F109" s="151">
        <v>37.61</v>
      </c>
      <c r="G109" s="151">
        <f t="shared" si="9"/>
        <v>46.92</v>
      </c>
      <c r="H109" s="151">
        <f>(E109*G109)</f>
        <v>469.20000000000005</v>
      </c>
    </row>
    <row r="110" spans="1:11" ht="21" thickBot="1" x14ac:dyDescent="0.35">
      <c r="A110" s="166" t="s">
        <v>278</v>
      </c>
      <c r="B110" s="148">
        <v>2025</v>
      </c>
      <c r="C110" s="160" t="s">
        <v>279</v>
      </c>
      <c r="D110" s="161" t="s">
        <v>274</v>
      </c>
      <c r="E110" s="150">
        <v>1</v>
      </c>
      <c r="F110" s="162">
        <v>125.4</v>
      </c>
      <c r="G110" s="151">
        <f t="shared" si="9"/>
        <v>156.47</v>
      </c>
      <c r="H110" s="151">
        <f>(E110*G110)</f>
        <v>156.47</v>
      </c>
    </row>
    <row r="111" spans="1:11" ht="21" thickBot="1" x14ac:dyDescent="0.35">
      <c r="G111" s="125"/>
      <c r="H111" s="163">
        <f>TRUNC(SUM(H106:H110),2)</f>
        <v>12026.52</v>
      </c>
    </row>
    <row r="113" spans="1:11" x14ac:dyDescent="0.3">
      <c r="A113" s="409" t="s">
        <v>519</v>
      </c>
      <c r="B113" s="410"/>
      <c r="C113" s="410"/>
      <c r="D113" s="410"/>
      <c r="E113" s="410"/>
      <c r="F113" s="410"/>
      <c r="G113" s="410"/>
      <c r="H113" s="410"/>
    </row>
    <row r="114" spans="1:11" ht="20.25" customHeight="1" x14ac:dyDescent="0.3">
      <c r="A114" s="411" t="s">
        <v>258</v>
      </c>
      <c r="B114" s="411"/>
      <c r="C114" s="411" t="s">
        <v>259</v>
      </c>
      <c r="D114" s="411" t="s">
        <v>186</v>
      </c>
      <c r="E114" s="412" t="s">
        <v>260</v>
      </c>
      <c r="F114" s="413" t="s">
        <v>261</v>
      </c>
      <c r="G114" s="413" t="s">
        <v>262</v>
      </c>
      <c r="H114" s="413" t="s">
        <v>263</v>
      </c>
    </row>
    <row r="115" spans="1:11" x14ac:dyDescent="0.3">
      <c r="A115" s="411"/>
      <c r="B115" s="411"/>
      <c r="C115" s="411"/>
      <c r="D115" s="411"/>
      <c r="E115" s="412"/>
      <c r="F115" s="414"/>
      <c r="G115" s="414"/>
      <c r="H115" s="414"/>
    </row>
    <row r="116" spans="1:11" ht="40.5" x14ac:dyDescent="0.3">
      <c r="A116" s="147" t="s">
        <v>193</v>
      </c>
      <c r="B116" s="148">
        <v>90768</v>
      </c>
      <c r="C116" s="149" t="s">
        <v>275</v>
      </c>
      <c r="D116" s="147" t="s">
        <v>175</v>
      </c>
      <c r="E116" s="150">
        <v>4</v>
      </c>
      <c r="F116" s="151">
        <v>112.68</v>
      </c>
      <c r="G116" s="151">
        <f>TRUNC(F116*1.2478,2)</f>
        <v>140.6</v>
      </c>
      <c r="H116" s="151">
        <f>(E116*G116)</f>
        <v>562.4</v>
      </c>
    </row>
    <row r="117" spans="1:11" ht="40.5" x14ac:dyDescent="0.3">
      <c r="A117" s="147" t="s">
        <v>193</v>
      </c>
      <c r="B117" s="148">
        <v>90768</v>
      </c>
      <c r="C117" s="149" t="s">
        <v>276</v>
      </c>
      <c r="D117" s="147" t="s">
        <v>175</v>
      </c>
      <c r="E117" s="150">
        <v>154</v>
      </c>
      <c r="F117" s="151">
        <v>112.68</v>
      </c>
      <c r="G117" s="151">
        <f t="shared" ref="G117:G120" si="10">TRUNC(F117*1.2478,2)</f>
        <v>140.6</v>
      </c>
      <c r="H117" s="151">
        <f>(E117*G117)</f>
        <v>21652.399999999998</v>
      </c>
      <c r="J117" s="153"/>
      <c r="K117" s="154" t="s">
        <v>285</v>
      </c>
    </row>
    <row r="118" spans="1:11" ht="40.5" x14ac:dyDescent="0.3">
      <c r="A118" s="147" t="s">
        <v>193</v>
      </c>
      <c r="B118" s="148" t="s">
        <v>267</v>
      </c>
      <c r="C118" s="155" t="s">
        <v>268</v>
      </c>
      <c r="D118" s="147" t="s">
        <v>175</v>
      </c>
      <c r="E118" s="150">
        <v>74</v>
      </c>
      <c r="F118" s="151">
        <v>20.48</v>
      </c>
      <c r="G118" s="151">
        <f t="shared" si="10"/>
        <v>25.55</v>
      </c>
      <c r="H118" s="151">
        <f>(E118*G118)</f>
        <v>1890.7</v>
      </c>
      <c r="K118" s="154" t="s">
        <v>284</v>
      </c>
    </row>
    <row r="119" spans="1:11" x14ac:dyDescent="0.3">
      <c r="A119" s="147" t="s">
        <v>270</v>
      </c>
      <c r="B119" s="147" t="s">
        <v>271</v>
      </c>
      <c r="C119" s="157" t="s">
        <v>434</v>
      </c>
      <c r="D119" s="147" t="s">
        <v>175</v>
      </c>
      <c r="E119" s="150">
        <v>15</v>
      </c>
      <c r="F119" s="151">
        <v>37.61</v>
      </c>
      <c r="G119" s="151">
        <f t="shared" si="10"/>
        <v>46.92</v>
      </c>
      <c r="H119" s="151">
        <f>(E119*G119)</f>
        <v>703.80000000000007</v>
      </c>
    </row>
    <row r="120" spans="1:11" ht="21" thickBot="1" x14ac:dyDescent="0.35">
      <c r="A120" s="166" t="s">
        <v>278</v>
      </c>
      <c r="B120" s="148">
        <v>2025</v>
      </c>
      <c r="C120" s="160" t="s">
        <v>279</v>
      </c>
      <c r="D120" s="161" t="s">
        <v>274</v>
      </c>
      <c r="E120" s="150">
        <v>1</v>
      </c>
      <c r="F120" s="162">
        <v>125.4</v>
      </c>
      <c r="G120" s="151">
        <f t="shared" si="10"/>
        <v>156.47</v>
      </c>
      <c r="H120" s="151">
        <f>(E120*G120)</f>
        <v>156.47</v>
      </c>
    </row>
    <row r="121" spans="1:11" ht="21" thickBot="1" x14ac:dyDescent="0.35">
      <c r="G121" s="125"/>
      <c r="H121" s="163">
        <f>TRUNC(SUM(H116:H120),2)</f>
        <v>24965.77</v>
      </c>
    </row>
    <row r="123" spans="1:11" x14ac:dyDescent="0.3">
      <c r="A123" s="409" t="s">
        <v>520</v>
      </c>
      <c r="B123" s="410"/>
      <c r="C123" s="410"/>
      <c r="D123" s="410"/>
      <c r="E123" s="410"/>
      <c r="F123" s="410"/>
      <c r="G123" s="410"/>
      <c r="H123" s="410"/>
    </row>
    <row r="124" spans="1:11" ht="20.25" customHeight="1" x14ac:dyDescent="0.3">
      <c r="A124" s="411" t="s">
        <v>258</v>
      </c>
      <c r="B124" s="411"/>
      <c r="C124" s="411" t="s">
        <v>259</v>
      </c>
      <c r="D124" s="411" t="s">
        <v>186</v>
      </c>
      <c r="E124" s="412" t="s">
        <v>260</v>
      </c>
      <c r="F124" s="413" t="s">
        <v>261</v>
      </c>
      <c r="G124" s="413" t="s">
        <v>262</v>
      </c>
      <c r="H124" s="413" t="s">
        <v>263</v>
      </c>
    </row>
    <row r="125" spans="1:11" x14ac:dyDescent="0.3">
      <c r="A125" s="411"/>
      <c r="B125" s="411"/>
      <c r="C125" s="411"/>
      <c r="D125" s="411"/>
      <c r="E125" s="412"/>
      <c r="F125" s="414"/>
      <c r="G125" s="414"/>
      <c r="H125" s="414"/>
    </row>
    <row r="126" spans="1:11" ht="40.5" x14ac:dyDescent="0.3">
      <c r="A126" s="147" t="s">
        <v>193</v>
      </c>
      <c r="B126" s="148">
        <v>90768</v>
      </c>
      <c r="C126" s="149" t="s">
        <v>275</v>
      </c>
      <c r="D126" s="147" t="s">
        <v>175</v>
      </c>
      <c r="E126" s="150">
        <v>4</v>
      </c>
      <c r="F126" s="151">
        <v>112.68</v>
      </c>
      <c r="G126" s="151">
        <f>TRUNC(F126*1.2478,2)</f>
        <v>140.6</v>
      </c>
      <c r="H126" s="151">
        <f>(E126*G126)</f>
        <v>562.4</v>
      </c>
    </row>
    <row r="127" spans="1:11" ht="40.5" x14ac:dyDescent="0.3">
      <c r="A127" s="147" t="s">
        <v>193</v>
      </c>
      <c r="B127" s="148">
        <v>90768</v>
      </c>
      <c r="C127" s="149" t="s">
        <v>276</v>
      </c>
      <c r="D127" s="147" t="s">
        <v>175</v>
      </c>
      <c r="E127" s="150">
        <v>231</v>
      </c>
      <c r="F127" s="151">
        <v>112.68</v>
      </c>
      <c r="G127" s="151">
        <f t="shared" ref="G127:G130" si="11">TRUNC(F127*1.2478,2)</f>
        <v>140.6</v>
      </c>
      <c r="H127" s="151">
        <f>(E127*G127)</f>
        <v>32478.6</v>
      </c>
      <c r="J127" s="153"/>
      <c r="K127" s="154" t="s">
        <v>288</v>
      </c>
    </row>
    <row r="128" spans="1:11" ht="40.5" x14ac:dyDescent="0.3">
      <c r="A128" s="147" t="s">
        <v>193</v>
      </c>
      <c r="B128" s="148" t="s">
        <v>267</v>
      </c>
      <c r="C128" s="155" t="s">
        <v>268</v>
      </c>
      <c r="D128" s="147" t="s">
        <v>175</v>
      </c>
      <c r="E128" s="150">
        <v>74</v>
      </c>
      <c r="F128" s="151">
        <v>20.48</v>
      </c>
      <c r="G128" s="151">
        <f t="shared" si="11"/>
        <v>25.55</v>
      </c>
      <c r="H128" s="151">
        <f>(E128*G128)</f>
        <v>1890.7</v>
      </c>
      <c r="K128" s="154" t="s">
        <v>284</v>
      </c>
    </row>
    <row r="129" spans="1:11" x14ac:dyDescent="0.3">
      <c r="A129" s="147" t="s">
        <v>270</v>
      </c>
      <c r="B129" s="147" t="s">
        <v>271</v>
      </c>
      <c r="C129" s="157" t="s">
        <v>434</v>
      </c>
      <c r="D129" s="147" t="s">
        <v>175</v>
      </c>
      <c r="E129" s="150">
        <v>20</v>
      </c>
      <c r="F129" s="151">
        <v>37.61</v>
      </c>
      <c r="G129" s="151">
        <f t="shared" si="11"/>
        <v>46.92</v>
      </c>
      <c r="H129" s="151">
        <f>(E129*G129)</f>
        <v>938.40000000000009</v>
      </c>
    </row>
    <row r="130" spans="1:11" ht="21" thickBot="1" x14ac:dyDescent="0.35">
      <c r="A130" s="166" t="s">
        <v>278</v>
      </c>
      <c r="B130" s="148">
        <v>2025</v>
      </c>
      <c r="C130" s="160" t="s">
        <v>279</v>
      </c>
      <c r="D130" s="161" t="s">
        <v>274</v>
      </c>
      <c r="E130" s="150">
        <v>1</v>
      </c>
      <c r="F130" s="162">
        <v>125.4</v>
      </c>
      <c r="G130" s="151">
        <f t="shared" si="11"/>
        <v>156.47</v>
      </c>
      <c r="H130" s="151">
        <f>(E130*G130)</f>
        <v>156.47</v>
      </c>
    </row>
    <row r="131" spans="1:11" ht="21" thickBot="1" x14ac:dyDescent="0.35">
      <c r="G131" s="125"/>
      <c r="H131" s="163">
        <f>TRUNC(SUM(H126:H130),2)</f>
        <v>36026.57</v>
      </c>
    </row>
    <row r="133" spans="1:11" x14ac:dyDescent="0.3">
      <c r="A133" s="409" t="s">
        <v>521</v>
      </c>
      <c r="B133" s="410"/>
      <c r="C133" s="410"/>
      <c r="D133" s="410"/>
      <c r="E133" s="410"/>
      <c r="F133" s="410"/>
      <c r="G133" s="410"/>
      <c r="H133" s="410"/>
    </row>
    <row r="134" spans="1:11" ht="20.25" customHeight="1" x14ac:dyDescent="0.3">
      <c r="A134" s="411" t="s">
        <v>258</v>
      </c>
      <c r="B134" s="411"/>
      <c r="C134" s="411" t="s">
        <v>259</v>
      </c>
      <c r="D134" s="411" t="s">
        <v>186</v>
      </c>
      <c r="E134" s="412" t="s">
        <v>260</v>
      </c>
      <c r="F134" s="413" t="s">
        <v>261</v>
      </c>
      <c r="G134" s="413" t="s">
        <v>262</v>
      </c>
      <c r="H134" s="413" t="s">
        <v>263</v>
      </c>
    </row>
    <row r="135" spans="1:11" x14ac:dyDescent="0.3">
      <c r="A135" s="411"/>
      <c r="B135" s="411"/>
      <c r="C135" s="411"/>
      <c r="D135" s="411"/>
      <c r="E135" s="412"/>
      <c r="F135" s="414"/>
      <c r="G135" s="414"/>
      <c r="H135" s="414"/>
    </row>
    <row r="136" spans="1:11" ht="40.5" x14ac:dyDescent="0.3">
      <c r="A136" s="147" t="s">
        <v>193</v>
      </c>
      <c r="B136" s="148">
        <v>90777</v>
      </c>
      <c r="C136" s="149" t="s">
        <v>264</v>
      </c>
      <c r="D136" s="147" t="s">
        <v>175</v>
      </c>
      <c r="E136" s="150">
        <v>4</v>
      </c>
      <c r="F136" s="151">
        <v>116.61</v>
      </c>
      <c r="G136" s="151">
        <f>TRUNC(F136*1.2478,2)</f>
        <v>145.5</v>
      </c>
      <c r="H136" s="151">
        <f>(E136*G136)</f>
        <v>582</v>
      </c>
    </row>
    <row r="137" spans="1:11" ht="40.5" x14ac:dyDescent="0.3">
      <c r="A137" s="147" t="s">
        <v>193</v>
      </c>
      <c r="B137" s="148">
        <v>90777</v>
      </c>
      <c r="C137" s="149" t="s">
        <v>265</v>
      </c>
      <c r="D137" s="147" t="s">
        <v>175</v>
      </c>
      <c r="E137" s="150">
        <v>105</v>
      </c>
      <c r="F137" s="151">
        <v>116.61</v>
      </c>
      <c r="G137" s="151">
        <f t="shared" ref="G137:G140" si="12">TRUNC(F137*1.2478,2)</f>
        <v>145.5</v>
      </c>
      <c r="H137" s="151">
        <f>(E137*G137)</f>
        <v>15277.5</v>
      </c>
      <c r="K137" s="154" t="s">
        <v>283</v>
      </c>
    </row>
    <row r="138" spans="1:11" ht="40.5" x14ac:dyDescent="0.3">
      <c r="A138" s="147" t="s">
        <v>193</v>
      </c>
      <c r="B138" s="148" t="s">
        <v>267</v>
      </c>
      <c r="C138" s="155" t="s">
        <v>268</v>
      </c>
      <c r="D138" s="147" t="s">
        <v>175</v>
      </c>
      <c r="E138" s="150">
        <v>39</v>
      </c>
      <c r="F138" s="151">
        <v>20.48</v>
      </c>
      <c r="G138" s="151">
        <f t="shared" si="12"/>
        <v>25.55</v>
      </c>
      <c r="H138" s="151">
        <f>(E138*G138)</f>
        <v>996.45</v>
      </c>
      <c r="J138" s="153"/>
      <c r="K138" s="154" t="s">
        <v>281</v>
      </c>
    </row>
    <row r="139" spans="1:11" x14ac:dyDescent="0.3">
      <c r="A139" s="147" t="s">
        <v>270</v>
      </c>
      <c r="B139" s="147" t="s">
        <v>271</v>
      </c>
      <c r="C139" s="157" t="s">
        <v>434</v>
      </c>
      <c r="D139" s="147" t="s">
        <v>175</v>
      </c>
      <c r="E139" s="150">
        <v>10</v>
      </c>
      <c r="F139" s="151">
        <v>37.61</v>
      </c>
      <c r="G139" s="151">
        <f t="shared" si="12"/>
        <v>46.92</v>
      </c>
      <c r="H139" s="151">
        <f>(E139*G139)</f>
        <v>469.20000000000005</v>
      </c>
    </row>
    <row r="140" spans="1:11" ht="21" thickBot="1" x14ac:dyDescent="0.35">
      <c r="A140" s="166" t="s">
        <v>272</v>
      </c>
      <c r="B140" s="148">
        <v>2025</v>
      </c>
      <c r="C140" s="160" t="s">
        <v>273</v>
      </c>
      <c r="D140" s="161" t="s">
        <v>274</v>
      </c>
      <c r="E140" s="150">
        <v>1</v>
      </c>
      <c r="F140" s="162">
        <v>103.03</v>
      </c>
      <c r="G140" s="151">
        <f t="shared" si="12"/>
        <v>128.56</v>
      </c>
      <c r="H140" s="151">
        <f>(E140*G140)</f>
        <v>128.56</v>
      </c>
    </row>
    <row r="141" spans="1:11" ht="21" thickBot="1" x14ac:dyDescent="0.35">
      <c r="G141" s="125"/>
      <c r="H141" s="163">
        <f>TRUNC(SUM(H136:H140),2)</f>
        <v>17453.71</v>
      </c>
    </row>
    <row r="143" spans="1:11" x14ac:dyDescent="0.3">
      <c r="A143" s="409" t="s">
        <v>522</v>
      </c>
      <c r="B143" s="410"/>
      <c r="C143" s="410"/>
      <c r="D143" s="410"/>
      <c r="E143" s="410"/>
      <c r="F143" s="410"/>
      <c r="G143" s="410"/>
      <c r="H143" s="410"/>
    </row>
    <row r="144" spans="1:11" ht="20.25" customHeight="1" x14ac:dyDescent="0.3">
      <c r="A144" s="411" t="s">
        <v>258</v>
      </c>
      <c r="B144" s="411"/>
      <c r="C144" s="411" t="s">
        <v>259</v>
      </c>
      <c r="D144" s="411" t="s">
        <v>186</v>
      </c>
      <c r="E144" s="412" t="s">
        <v>260</v>
      </c>
      <c r="F144" s="413" t="s">
        <v>261</v>
      </c>
      <c r="G144" s="413" t="s">
        <v>262</v>
      </c>
      <c r="H144" s="413" t="s">
        <v>263</v>
      </c>
    </row>
    <row r="145" spans="1:11" x14ac:dyDescent="0.3">
      <c r="A145" s="411"/>
      <c r="B145" s="411"/>
      <c r="C145" s="411"/>
      <c r="D145" s="411"/>
      <c r="E145" s="412"/>
      <c r="F145" s="414"/>
      <c r="G145" s="414"/>
      <c r="H145" s="414"/>
    </row>
    <row r="146" spans="1:11" ht="40.5" x14ac:dyDescent="0.3">
      <c r="A146" s="147" t="s">
        <v>193</v>
      </c>
      <c r="B146" s="148">
        <v>90777</v>
      </c>
      <c r="C146" s="149" t="s">
        <v>264</v>
      </c>
      <c r="D146" s="147" t="s">
        <v>175</v>
      </c>
      <c r="E146" s="150">
        <v>4</v>
      </c>
      <c r="F146" s="151">
        <v>116.61</v>
      </c>
      <c r="G146" s="151">
        <f>TRUNC(F146*1.2478,2)</f>
        <v>145.5</v>
      </c>
      <c r="H146" s="151">
        <f>(E146*G146)</f>
        <v>582</v>
      </c>
    </row>
    <row r="147" spans="1:11" ht="40.5" x14ac:dyDescent="0.3">
      <c r="A147" s="147" t="s">
        <v>193</v>
      </c>
      <c r="B147" s="148">
        <v>90777</v>
      </c>
      <c r="C147" s="149" t="s">
        <v>265</v>
      </c>
      <c r="D147" s="147" t="s">
        <v>175</v>
      </c>
      <c r="E147" s="150">
        <v>210</v>
      </c>
      <c r="F147" s="151">
        <v>116.61</v>
      </c>
      <c r="G147" s="151">
        <f t="shared" ref="G147:G150" si="13">TRUNC(F147*1.2478,2)</f>
        <v>145.5</v>
      </c>
      <c r="H147" s="151">
        <f>(E147*G147)</f>
        <v>30555</v>
      </c>
      <c r="K147" s="154" t="s">
        <v>289</v>
      </c>
    </row>
    <row r="148" spans="1:11" ht="40.5" x14ac:dyDescent="0.3">
      <c r="A148" s="147" t="s">
        <v>193</v>
      </c>
      <c r="B148" s="148" t="s">
        <v>267</v>
      </c>
      <c r="C148" s="155" t="s">
        <v>268</v>
      </c>
      <c r="D148" s="147" t="s">
        <v>175</v>
      </c>
      <c r="E148" s="150">
        <v>109</v>
      </c>
      <c r="F148" s="151">
        <v>20.48</v>
      </c>
      <c r="G148" s="151">
        <f t="shared" si="13"/>
        <v>25.55</v>
      </c>
      <c r="H148" s="151">
        <f>(E148*G148)</f>
        <v>2784.9500000000003</v>
      </c>
      <c r="J148" s="153"/>
      <c r="K148" s="154" t="s">
        <v>290</v>
      </c>
    </row>
    <row r="149" spans="1:11" x14ac:dyDescent="0.3">
      <c r="A149" s="147" t="s">
        <v>270</v>
      </c>
      <c r="B149" s="147" t="s">
        <v>271</v>
      </c>
      <c r="C149" s="157" t="s">
        <v>434</v>
      </c>
      <c r="D149" s="147" t="s">
        <v>175</v>
      </c>
      <c r="E149" s="150">
        <v>8</v>
      </c>
      <c r="F149" s="151">
        <v>37.61</v>
      </c>
      <c r="G149" s="151">
        <f t="shared" si="13"/>
        <v>46.92</v>
      </c>
      <c r="H149" s="151">
        <f>(E149*G149)</f>
        <v>375.36</v>
      </c>
    </row>
    <row r="150" spans="1:11" ht="21" thickBot="1" x14ac:dyDescent="0.35">
      <c r="A150" s="166" t="s">
        <v>272</v>
      </c>
      <c r="B150" s="148">
        <v>2025</v>
      </c>
      <c r="C150" s="160" t="s">
        <v>273</v>
      </c>
      <c r="D150" s="161" t="s">
        <v>274</v>
      </c>
      <c r="E150" s="150">
        <v>1</v>
      </c>
      <c r="F150" s="162">
        <v>103.03</v>
      </c>
      <c r="G150" s="151">
        <f t="shared" si="13"/>
        <v>128.56</v>
      </c>
      <c r="H150" s="151">
        <f>(E150*G150)</f>
        <v>128.56</v>
      </c>
    </row>
    <row r="151" spans="1:11" ht="21" thickBot="1" x14ac:dyDescent="0.35">
      <c r="G151" s="125"/>
      <c r="H151" s="163">
        <f>TRUNC(SUM(H146:H150),2)</f>
        <v>34425.870000000003</v>
      </c>
    </row>
    <row r="153" spans="1:11" x14ac:dyDescent="0.3">
      <c r="A153" s="409" t="s">
        <v>523</v>
      </c>
      <c r="B153" s="410"/>
      <c r="C153" s="410"/>
      <c r="D153" s="410"/>
      <c r="E153" s="410"/>
      <c r="F153" s="410"/>
      <c r="G153" s="410"/>
      <c r="H153" s="410"/>
    </row>
    <row r="154" spans="1:11" ht="20.25" customHeight="1" x14ac:dyDescent="0.3">
      <c r="A154" s="411" t="s">
        <v>258</v>
      </c>
      <c r="B154" s="411"/>
      <c r="C154" s="411" t="s">
        <v>259</v>
      </c>
      <c r="D154" s="411" t="s">
        <v>186</v>
      </c>
      <c r="E154" s="412" t="s">
        <v>260</v>
      </c>
      <c r="F154" s="413" t="s">
        <v>261</v>
      </c>
      <c r="G154" s="413" t="s">
        <v>262</v>
      </c>
      <c r="H154" s="413" t="s">
        <v>263</v>
      </c>
    </row>
    <row r="155" spans="1:11" x14ac:dyDescent="0.3">
      <c r="A155" s="411"/>
      <c r="B155" s="411"/>
      <c r="C155" s="411"/>
      <c r="D155" s="411"/>
      <c r="E155" s="412"/>
      <c r="F155" s="414"/>
      <c r="G155" s="414"/>
      <c r="H155" s="414"/>
    </row>
    <row r="156" spans="1:11" ht="40.5" x14ac:dyDescent="0.3">
      <c r="A156" s="147" t="s">
        <v>193</v>
      </c>
      <c r="B156" s="148">
        <v>90777</v>
      </c>
      <c r="C156" s="149" t="s">
        <v>264</v>
      </c>
      <c r="D156" s="147" t="s">
        <v>175</v>
      </c>
      <c r="E156" s="150">
        <v>4</v>
      </c>
      <c r="F156" s="151">
        <v>116.61</v>
      </c>
      <c r="G156" s="151">
        <f>TRUNC(F156*1.2478,2)</f>
        <v>145.5</v>
      </c>
      <c r="H156" s="151">
        <f>(E156*G156)</f>
        <v>582</v>
      </c>
    </row>
    <row r="157" spans="1:11" ht="40.5" x14ac:dyDescent="0.3">
      <c r="A157" s="147" t="s">
        <v>193</v>
      </c>
      <c r="B157" s="148">
        <v>90777</v>
      </c>
      <c r="C157" s="149" t="s">
        <v>265</v>
      </c>
      <c r="D157" s="147" t="s">
        <v>175</v>
      </c>
      <c r="E157" s="150">
        <v>49</v>
      </c>
      <c r="F157" s="151">
        <v>116.61</v>
      </c>
      <c r="G157" s="151">
        <f t="shared" ref="G157:G160" si="14">TRUNC(F157*1.2478,2)</f>
        <v>145.5</v>
      </c>
      <c r="H157" s="151">
        <f>(E157*G157)</f>
        <v>7129.5</v>
      </c>
      <c r="K157" s="154" t="s">
        <v>286</v>
      </c>
    </row>
    <row r="158" spans="1:11" ht="40.5" x14ac:dyDescent="0.3">
      <c r="A158" s="147" t="s">
        <v>193</v>
      </c>
      <c r="B158" s="148" t="s">
        <v>267</v>
      </c>
      <c r="C158" s="155" t="s">
        <v>268</v>
      </c>
      <c r="D158" s="147" t="s">
        <v>175</v>
      </c>
      <c r="E158" s="150">
        <v>25</v>
      </c>
      <c r="F158" s="151">
        <v>20.48</v>
      </c>
      <c r="G158" s="151">
        <f t="shared" si="14"/>
        <v>25.55</v>
      </c>
      <c r="H158" s="151">
        <f>(E158*G158)</f>
        <v>638.75</v>
      </c>
      <c r="K158" s="154" t="s">
        <v>287</v>
      </c>
    </row>
    <row r="159" spans="1:11" x14ac:dyDescent="0.3">
      <c r="A159" s="147" t="s">
        <v>270</v>
      </c>
      <c r="B159" s="147" t="s">
        <v>271</v>
      </c>
      <c r="C159" s="157" t="s">
        <v>434</v>
      </c>
      <c r="D159" s="147" t="s">
        <v>175</v>
      </c>
      <c r="E159" s="150">
        <v>10</v>
      </c>
      <c r="F159" s="151">
        <v>37.61</v>
      </c>
      <c r="G159" s="151">
        <f t="shared" si="14"/>
        <v>46.92</v>
      </c>
      <c r="H159" s="151">
        <f>(E159*G159)</f>
        <v>469.20000000000005</v>
      </c>
    </row>
    <row r="160" spans="1:11" ht="21" thickBot="1" x14ac:dyDescent="0.35">
      <c r="A160" s="166" t="s">
        <v>272</v>
      </c>
      <c r="B160" s="148">
        <v>2025</v>
      </c>
      <c r="C160" s="160" t="s">
        <v>273</v>
      </c>
      <c r="D160" s="161" t="s">
        <v>274</v>
      </c>
      <c r="E160" s="150">
        <v>1</v>
      </c>
      <c r="F160" s="162">
        <v>103.03</v>
      </c>
      <c r="G160" s="151">
        <f t="shared" si="14"/>
        <v>128.56</v>
      </c>
      <c r="H160" s="151">
        <f>(E160*G160)</f>
        <v>128.56</v>
      </c>
    </row>
    <row r="161" spans="1:11" ht="21" thickBot="1" x14ac:dyDescent="0.35">
      <c r="G161" s="125"/>
      <c r="H161" s="163">
        <f>TRUNC(SUM(H156:H160),2)</f>
        <v>8948.01</v>
      </c>
    </row>
    <row r="163" spans="1:11" x14ac:dyDescent="0.3">
      <c r="A163" s="409" t="s">
        <v>524</v>
      </c>
      <c r="B163" s="410"/>
      <c r="C163" s="410"/>
      <c r="D163" s="410"/>
      <c r="E163" s="410"/>
      <c r="F163" s="410"/>
      <c r="G163" s="410"/>
      <c r="H163" s="410"/>
    </row>
    <row r="164" spans="1:11" ht="20.25" customHeight="1" x14ac:dyDescent="0.3">
      <c r="A164" s="411" t="s">
        <v>258</v>
      </c>
      <c r="B164" s="411"/>
      <c r="C164" s="411" t="s">
        <v>259</v>
      </c>
      <c r="D164" s="411" t="s">
        <v>186</v>
      </c>
      <c r="E164" s="412" t="s">
        <v>260</v>
      </c>
      <c r="F164" s="413" t="s">
        <v>261</v>
      </c>
      <c r="G164" s="413" t="s">
        <v>262</v>
      </c>
      <c r="H164" s="413" t="s">
        <v>263</v>
      </c>
    </row>
    <row r="165" spans="1:11" x14ac:dyDescent="0.3">
      <c r="A165" s="411"/>
      <c r="B165" s="411"/>
      <c r="C165" s="411"/>
      <c r="D165" s="411"/>
      <c r="E165" s="412"/>
      <c r="F165" s="414"/>
      <c r="G165" s="414"/>
      <c r="H165" s="414"/>
    </row>
    <row r="166" spans="1:11" ht="40.5" x14ac:dyDescent="0.3">
      <c r="A166" s="147" t="s">
        <v>193</v>
      </c>
      <c r="B166" s="148">
        <v>90777</v>
      </c>
      <c r="C166" s="149" t="s">
        <v>264</v>
      </c>
      <c r="D166" s="147" t="s">
        <v>175</v>
      </c>
      <c r="E166" s="150">
        <v>4</v>
      </c>
      <c r="F166" s="151">
        <v>116.61</v>
      </c>
      <c r="G166" s="151">
        <f>TRUNC(F166*1.2478,2)</f>
        <v>145.5</v>
      </c>
      <c r="H166" s="151">
        <f>(E166*G166)</f>
        <v>582</v>
      </c>
    </row>
    <row r="167" spans="1:11" ht="40.5" x14ac:dyDescent="0.3">
      <c r="A167" s="147" t="s">
        <v>193</v>
      </c>
      <c r="B167" s="148">
        <v>90777</v>
      </c>
      <c r="C167" s="149" t="s">
        <v>265</v>
      </c>
      <c r="D167" s="147" t="s">
        <v>175</v>
      </c>
      <c r="E167" s="150">
        <v>105</v>
      </c>
      <c r="F167" s="151">
        <v>116.61</v>
      </c>
      <c r="G167" s="151">
        <f t="shared" ref="G167:G170" si="15">TRUNC(F167*1.2478,2)</f>
        <v>145.5</v>
      </c>
      <c r="H167" s="151">
        <f>(E167*G167)</f>
        <v>15277.5</v>
      </c>
      <c r="K167" s="154" t="s">
        <v>283</v>
      </c>
    </row>
    <row r="168" spans="1:11" ht="40.5" x14ac:dyDescent="0.3">
      <c r="A168" s="147" t="s">
        <v>193</v>
      </c>
      <c r="B168" s="148" t="s">
        <v>267</v>
      </c>
      <c r="C168" s="155" t="s">
        <v>268</v>
      </c>
      <c r="D168" s="147" t="s">
        <v>175</v>
      </c>
      <c r="E168" s="150">
        <v>39</v>
      </c>
      <c r="F168" s="151">
        <v>20.48</v>
      </c>
      <c r="G168" s="151">
        <f t="shared" si="15"/>
        <v>25.55</v>
      </c>
      <c r="H168" s="151">
        <f>(E168*G168)</f>
        <v>996.45</v>
      </c>
      <c r="K168" s="154" t="s">
        <v>281</v>
      </c>
    </row>
    <row r="169" spans="1:11" x14ac:dyDescent="0.3">
      <c r="A169" s="147" t="s">
        <v>270</v>
      </c>
      <c r="B169" s="147" t="s">
        <v>271</v>
      </c>
      <c r="C169" s="157" t="s">
        <v>434</v>
      </c>
      <c r="D169" s="147" t="s">
        <v>175</v>
      </c>
      <c r="E169" s="150">
        <v>8</v>
      </c>
      <c r="F169" s="151">
        <v>37.61</v>
      </c>
      <c r="G169" s="151">
        <f t="shared" si="15"/>
        <v>46.92</v>
      </c>
      <c r="H169" s="151">
        <f>(E169*G169)</f>
        <v>375.36</v>
      </c>
    </row>
    <row r="170" spans="1:11" ht="21" thickBot="1" x14ac:dyDescent="0.35">
      <c r="A170" s="166" t="s">
        <v>272</v>
      </c>
      <c r="B170" s="148">
        <v>2025</v>
      </c>
      <c r="C170" s="160" t="s">
        <v>273</v>
      </c>
      <c r="D170" s="161" t="s">
        <v>274</v>
      </c>
      <c r="E170" s="150">
        <v>1</v>
      </c>
      <c r="F170" s="162">
        <v>103.03</v>
      </c>
      <c r="G170" s="151">
        <f t="shared" si="15"/>
        <v>128.56</v>
      </c>
      <c r="H170" s="151">
        <f>(E170*G170)</f>
        <v>128.56</v>
      </c>
    </row>
    <row r="171" spans="1:11" ht="21" thickBot="1" x14ac:dyDescent="0.35">
      <c r="G171" s="125"/>
      <c r="H171" s="163">
        <f>TRUNC(SUM(H166:H170),2)</f>
        <v>17359.87</v>
      </c>
    </row>
    <row r="173" spans="1:11" x14ac:dyDescent="0.3">
      <c r="A173" s="409" t="s">
        <v>525</v>
      </c>
      <c r="B173" s="410"/>
      <c r="C173" s="410"/>
      <c r="D173" s="410"/>
      <c r="E173" s="410"/>
      <c r="F173" s="410"/>
      <c r="G173" s="410"/>
      <c r="H173" s="410"/>
    </row>
    <row r="174" spans="1:11" ht="20.25" customHeight="1" x14ac:dyDescent="0.3">
      <c r="A174" s="411" t="s">
        <v>258</v>
      </c>
      <c r="B174" s="411"/>
      <c r="C174" s="411" t="s">
        <v>259</v>
      </c>
      <c r="D174" s="411" t="s">
        <v>186</v>
      </c>
      <c r="E174" s="412" t="s">
        <v>260</v>
      </c>
      <c r="F174" s="413" t="s">
        <v>261</v>
      </c>
      <c r="G174" s="413" t="s">
        <v>262</v>
      </c>
      <c r="H174" s="413" t="s">
        <v>263</v>
      </c>
    </row>
    <row r="175" spans="1:11" x14ac:dyDescent="0.3">
      <c r="A175" s="411"/>
      <c r="B175" s="411"/>
      <c r="C175" s="411"/>
      <c r="D175" s="411"/>
      <c r="E175" s="412"/>
      <c r="F175" s="414"/>
      <c r="G175" s="414"/>
      <c r="H175" s="414"/>
    </row>
    <row r="176" spans="1:11" ht="40.5" x14ac:dyDescent="0.3">
      <c r="A176" s="147" t="s">
        <v>193</v>
      </c>
      <c r="B176" s="148">
        <v>90777</v>
      </c>
      <c r="C176" s="149" t="s">
        <v>264</v>
      </c>
      <c r="D176" s="147" t="s">
        <v>175</v>
      </c>
      <c r="E176" s="150">
        <v>4</v>
      </c>
      <c r="F176" s="151">
        <v>116.61</v>
      </c>
      <c r="G176" s="151">
        <f>TRUNC(F176*1.2478,2)</f>
        <v>145.5</v>
      </c>
      <c r="H176" s="151">
        <f>(E176*G176)</f>
        <v>582</v>
      </c>
    </row>
    <row r="177" spans="1:11" ht="40.5" x14ac:dyDescent="0.3">
      <c r="A177" s="147" t="s">
        <v>193</v>
      </c>
      <c r="B177" s="148">
        <v>90777</v>
      </c>
      <c r="C177" s="149" t="s">
        <v>265</v>
      </c>
      <c r="D177" s="147" t="s">
        <v>175</v>
      </c>
      <c r="E177" s="150">
        <v>154</v>
      </c>
      <c r="F177" s="151">
        <v>116.61</v>
      </c>
      <c r="G177" s="151">
        <f t="shared" ref="G177:G180" si="16">TRUNC(F177*1.2478,2)</f>
        <v>145.5</v>
      </c>
      <c r="H177" s="151">
        <f>(E177*G177)</f>
        <v>22407</v>
      </c>
      <c r="K177" s="154" t="s">
        <v>291</v>
      </c>
    </row>
    <row r="178" spans="1:11" ht="40.5" x14ac:dyDescent="0.3">
      <c r="A178" s="147" t="s">
        <v>193</v>
      </c>
      <c r="B178" s="148" t="s">
        <v>267</v>
      </c>
      <c r="C178" s="155" t="s">
        <v>268</v>
      </c>
      <c r="D178" s="147" t="s">
        <v>175</v>
      </c>
      <c r="E178" s="150">
        <v>74</v>
      </c>
      <c r="F178" s="151">
        <v>20.48</v>
      </c>
      <c r="G178" s="151">
        <f t="shared" si="16"/>
        <v>25.55</v>
      </c>
      <c r="H178" s="151">
        <f>(E178*G178)</f>
        <v>1890.7</v>
      </c>
      <c r="K178" s="154" t="s">
        <v>284</v>
      </c>
    </row>
    <row r="179" spans="1:11" x14ac:dyDescent="0.3">
      <c r="A179" s="147" t="s">
        <v>270</v>
      </c>
      <c r="B179" s="147" t="s">
        <v>271</v>
      </c>
      <c r="C179" s="157" t="s">
        <v>434</v>
      </c>
      <c r="D179" s="147" t="s">
        <v>175</v>
      </c>
      <c r="E179" s="150">
        <v>20</v>
      </c>
      <c r="F179" s="151">
        <v>37.61</v>
      </c>
      <c r="G179" s="151">
        <f t="shared" si="16"/>
        <v>46.92</v>
      </c>
      <c r="H179" s="151">
        <f>(E179*G179)</f>
        <v>938.40000000000009</v>
      </c>
    </row>
    <row r="180" spans="1:11" ht="21" thickBot="1" x14ac:dyDescent="0.35">
      <c r="A180" s="166" t="s">
        <v>272</v>
      </c>
      <c r="B180" s="148">
        <v>2025</v>
      </c>
      <c r="C180" s="160" t="s">
        <v>273</v>
      </c>
      <c r="D180" s="161" t="s">
        <v>274</v>
      </c>
      <c r="E180" s="150">
        <v>1</v>
      </c>
      <c r="F180" s="162">
        <v>103.03</v>
      </c>
      <c r="G180" s="151">
        <f t="shared" si="16"/>
        <v>128.56</v>
      </c>
      <c r="H180" s="151">
        <f>(E180*G180)</f>
        <v>128.56</v>
      </c>
    </row>
    <row r="181" spans="1:11" ht="21" thickBot="1" x14ac:dyDescent="0.35">
      <c r="G181" s="125"/>
      <c r="H181" s="163">
        <f>TRUNC(SUM(H176:H180),2)</f>
        <v>25946.66</v>
      </c>
    </row>
    <row r="183" spans="1:11" x14ac:dyDescent="0.3">
      <c r="A183" s="409" t="s">
        <v>526</v>
      </c>
      <c r="B183" s="410"/>
      <c r="C183" s="410"/>
      <c r="D183" s="410"/>
      <c r="E183" s="410"/>
      <c r="F183" s="410"/>
      <c r="G183" s="410"/>
      <c r="H183" s="410"/>
    </row>
    <row r="184" spans="1:11" ht="20.25" customHeight="1" x14ac:dyDescent="0.3">
      <c r="A184" s="411" t="s">
        <v>258</v>
      </c>
      <c r="B184" s="411"/>
      <c r="C184" s="411" t="s">
        <v>259</v>
      </c>
      <c r="D184" s="411" t="s">
        <v>186</v>
      </c>
      <c r="E184" s="412" t="s">
        <v>260</v>
      </c>
      <c r="F184" s="413" t="s">
        <v>261</v>
      </c>
      <c r="G184" s="413" t="s">
        <v>262</v>
      </c>
      <c r="H184" s="413" t="s">
        <v>263</v>
      </c>
    </row>
    <row r="185" spans="1:11" x14ac:dyDescent="0.3">
      <c r="A185" s="411"/>
      <c r="B185" s="411"/>
      <c r="C185" s="411"/>
      <c r="D185" s="411"/>
      <c r="E185" s="412"/>
      <c r="F185" s="414"/>
      <c r="G185" s="414"/>
      <c r="H185" s="414"/>
    </row>
    <row r="186" spans="1:11" ht="40.5" x14ac:dyDescent="0.3">
      <c r="A186" s="147" t="s">
        <v>193</v>
      </c>
      <c r="B186" s="148">
        <v>90777</v>
      </c>
      <c r="C186" s="149" t="s">
        <v>264</v>
      </c>
      <c r="D186" s="147" t="s">
        <v>175</v>
      </c>
      <c r="E186" s="150">
        <v>4</v>
      </c>
      <c r="F186" s="151">
        <v>116.61</v>
      </c>
      <c r="G186" s="151">
        <f>TRUNC(F186*1.2478,2)</f>
        <v>145.5</v>
      </c>
      <c r="H186" s="151">
        <f>(E186*G186)</f>
        <v>582</v>
      </c>
    </row>
    <row r="187" spans="1:11" ht="40.5" x14ac:dyDescent="0.3">
      <c r="A187" s="147" t="s">
        <v>193</v>
      </c>
      <c r="B187" s="148">
        <v>90777</v>
      </c>
      <c r="C187" s="149" t="s">
        <v>265</v>
      </c>
      <c r="D187" s="147" t="s">
        <v>175</v>
      </c>
      <c r="E187" s="150">
        <v>21</v>
      </c>
      <c r="F187" s="151">
        <v>116.61</v>
      </c>
      <c r="G187" s="151">
        <f t="shared" ref="G187:G190" si="17">TRUNC(F187*1.2478,2)</f>
        <v>145.5</v>
      </c>
      <c r="H187" s="151">
        <f>(E187*G187)</f>
        <v>3055.5</v>
      </c>
      <c r="K187" s="154" t="s">
        <v>292</v>
      </c>
    </row>
    <row r="188" spans="1:11" ht="40.5" x14ac:dyDescent="0.3">
      <c r="A188" s="147" t="s">
        <v>193</v>
      </c>
      <c r="B188" s="148" t="s">
        <v>267</v>
      </c>
      <c r="C188" s="155" t="s">
        <v>268</v>
      </c>
      <c r="D188" s="147" t="s">
        <v>175</v>
      </c>
      <c r="E188" s="150">
        <v>18</v>
      </c>
      <c r="F188" s="151">
        <v>20.48</v>
      </c>
      <c r="G188" s="151">
        <f t="shared" si="17"/>
        <v>25.55</v>
      </c>
      <c r="H188" s="151">
        <f>(E188*G188)</f>
        <v>459.90000000000003</v>
      </c>
      <c r="K188" s="154" t="s">
        <v>277</v>
      </c>
    </row>
    <row r="189" spans="1:11" x14ac:dyDescent="0.3">
      <c r="A189" s="147" t="s">
        <v>270</v>
      </c>
      <c r="B189" s="147" t="s">
        <v>271</v>
      </c>
      <c r="C189" s="157" t="s">
        <v>434</v>
      </c>
      <c r="D189" s="147" t="s">
        <v>175</v>
      </c>
      <c r="E189" s="150">
        <v>6</v>
      </c>
      <c r="F189" s="151">
        <v>37.61</v>
      </c>
      <c r="G189" s="151">
        <f t="shared" si="17"/>
        <v>46.92</v>
      </c>
      <c r="H189" s="151">
        <f>(E189*G189)</f>
        <v>281.52</v>
      </c>
    </row>
    <row r="190" spans="1:11" ht="21" thickBot="1" x14ac:dyDescent="0.35">
      <c r="A190" s="166" t="s">
        <v>272</v>
      </c>
      <c r="B190" s="148">
        <v>2025</v>
      </c>
      <c r="C190" s="160" t="s">
        <v>273</v>
      </c>
      <c r="D190" s="161" t="s">
        <v>274</v>
      </c>
      <c r="E190" s="150">
        <v>1</v>
      </c>
      <c r="F190" s="162">
        <v>103.03</v>
      </c>
      <c r="G190" s="151">
        <f t="shared" si="17"/>
        <v>128.56</v>
      </c>
      <c r="H190" s="151">
        <f>(E190*G190)</f>
        <v>128.56</v>
      </c>
    </row>
    <row r="191" spans="1:11" ht="21" thickBot="1" x14ac:dyDescent="0.35">
      <c r="G191" s="125"/>
      <c r="H191" s="163">
        <f>TRUNC(SUM(H186:H190),2)</f>
        <v>4507.4799999999996</v>
      </c>
    </row>
    <row r="193" spans="1:11" x14ac:dyDescent="0.3">
      <c r="A193" s="409" t="s">
        <v>527</v>
      </c>
      <c r="B193" s="410"/>
      <c r="C193" s="410"/>
      <c r="D193" s="410"/>
      <c r="E193" s="410"/>
      <c r="F193" s="410"/>
      <c r="G193" s="410"/>
      <c r="H193" s="410"/>
    </row>
    <row r="194" spans="1:11" ht="20.25" customHeight="1" x14ac:dyDescent="0.3">
      <c r="A194" s="411" t="s">
        <v>258</v>
      </c>
      <c r="B194" s="411"/>
      <c r="C194" s="411" t="s">
        <v>259</v>
      </c>
      <c r="D194" s="411" t="s">
        <v>186</v>
      </c>
      <c r="E194" s="412" t="s">
        <v>260</v>
      </c>
      <c r="F194" s="413" t="s">
        <v>261</v>
      </c>
      <c r="G194" s="413" t="s">
        <v>262</v>
      </c>
      <c r="H194" s="413" t="s">
        <v>263</v>
      </c>
    </row>
    <row r="195" spans="1:11" x14ac:dyDescent="0.3">
      <c r="A195" s="411"/>
      <c r="B195" s="411"/>
      <c r="C195" s="411"/>
      <c r="D195" s="411"/>
      <c r="E195" s="412"/>
      <c r="F195" s="414"/>
      <c r="G195" s="414"/>
      <c r="H195" s="414"/>
    </row>
    <row r="196" spans="1:11" ht="40.5" x14ac:dyDescent="0.3">
      <c r="A196" s="147" t="s">
        <v>193</v>
      </c>
      <c r="B196" s="148">
        <v>90777</v>
      </c>
      <c r="C196" s="149" t="s">
        <v>264</v>
      </c>
      <c r="D196" s="147" t="s">
        <v>175</v>
      </c>
      <c r="E196" s="150">
        <v>4</v>
      </c>
      <c r="F196" s="151">
        <v>116.61</v>
      </c>
      <c r="G196" s="151">
        <f>TRUNC(F196*1.2478,2)</f>
        <v>145.5</v>
      </c>
      <c r="H196" s="151">
        <f>(E196*G196)</f>
        <v>582</v>
      </c>
    </row>
    <row r="197" spans="1:11" ht="40.5" x14ac:dyDescent="0.3">
      <c r="A197" s="147" t="s">
        <v>193</v>
      </c>
      <c r="B197" s="148">
        <v>90777</v>
      </c>
      <c r="C197" s="149" t="s">
        <v>265</v>
      </c>
      <c r="D197" s="147" t="s">
        <v>175</v>
      </c>
      <c r="E197" s="150">
        <v>42</v>
      </c>
      <c r="F197" s="151">
        <v>116.61</v>
      </c>
      <c r="G197" s="151">
        <f t="shared" ref="G197:G200" si="18">TRUNC(F197*1.2478,2)</f>
        <v>145.5</v>
      </c>
      <c r="H197" s="151">
        <f>(E197*G197)</f>
        <v>6111</v>
      </c>
      <c r="K197" s="154" t="s">
        <v>293</v>
      </c>
    </row>
    <row r="198" spans="1:11" ht="40.5" x14ac:dyDescent="0.3">
      <c r="A198" s="147" t="s">
        <v>193</v>
      </c>
      <c r="B198" s="148" t="s">
        <v>267</v>
      </c>
      <c r="C198" s="155" t="s">
        <v>268</v>
      </c>
      <c r="D198" s="147" t="s">
        <v>175</v>
      </c>
      <c r="E198" s="150">
        <v>25</v>
      </c>
      <c r="F198" s="151">
        <v>20.48</v>
      </c>
      <c r="G198" s="151">
        <f t="shared" si="18"/>
        <v>25.55</v>
      </c>
      <c r="H198" s="151">
        <f>(E198*G198)</f>
        <v>638.75</v>
      </c>
      <c r="K198" s="154" t="s">
        <v>287</v>
      </c>
    </row>
    <row r="199" spans="1:11" x14ac:dyDescent="0.3">
      <c r="A199" s="147" t="s">
        <v>270</v>
      </c>
      <c r="B199" s="147" t="s">
        <v>271</v>
      </c>
      <c r="C199" s="157" t="s">
        <v>434</v>
      </c>
      <c r="D199" s="147" t="s">
        <v>175</v>
      </c>
      <c r="E199" s="150">
        <v>10</v>
      </c>
      <c r="F199" s="151">
        <v>37.61</v>
      </c>
      <c r="G199" s="151">
        <f t="shared" si="18"/>
        <v>46.92</v>
      </c>
      <c r="H199" s="151">
        <f>(E199*G199)</f>
        <v>469.20000000000005</v>
      </c>
    </row>
    <row r="200" spans="1:11" ht="21" thickBot="1" x14ac:dyDescent="0.35">
      <c r="A200" s="166" t="s">
        <v>272</v>
      </c>
      <c r="B200" s="148">
        <v>2025</v>
      </c>
      <c r="C200" s="160" t="s">
        <v>273</v>
      </c>
      <c r="D200" s="161" t="s">
        <v>274</v>
      </c>
      <c r="E200" s="150">
        <v>1</v>
      </c>
      <c r="F200" s="162">
        <v>103.03</v>
      </c>
      <c r="G200" s="151">
        <f t="shared" si="18"/>
        <v>128.56</v>
      </c>
      <c r="H200" s="151">
        <f>(E200*G200)</f>
        <v>128.56</v>
      </c>
    </row>
    <row r="201" spans="1:11" ht="21" thickBot="1" x14ac:dyDescent="0.35">
      <c r="G201" s="125"/>
      <c r="H201" s="163">
        <f>TRUNC(SUM(H196:H200),2)</f>
        <v>7929.51</v>
      </c>
    </row>
    <row r="203" spans="1:11" x14ac:dyDescent="0.3">
      <c r="A203" s="409" t="s">
        <v>528</v>
      </c>
      <c r="B203" s="410"/>
      <c r="C203" s="410"/>
      <c r="D203" s="410"/>
      <c r="E203" s="410"/>
      <c r="F203" s="410"/>
      <c r="G203" s="410"/>
      <c r="H203" s="410"/>
    </row>
    <row r="204" spans="1:11" ht="20.25" customHeight="1" x14ac:dyDescent="0.3">
      <c r="A204" s="411" t="s">
        <v>258</v>
      </c>
      <c r="B204" s="411"/>
      <c r="C204" s="411" t="s">
        <v>259</v>
      </c>
      <c r="D204" s="411" t="s">
        <v>186</v>
      </c>
      <c r="E204" s="412" t="s">
        <v>260</v>
      </c>
      <c r="F204" s="413" t="s">
        <v>261</v>
      </c>
      <c r="G204" s="413" t="s">
        <v>262</v>
      </c>
      <c r="H204" s="413" t="s">
        <v>263</v>
      </c>
    </row>
    <row r="205" spans="1:11" x14ac:dyDescent="0.3">
      <c r="A205" s="411"/>
      <c r="B205" s="411"/>
      <c r="C205" s="411"/>
      <c r="D205" s="411"/>
      <c r="E205" s="412"/>
      <c r="F205" s="414"/>
      <c r="G205" s="414"/>
      <c r="H205" s="414"/>
    </row>
    <row r="206" spans="1:11" ht="40.5" x14ac:dyDescent="0.3">
      <c r="A206" s="147" t="s">
        <v>193</v>
      </c>
      <c r="B206" s="148">
        <v>90777</v>
      </c>
      <c r="C206" s="149" t="s">
        <v>264</v>
      </c>
      <c r="D206" s="147" t="s">
        <v>175</v>
      </c>
      <c r="E206" s="150">
        <v>4</v>
      </c>
      <c r="F206" s="151">
        <v>116.61</v>
      </c>
      <c r="G206" s="151">
        <f>TRUNC(F206*1.2478,2)</f>
        <v>145.5</v>
      </c>
      <c r="H206" s="151">
        <f>(E206*G206)</f>
        <v>582</v>
      </c>
    </row>
    <row r="207" spans="1:11" ht="40.5" x14ac:dyDescent="0.3">
      <c r="A207" s="147" t="s">
        <v>193</v>
      </c>
      <c r="B207" s="148">
        <v>90777</v>
      </c>
      <c r="C207" s="149" t="s">
        <v>265</v>
      </c>
      <c r="D207" s="147" t="s">
        <v>175</v>
      </c>
      <c r="E207" s="150">
        <v>154</v>
      </c>
      <c r="F207" s="151">
        <v>116.61</v>
      </c>
      <c r="G207" s="151">
        <f t="shared" ref="G207:G210" si="19">TRUNC(F207*1.2478,2)</f>
        <v>145.5</v>
      </c>
      <c r="H207" s="151">
        <f>(E207*G207)</f>
        <v>22407</v>
      </c>
      <c r="K207" s="154" t="s">
        <v>285</v>
      </c>
    </row>
    <row r="208" spans="1:11" ht="40.5" x14ac:dyDescent="0.3">
      <c r="A208" s="147" t="s">
        <v>193</v>
      </c>
      <c r="B208" s="148" t="s">
        <v>267</v>
      </c>
      <c r="C208" s="155" t="s">
        <v>294</v>
      </c>
      <c r="D208" s="147" t="s">
        <v>175</v>
      </c>
      <c r="E208" s="150">
        <v>4</v>
      </c>
      <c r="F208" s="151">
        <v>20.48</v>
      </c>
      <c r="G208" s="151">
        <f t="shared" si="19"/>
        <v>25.55</v>
      </c>
      <c r="H208" s="151">
        <f>(E208*G208)</f>
        <v>102.2</v>
      </c>
      <c r="K208" s="154"/>
    </row>
    <row r="209" spans="1:11" x14ac:dyDescent="0.3">
      <c r="A209" s="147" t="s">
        <v>270</v>
      </c>
      <c r="B209" s="147" t="s">
        <v>271</v>
      </c>
      <c r="C209" s="157" t="s">
        <v>434</v>
      </c>
      <c r="D209" s="147" t="s">
        <v>175</v>
      </c>
      <c r="E209" s="150">
        <v>15</v>
      </c>
      <c r="F209" s="151">
        <v>37.61</v>
      </c>
      <c r="G209" s="151">
        <f t="shared" si="19"/>
        <v>46.92</v>
      </c>
      <c r="H209" s="151">
        <f>(E209*G209)</f>
        <v>703.80000000000007</v>
      </c>
    </row>
    <row r="210" spans="1:11" ht="21" thickBot="1" x14ac:dyDescent="0.35">
      <c r="A210" s="166" t="s">
        <v>272</v>
      </c>
      <c r="B210" s="148">
        <v>2025</v>
      </c>
      <c r="C210" s="160" t="s">
        <v>273</v>
      </c>
      <c r="D210" s="161" t="s">
        <v>274</v>
      </c>
      <c r="E210" s="150">
        <v>1</v>
      </c>
      <c r="F210" s="162">
        <v>103.03</v>
      </c>
      <c r="G210" s="151">
        <f t="shared" si="19"/>
        <v>128.56</v>
      </c>
      <c r="H210" s="151">
        <f>(E210*G210)</f>
        <v>128.56</v>
      </c>
    </row>
    <row r="211" spans="1:11" ht="21" thickBot="1" x14ac:dyDescent="0.35">
      <c r="G211" s="125"/>
      <c r="H211" s="163">
        <f>TRUNC(SUM(H206:H210),2)</f>
        <v>23923.56</v>
      </c>
    </row>
    <row r="212" spans="1:11" x14ac:dyDescent="0.3">
      <c r="G212" s="125"/>
      <c r="H212" s="164"/>
    </row>
    <row r="213" spans="1:11" x14ac:dyDescent="0.3">
      <c r="A213" s="409" t="s">
        <v>529</v>
      </c>
      <c r="B213" s="410"/>
      <c r="C213" s="410"/>
      <c r="D213" s="410"/>
      <c r="E213" s="410"/>
      <c r="F213" s="410"/>
      <c r="G213" s="410"/>
      <c r="H213" s="410"/>
    </row>
    <row r="214" spans="1:11" ht="20.25" customHeight="1" x14ac:dyDescent="0.3">
      <c r="A214" s="411" t="s">
        <v>258</v>
      </c>
      <c r="B214" s="411"/>
      <c r="C214" s="411" t="s">
        <v>259</v>
      </c>
      <c r="D214" s="411" t="s">
        <v>186</v>
      </c>
      <c r="E214" s="412" t="s">
        <v>260</v>
      </c>
      <c r="F214" s="413" t="s">
        <v>261</v>
      </c>
      <c r="G214" s="413" t="s">
        <v>262</v>
      </c>
      <c r="H214" s="413" t="s">
        <v>263</v>
      </c>
    </row>
    <row r="215" spans="1:11" x14ac:dyDescent="0.3">
      <c r="A215" s="411"/>
      <c r="B215" s="411"/>
      <c r="C215" s="411"/>
      <c r="D215" s="411"/>
      <c r="E215" s="412"/>
      <c r="F215" s="414"/>
      <c r="G215" s="414"/>
      <c r="H215" s="414"/>
    </row>
    <row r="216" spans="1:11" ht="40.5" x14ac:dyDescent="0.3">
      <c r="A216" s="147" t="s">
        <v>193</v>
      </c>
      <c r="B216" s="148">
        <v>90777</v>
      </c>
      <c r="C216" s="149" t="s">
        <v>264</v>
      </c>
      <c r="D216" s="147" t="s">
        <v>175</v>
      </c>
      <c r="E216" s="150">
        <v>4</v>
      </c>
      <c r="F216" s="151">
        <v>116.61</v>
      </c>
      <c r="G216" s="151">
        <f>TRUNC(F216*1.2478,2)</f>
        <v>145.5</v>
      </c>
      <c r="H216" s="151">
        <f>(E216*G216)</f>
        <v>582</v>
      </c>
    </row>
    <row r="217" spans="1:11" ht="40.5" x14ac:dyDescent="0.3">
      <c r="A217" s="147" t="s">
        <v>193</v>
      </c>
      <c r="B217" s="148">
        <v>90777</v>
      </c>
      <c r="C217" s="149" t="s">
        <v>265</v>
      </c>
      <c r="D217" s="147" t="s">
        <v>175</v>
      </c>
      <c r="E217" s="150">
        <v>70</v>
      </c>
      <c r="F217" s="151">
        <v>116.61</v>
      </c>
      <c r="G217" s="151">
        <f t="shared" ref="G217:G220" si="20">TRUNC(F217*1.2478,2)</f>
        <v>145.5</v>
      </c>
      <c r="H217" s="151">
        <f>(E217*G217)</f>
        <v>10185</v>
      </c>
      <c r="K217" s="154" t="s">
        <v>280</v>
      </c>
    </row>
    <row r="218" spans="1:11" ht="40.5" x14ac:dyDescent="0.3">
      <c r="A218" s="147" t="s">
        <v>193</v>
      </c>
      <c r="B218" s="148" t="s">
        <v>267</v>
      </c>
      <c r="C218" s="155" t="s">
        <v>294</v>
      </c>
      <c r="D218" s="147" t="s">
        <v>175</v>
      </c>
      <c r="E218" s="150">
        <v>4</v>
      </c>
      <c r="F218" s="151">
        <v>20.48</v>
      </c>
      <c r="G218" s="151">
        <f t="shared" si="20"/>
        <v>25.55</v>
      </c>
      <c r="H218" s="151">
        <f>(E218*G218)</f>
        <v>102.2</v>
      </c>
      <c r="K218" s="154"/>
    </row>
    <row r="219" spans="1:11" x14ac:dyDescent="0.3">
      <c r="A219" s="147" t="s">
        <v>270</v>
      </c>
      <c r="B219" s="147" t="s">
        <v>271</v>
      </c>
      <c r="C219" s="157" t="s">
        <v>434</v>
      </c>
      <c r="D219" s="147" t="s">
        <v>175</v>
      </c>
      <c r="E219" s="150">
        <v>15</v>
      </c>
      <c r="F219" s="151">
        <v>37.61</v>
      </c>
      <c r="G219" s="151">
        <f t="shared" si="20"/>
        <v>46.92</v>
      </c>
      <c r="H219" s="151">
        <f>(E219*G219)</f>
        <v>703.80000000000007</v>
      </c>
    </row>
    <row r="220" spans="1:11" ht="21" thickBot="1" x14ac:dyDescent="0.35">
      <c r="A220" s="166" t="s">
        <v>272</v>
      </c>
      <c r="B220" s="148">
        <v>2025</v>
      </c>
      <c r="C220" s="160" t="s">
        <v>273</v>
      </c>
      <c r="D220" s="161" t="s">
        <v>274</v>
      </c>
      <c r="E220" s="150">
        <v>1</v>
      </c>
      <c r="F220" s="162">
        <v>103.03</v>
      </c>
      <c r="G220" s="151">
        <f t="shared" si="20"/>
        <v>128.56</v>
      </c>
      <c r="H220" s="151">
        <f>(E220*G220)</f>
        <v>128.56</v>
      </c>
    </row>
    <row r="221" spans="1:11" ht="21" thickBot="1" x14ac:dyDescent="0.35">
      <c r="G221" s="125"/>
      <c r="H221" s="163">
        <f>TRUNC(SUM(H216:H220),2)</f>
        <v>11701.56</v>
      </c>
    </row>
    <row r="222" spans="1:11" x14ac:dyDescent="0.3">
      <c r="G222" s="125"/>
      <c r="H222" s="164"/>
    </row>
    <row r="223" spans="1:11" x14ac:dyDescent="0.3">
      <c r="A223" s="409" t="s">
        <v>530</v>
      </c>
      <c r="B223" s="410"/>
      <c r="C223" s="410"/>
      <c r="D223" s="410"/>
      <c r="E223" s="410"/>
      <c r="F223" s="410"/>
      <c r="G223" s="410"/>
      <c r="H223" s="410"/>
    </row>
    <row r="224" spans="1:11" ht="20.25" customHeight="1" x14ac:dyDescent="0.3">
      <c r="A224" s="411" t="s">
        <v>258</v>
      </c>
      <c r="B224" s="411"/>
      <c r="C224" s="411" t="s">
        <v>259</v>
      </c>
      <c r="D224" s="411" t="s">
        <v>186</v>
      </c>
      <c r="E224" s="412" t="s">
        <v>260</v>
      </c>
      <c r="F224" s="413" t="s">
        <v>261</v>
      </c>
      <c r="G224" s="413" t="s">
        <v>262</v>
      </c>
      <c r="H224" s="413" t="s">
        <v>263</v>
      </c>
    </row>
    <row r="225" spans="1:11" x14ac:dyDescent="0.3">
      <c r="A225" s="411"/>
      <c r="B225" s="411"/>
      <c r="C225" s="411"/>
      <c r="D225" s="411"/>
      <c r="E225" s="412"/>
      <c r="F225" s="414"/>
      <c r="G225" s="414"/>
      <c r="H225" s="414"/>
    </row>
    <row r="226" spans="1:11" ht="40.5" x14ac:dyDescent="0.3">
      <c r="A226" s="147" t="s">
        <v>193</v>
      </c>
      <c r="B226" s="148">
        <v>90777</v>
      </c>
      <c r="C226" s="149" t="s">
        <v>264</v>
      </c>
      <c r="D226" s="147" t="s">
        <v>175</v>
      </c>
      <c r="E226" s="150">
        <v>8</v>
      </c>
      <c r="F226" s="151">
        <v>116.61</v>
      </c>
      <c r="G226" s="151">
        <f>TRUNC(F226*1.2478,2)</f>
        <v>145.5</v>
      </c>
      <c r="H226" s="151">
        <f>(E226*G226)</f>
        <v>1164</v>
      </c>
    </row>
    <row r="227" spans="1:11" ht="40.5" x14ac:dyDescent="0.3">
      <c r="A227" s="147" t="s">
        <v>193</v>
      </c>
      <c r="B227" s="148">
        <v>90777</v>
      </c>
      <c r="C227" s="149" t="s">
        <v>265</v>
      </c>
      <c r="D227" s="147" t="s">
        <v>175</v>
      </c>
      <c r="E227" s="150">
        <v>154</v>
      </c>
      <c r="F227" s="151">
        <v>116.61</v>
      </c>
      <c r="G227" s="151">
        <f t="shared" ref="G227:G230" si="21">TRUNC(F227*1.2478,2)</f>
        <v>145.5</v>
      </c>
      <c r="H227" s="151">
        <f>(E227*G227)</f>
        <v>22407</v>
      </c>
      <c r="K227" s="154" t="s">
        <v>285</v>
      </c>
    </row>
    <row r="228" spans="1:11" ht="40.5" x14ac:dyDescent="0.3">
      <c r="A228" s="147" t="s">
        <v>193</v>
      </c>
      <c r="B228" s="148" t="s">
        <v>267</v>
      </c>
      <c r="C228" s="155" t="s">
        <v>294</v>
      </c>
      <c r="D228" s="147" t="s">
        <v>175</v>
      </c>
      <c r="E228" s="150">
        <v>8</v>
      </c>
      <c r="F228" s="151">
        <v>20.48</v>
      </c>
      <c r="G228" s="151">
        <f t="shared" si="21"/>
        <v>25.55</v>
      </c>
      <c r="H228" s="151">
        <f>(E228*G228)</f>
        <v>204.4</v>
      </c>
      <c r="K228" s="154"/>
    </row>
    <row r="229" spans="1:11" x14ac:dyDescent="0.3">
      <c r="A229" s="147" t="s">
        <v>270</v>
      </c>
      <c r="B229" s="147" t="s">
        <v>271</v>
      </c>
      <c r="C229" s="157" t="s">
        <v>434</v>
      </c>
      <c r="D229" s="147" t="s">
        <v>175</v>
      </c>
      <c r="E229" s="150">
        <v>30</v>
      </c>
      <c r="F229" s="151">
        <v>37.61</v>
      </c>
      <c r="G229" s="151">
        <f t="shared" si="21"/>
        <v>46.92</v>
      </c>
      <c r="H229" s="151">
        <f>(E229*G229)</f>
        <v>1407.6000000000001</v>
      </c>
    </row>
    <row r="230" spans="1:11" ht="21" thickBot="1" x14ac:dyDescent="0.35">
      <c r="A230" s="166" t="s">
        <v>272</v>
      </c>
      <c r="B230" s="148">
        <v>2025</v>
      </c>
      <c r="C230" s="160" t="s">
        <v>273</v>
      </c>
      <c r="D230" s="161" t="s">
        <v>274</v>
      </c>
      <c r="E230" s="150">
        <v>1</v>
      </c>
      <c r="F230" s="162">
        <v>103.03</v>
      </c>
      <c r="G230" s="151">
        <f t="shared" si="21"/>
        <v>128.56</v>
      </c>
      <c r="H230" s="151">
        <f>(E230*G230)</f>
        <v>128.56</v>
      </c>
    </row>
    <row r="231" spans="1:11" ht="21" thickBot="1" x14ac:dyDescent="0.35">
      <c r="G231" s="125"/>
      <c r="H231" s="163">
        <f>TRUNC(SUM(H226:H230),2)</f>
        <v>25311.56</v>
      </c>
    </row>
    <row r="232" spans="1:11" x14ac:dyDescent="0.3">
      <c r="G232" s="125"/>
      <c r="H232" s="164"/>
    </row>
    <row r="234" spans="1:11" x14ac:dyDescent="0.3">
      <c r="C234" s="167" t="s">
        <v>423</v>
      </c>
    </row>
    <row r="235" spans="1:11" x14ac:dyDescent="0.3">
      <c r="C235" s="167" t="s">
        <v>424</v>
      </c>
    </row>
    <row r="236" spans="1:11" x14ac:dyDescent="0.3">
      <c r="C236" s="167" t="s">
        <v>425</v>
      </c>
    </row>
  </sheetData>
  <mergeCells count="183">
    <mergeCell ref="A213:H213"/>
    <mergeCell ref="A214:B215"/>
    <mergeCell ref="C214:C215"/>
    <mergeCell ref="D214:D215"/>
    <mergeCell ref="E214:E215"/>
    <mergeCell ref="F214:F215"/>
    <mergeCell ref="G214:G215"/>
    <mergeCell ref="H214:H215"/>
    <mergeCell ref="A203:H203"/>
    <mergeCell ref="A204:B205"/>
    <mergeCell ref="C204:C205"/>
    <mergeCell ref="D204:D205"/>
    <mergeCell ref="E204:E205"/>
    <mergeCell ref="F204:F205"/>
    <mergeCell ref="G204:G205"/>
    <mergeCell ref="H204:H205"/>
    <mergeCell ref="A193:H193"/>
    <mergeCell ref="A194:B195"/>
    <mergeCell ref="C194:C195"/>
    <mergeCell ref="D194:D195"/>
    <mergeCell ref="E194:E195"/>
    <mergeCell ref="F194:F195"/>
    <mergeCell ref="G194:G195"/>
    <mergeCell ref="H194:H195"/>
    <mergeCell ref="A183:H183"/>
    <mergeCell ref="A184:B185"/>
    <mergeCell ref="C184:C185"/>
    <mergeCell ref="D184:D185"/>
    <mergeCell ref="E184:E185"/>
    <mergeCell ref="F184:F185"/>
    <mergeCell ref="G184:G185"/>
    <mergeCell ref="H184:H185"/>
    <mergeCell ref="A173:H173"/>
    <mergeCell ref="A174:B175"/>
    <mergeCell ref="C174:C175"/>
    <mergeCell ref="D174:D175"/>
    <mergeCell ref="E174:E175"/>
    <mergeCell ref="F174:F175"/>
    <mergeCell ref="G174:G175"/>
    <mergeCell ref="H174:H175"/>
    <mergeCell ref="A163:H163"/>
    <mergeCell ref="A164:B165"/>
    <mergeCell ref="C164:C165"/>
    <mergeCell ref="D164:D165"/>
    <mergeCell ref="E164:E165"/>
    <mergeCell ref="F164:F165"/>
    <mergeCell ref="G164:G165"/>
    <mergeCell ref="H164:H165"/>
    <mergeCell ref="A153:H153"/>
    <mergeCell ref="A154:B155"/>
    <mergeCell ref="C154:C155"/>
    <mergeCell ref="D154:D155"/>
    <mergeCell ref="E154:E155"/>
    <mergeCell ref="F154:F155"/>
    <mergeCell ref="G154:G155"/>
    <mergeCell ref="H154:H155"/>
    <mergeCell ref="A143:H143"/>
    <mergeCell ref="A144:B145"/>
    <mergeCell ref="C144:C145"/>
    <mergeCell ref="D144:D145"/>
    <mergeCell ref="E144:E145"/>
    <mergeCell ref="F144:F145"/>
    <mergeCell ref="G144:G145"/>
    <mergeCell ref="H144:H145"/>
    <mergeCell ref="A133:H133"/>
    <mergeCell ref="A134:B135"/>
    <mergeCell ref="C134:C135"/>
    <mergeCell ref="D134:D135"/>
    <mergeCell ref="E134:E135"/>
    <mergeCell ref="F134:F135"/>
    <mergeCell ref="G134:G135"/>
    <mergeCell ref="H134:H135"/>
    <mergeCell ref="A123:H123"/>
    <mergeCell ref="A124:B125"/>
    <mergeCell ref="C124:C125"/>
    <mergeCell ref="D124:D125"/>
    <mergeCell ref="E124:E125"/>
    <mergeCell ref="F124:F125"/>
    <mergeCell ref="G124:G125"/>
    <mergeCell ref="H124:H125"/>
    <mergeCell ref="A114:B115"/>
    <mergeCell ref="C114:C115"/>
    <mergeCell ref="D114:D115"/>
    <mergeCell ref="E114:E115"/>
    <mergeCell ref="F114:F115"/>
    <mergeCell ref="G114:G115"/>
    <mergeCell ref="H114:H115"/>
    <mergeCell ref="A84:B85"/>
    <mergeCell ref="C84:C85"/>
    <mergeCell ref="D84:D85"/>
    <mergeCell ref="E84:E85"/>
    <mergeCell ref="F84:F85"/>
    <mergeCell ref="G84:G85"/>
    <mergeCell ref="H84:H85"/>
    <mergeCell ref="A103:H103"/>
    <mergeCell ref="A104:B105"/>
    <mergeCell ref="C104:C105"/>
    <mergeCell ref="D104:D105"/>
    <mergeCell ref="E104:E105"/>
    <mergeCell ref="F104:F105"/>
    <mergeCell ref="G104:G105"/>
    <mergeCell ref="H104:H105"/>
    <mergeCell ref="A93:H93"/>
    <mergeCell ref="A94:B95"/>
    <mergeCell ref="C94:C95"/>
    <mergeCell ref="D94:D95"/>
    <mergeCell ref="E94:E95"/>
    <mergeCell ref="F94:F95"/>
    <mergeCell ref="G94:G95"/>
    <mergeCell ref="H94:H95"/>
    <mergeCell ref="A83:H83"/>
    <mergeCell ref="A113:H113"/>
    <mergeCell ref="A73:H73"/>
    <mergeCell ref="A74:B75"/>
    <mergeCell ref="C74:C75"/>
    <mergeCell ref="D74:D75"/>
    <mergeCell ref="E74:E75"/>
    <mergeCell ref="F74:F75"/>
    <mergeCell ref="G74:G75"/>
    <mergeCell ref="H74:H75"/>
    <mergeCell ref="A63:H63"/>
    <mergeCell ref="A64:B65"/>
    <mergeCell ref="C64:C65"/>
    <mergeCell ref="D64:D65"/>
    <mergeCell ref="E64:E65"/>
    <mergeCell ref="F64:F65"/>
    <mergeCell ref="G64:G65"/>
    <mergeCell ref="H64:H65"/>
    <mergeCell ref="A53:H53"/>
    <mergeCell ref="A54:B55"/>
    <mergeCell ref="C54:C55"/>
    <mergeCell ref="D54:D55"/>
    <mergeCell ref="E54:E55"/>
    <mergeCell ref="F54:F55"/>
    <mergeCell ref="G54:G55"/>
    <mergeCell ref="H54:H55"/>
    <mergeCell ref="A43:H43"/>
    <mergeCell ref="A44:B45"/>
    <mergeCell ref="C44:C45"/>
    <mergeCell ref="D44:D45"/>
    <mergeCell ref="E44:E45"/>
    <mergeCell ref="F44:F45"/>
    <mergeCell ref="G44:G45"/>
    <mergeCell ref="H44:H45"/>
    <mergeCell ref="A2:H2"/>
    <mergeCell ref="A3:H3"/>
    <mergeCell ref="A4:H4"/>
    <mergeCell ref="A5:H5"/>
    <mergeCell ref="B10:C10"/>
    <mergeCell ref="B11:H11"/>
    <mergeCell ref="A6:H6"/>
    <mergeCell ref="A23:H23"/>
    <mergeCell ref="A24:B25"/>
    <mergeCell ref="C24:C25"/>
    <mergeCell ref="D24:D25"/>
    <mergeCell ref="E24:E25"/>
    <mergeCell ref="F24:F25"/>
    <mergeCell ref="G24:G25"/>
    <mergeCell ref="H24:H25"/>
    <mergeCell ref="A223:H223"/>
    <mergeCell ref="A224:B225"/>
    <mergeCell ref="C224:C225"/>
    <mergeCell ref="D224:D225"/>
    <mergeCell ref="E224:E225"/>
    <mergeCell ref="F224:F225"/>
    <mergeCell ref="G224:G225"/>
    <mergeCell ref="H224:H225"/>
    <mergeCell ref="A13:H13"/>
    <mergeCell ref="A14:B15"/>
    <mergeCell ref="C14:C15"/>
    <mergeCell ref="D14:D15"/>
    <mergeCell ref="E14:E15"/>
    <mergeCell ref="F14:F15"/>
    <mergeCell ref="G14:G15"/>
    <mergeCell ref="H14:H15"/>
    <mergeCell ref="A33:H33"/>
    <mergeCell ref="A34:B35"/>
    <mergeCell ref="C34:C35"/>
    <mergeCell ref="D34:D35"/>
    <mergeCell ref="E34:E35"/>
    <mergeCell ref="F34:F35"/>
    <mergeCell ref="G34:G35"/>
    <mergeCell ref="H34:H35"/>
  </mergeCells>
  <phoneticPr fontId="51" type="noConversion"/>
  <pageMargins left="0.7" right="0.7" top="0.75" bottom="0.75" header="0.3" footer="0.3"/>
  <pageSetup paperSize="9" scale="45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33"/>
  <sheetViews>
    <sheetView topLeftCell="A13" workbookViewId="0">
      <selection activeCell="E18" sqref="E18"/>
    </sheetView>
  </sheetViews>
  <sheetFormatPr defaultRowHeight="15" x14ac:dyDescent="0.25"/>
  <cols>
    <col min="1" max="1" width="9" style="65" customWidth="1"/>
    <col min="2" max="2" width="10.5703125" style="65" customWidth="1"/>
    <col min="3" max="3" width="6.28515625" style="65" customWidth="1"/>
    <col min="4" max="4" width="57.28515625" style="43" customWidth="1"/>
    <col min="5" max="5" width="11.140625" style="47" bestFit="1" customWidth="1"/>
    <col min="6" max="6" width="13.140625" style="48" customWidth="1"/>
    <col min="7" max="7" width="11.5703125" style="100" customWidth="1"/>
    <col min="8" max="8" width="15.140625" style="43" bestFit="1" customWidth="1"/>
    <col min="9" max="9" width="8" style="85" bestFit="1" customWidth="1"/>
    <col min="10" max="10" width="14.140625" style="86" bestFit="1" customWidth="1"/>
    <col min="11" max="11" width="10.7109375" style="44" customWidth="1"/>
    <col min="12" max="12" width="11.28515625" style="42" customWidth="1"/>
    <col min="13" max="13" width="11.5703125" style="40" customWidth="1"/>
    <col min="14" max="14" width="11.28515625" style="40" customWidth="1"/>
    <col min="15" max="16384" width="9.140625" style="40"/>
  </cols>
  <sheetData>
    <row r="1" spans="1:12" customFormat="1" ht="16.5" thickBot="1" x14ac:dyDescent="0.3">
      <c r="A1" s="285" t="s">
        <v>168</v>
      </c>
      <c r="B1" s="286"/>
      <c r="C1" s="286"/>
      <c r="D1" s="286"/>
      <c r="E1" s="286"/>
      <c r="F1" s="286"/>
      <c r="G1" s="286"/>
      <c r="H1" s="287"/>
      <c r="I1" s="87"/>
      <c r="J1" s="88"/>
      <c r="K1" s="2"/>
      <c r="L1" s="1"/>
    </row>
    <row r="2" spans="1:12" s="27" customFormat="1" ht="15.75" thickBot="1" x14ac:dyDescent="0.3">
      <c r="A2" s="31" t="s">
        <v>0</v>
      </c>
      <c r="B2" s="32"/>
      <c r="C2" s="442" t="str">
        <f>IF(Identificação!B2=0,"",Identificação!B2)</f>
        <v>Concorrência Lei 14.133/21 Eletrônica</v>
      </c>
      <c r="D2" s="442"/>
      <c r="E2" s="28" t="s">
        <v>132</v>
      </c>
      <c r="F2" s="29" t="str">
        <f>IF(Identificação!E2=0,"",Identificação!E2)</f>
        <v/>
      </c>
      <c r="G2" s="28" t="s">
        <v>133</v>
      </c>
      <c r="H2" s="30">
        <f>IF(Identificação!G2=0,"",Identificação!G2)</f>
        <v>2026</v>
      </c>
      <c r="I2" s="89"/>
      <c r="J2" s="89"/>
      <c r="K2" s="2"/>
    </row>
    <row r="3" spans="1:12" s="27" customFormat="1" ht="30.75" customHeight="1" thickBot="1" x14ac:dyDescent="0.3">
      <c r="A3" s="294" t="s">
        <v>134</v>
      </c>
      <c r="B3" s="295"/>
      <c r="C3" s="296" t="str">
        <f>IF(Identificação!B3=0,"",Identificação!B3)</f>
        <v>Registro de preços para futura e eventual contratação de projetos de arquitetura/engenharia</v>
      </c>
      <c r="D3" s="296"/>
      <c r="E3" s="296"/>
      <c r="F3" s="296"/>
      <c r="G3" s="296"/>
      <c r="H3" s="297"/>
      <c r="I3" s="89"/>
      <c r="J3" s="89"/>
    </row>
    <row r="4" spans="1:12" s="27" customFormat="1" ht="15.75" thickBot="1" x14ac:dyDescent="0.3">
      <c r="A4" s="18" t="s">
        <v>200</v>
      </c>
      <c r="B4" s="26"/>
      <c r="C4" s="273"/>
      <c r="D4" s="273"/>
      <c r="E4" s="273"/>
      <c r="F4" s="273"/>
      <c r="G4" s="22" t="s">
        <v>181</v>
      </c>
      <c r="H4" s="74"/>
      <c r="I4" s="89"/>
      <c r="J4" s="89"/>
    </row>
    <row r="5" spans="1:12" s="27" customFormat="1" ht="15.75" thickBot="1" x14ac:dyDescent="0.3">
      <c r="A5" s="15" t="s">
        <v>150</v>
      </c>
      <c r="B5" s="22"/>
      <c r="C5" s="443" t="str">
        <f>IF(Identificação!B5=0,"",Identificação!B5)</f>
        <v>Obras e Serviços de Engenharia</v>
      </c>
      <c r="D5" s="444"/>
      <c r="E5" s="25"/>
      <c r="F5" s="19"/>
      <c r="G5" s="20"/>
      <c r="H5" s="21"/>
      <c r="I5" s="89"/>
      <c r="J5" s="89"/>
    </row>
    <row r="6" spans="1:12" s="27" customFormat="1" ht="15.75" thickBot="1" x14ac:dyDescent="0.3">
      <c r="A6" s="12" t="s">
        <v>153</v>
      </c>
      <c r="B6" s="13"/>
      <c r="C6" s="440">
        <f>SUMIFS(H12:H39946,B12:B39946,"&gt;0",H12:H39946,"&lt;&gt;0")</f>
        <v>0</v>
      </c>
      <c r="D6" s="441"/>
      <c r="E6" s="5"/>
      <c r="F6" s="5"/>
      <c r="G6" s="6"/>
      <c r="I6" s="89"/>
      <c r="J6" s="89"/>
    </row>
    <row r="7" spans="1:12" s="27" customFormat="1" x14ac:dyDescent="0.25">
      <c r="A7" s="76" t="s">
        <v>202</v>
      </c>
      <c r="B7" s="16"/>
      <c r="C7" s="16"/>
      <c r="D7" s="17"/>
      <c r="E7" s="17"/>
      <c r="F7" s="5"/>
      <c r="G7" s="5"/>
      <c r="H7" s="6"/>
      <c r="I7" s="89"/>
      <c r="J7" s="89"/>
    </row>
    <row r="8" spans="1:12" s="11" customFormat="1" x14ac:dyDescent="0.25">
      <c r="A8" s="19" t="s">
        <v>205</v>
      </c>
      <c r="B8" s="76"/>
      <c r="C8" s="76"/>
      <c r="D8" s="17"/>
      <c r="E8" s="17"/>
      <c r="F8" s="77"/>
      <c r="G8" s="77"/>
      <c r="H8" s="6"/>
      <c r="I8" s="90"/>
      <c r="J8" s="90"/>
    </row>
    <row r="9" spans="1:12" s="11" customFormat="1" x14ac:dyDescent="0.25">
      <c r="A9" s="7" t="s">
        <v>135</v>
      </c>
      <c r="B9" s="7"/>
      <c r="C9" s="8"/>
      <c r="D9" s="9"/>
      <c r="E9" s="14"/>
      <c r="F9" s="24" t="s">
        <v>155</v>
      </c>
      <c r="G9" s="10"/>
      <c r="H9" s="10"/>
      <c r="I9" s="90"/>
      <c r="J9" s="90"/>
      <c r="K9" s="27"/>
    </row>
    <row r="10" spans="1:12" customFormat="1" x14ac:dyDescent="0.25">
      <c r="A10" s="277" t="s">
        <v>182</v>
      </c>
      <c r="B10" s="277" t="s">
        <v>183</v>
      </c>
      <c r="C10" s="277" t="s">
        <v>166</v>
      </c>
      <c r="D10" s="281" t="s">
        <v>184</v>
      </c>
      <c r="E10" s="438" t="s">
        <v>152</v>
      </c>
      <c r="F10" s="439"/>
      <c r="G10" s="439"/>
      <c r="H10" s="439"/>
      <c r="I10" s="439"/>
      <c r="J10" s="439"/>
      <c r="K10" s="439"/>
    </row>
    <row r="11" spans="1:12" customFormat="1" ht="45" x14ac:dyDescent="0.25">
      <c r="A11" s="278"/>
      <c r="B11" s="278"/>
      <c r="C11" s="278"/>
      <c r="D11" s="282"/>
      <c r="E11" s="52" t="s">
        <v>185</v>
      </c>
      <c r="F11" s="23" t="s">
        <v>186</v>
      </c>
      <c r="G11" s="3" t="s">
        <v>140</v>
      </c>
      <c r="H11" s="3" t="s">
        <v>141</v>
      </c>
      <c r="I11" s="91" t="s">
        <v>147</v>
      </c>
      <c r="J11" s="91" t="s">
        <v>148</v>
      </c>
      <c r="K11" s="4" t="s">
        <v>162</v>
      </c>
    </row>
    <row r="12" spans="1:12" customFormat="1" ht="45" x14ac:dyDescent="0.25">
      <c r="A12" s="64">
        <f>IF('Orçamento-base'!A12&gt;0,'Orçamento-base'!A12,"")</f>
        <v>1</v>
      </c>
      <c r="B12" s="96">
        <f>'Orçamento-base'!B12</f>
        <v>1</v>
      </c>
      <c r="C12" s="64">
        <f>IF('Orçamento-base'!C12&gt;0,'Orçamento-base'!C12,"")</f>
        <v>1</v>
      </c>
      <c r="D12" s="233" t="str">
        <f>IF('Orçamento-base'!G12&gt;0,'Orçamento-base'!G12,"")</f>
        <v>Serviço de elaboração de projeto executivo de obra de pavimentação asfáltica, incluindo drenagem e sinalização viária – Vias de até 1km</v>
      </c>
      <c r="E12" s="101">
        <f>IF('Orçamento-base'!H12&gt;0,'Orçamento-base'!H12,"")</f>
        <v>2</v>
      </c>
      <c r="F12" s="53" t="str">
        <f>IF('Orçamento-base'!I12&gt;0,'Orçamento-base'!I12,"")</f>
        <v>un</v>
      </c>
      <c r="G12" s="99"/>
      <c r="H12" s="53" t="str">
        <f>IFERROR(IF(E12*G12&lt;&gt;0,ROUND(ROUND(E12,4)*ROUND(G12,4),2),""),"")</f>
        <v/>
      </c>
      <c r="I12" s="84"/>
      <c r="J12" s="84"/>
      <c r="K12" s="46"/>
    </row>
    <row r="13" spans="1:12" ht="45" x14ac:dyDescent="0.25">
      <c r="A13" s="64">
        <f>IF('Orçamento-base'!A13&gt;0,'Orçamento-base'!A13,"")</f>
        <v>1</v>
      </c>
      <c r="B13" s="96">
        <f>'Orçamento-base'!B13</f>
        <v>2</v>
      </c>
      <c r="C13" s="64">
        <f>IF('Orçamento-base'!C13&gt;0,'Orçamento-base'!C13,"")</f>
        <v>2</v>
      </c>
      <c r="D13" s="233" t="str">
        <f>IF('Orçamento-base'!G13&gt;0,'Orçamento-base'!G13,"")</f>
        <v>Serviço de elaboração de projeto executivo de obra de pavimentação asfáltica, incluindo drenagem e sinalização viária – Vias entre 1 e 4km</v>
      </c>
      <c r="E13" s="101">
        <f>IF('Orçamento-base'!H13&gt;0,'Orçamento-base'!H13,"")</f>
        <v>8</v>
      </c>
      <c r="F13" s="53" t="str">
        <f>IF('Orçamento-base'!I13&gt;0,'Orçamento-base'!I13,"")</f>
        <v>un</v>
      </c>
      <c r="G13" s="99"/>
      <c r="H13" s="53" t="str">
        <f>IFERROR(IF(E13*G13&lt;&gt;0,ROUND(ROUND(E13,4)*ROUND(G13,4),2),""),"")</f>
        <v/>
      </c>
      <c r="I13" s="84"/>
      <c r="J13" s="84"/>
      <c r="K13" s="46"/>
      <c r="L13" s="40"/>
    </row>
    <row r="14" spans="1:12" ht="30" x14ac:dyDescent="0.25">
      <c r="A14" s="96">
        <f>IF('Orçamento-base'!A14&gt;0,'Orçamento-base'!A14,"")</f>
        <v>2</v>
      </c>
      <c r="B14" s="96">
        <f>'Orçamento-base'!B14</f>
        <v>3</v>
      </c>
      <c r="C14" s="96">
        <f>IF('Orçamento-base'!C14&gt;0,'Orçamento-base'!C14,"")</f>
        <v>1</v>
      </c>
      <c r="D14" s="234" t="str">
        <f>IF('Orçamento-base'!G14&gt;0,'Orçamento-base'!G14,"")</f>
        <v>Serviço de elaboração de projeto executivo de PPCI ou PrPCI para edificações de até 2.000m²</v>
      </c>
      <c r="E14" s="184">
        <f>IF('Orçamento-base'!H14&gt;0,'Orçamento-base'!H14,"")</f>
        <v>6</v>
      </c>
      <c r="F14" s="92" t="str">
        <f>IF('Orçamento-base'!I14&gt;0,'Orçamento-base'!I14,"")</f>
        <v>un</v>
      </c>
      <c r="G14" s="99"/>
      <c r="H14" s="92" t="str">
        <f t="shared" ref="H14:H21" si="0">IFERROR(IF(E14*G14&lt;&gt;0,ROUND(ROUND(E14,4)*ROUND(G14,4),2),""),"")</f>
        <v/>
      </c>
      <c r="I14" s="84"/>
      <c r="J14" s="84"/>
      <c r="K14" s="46"/>
    </row>
    <row r="15" spans="1:12" ht="30" x14ac:dyDescent="0.25">
      <c r="A15" s="96">
        <f>IF('Orçamento-base'!A15&gt;0,'Orçamento-base'!A15,"")</f>
        <v>2</v>
      </c>
      <c r="B15" s="96">
        <f>'Orçamento-base'!B15</f>
        <v>4</v>
      </c>
      <c r="C15" s="96">
        <f>IF('Orçamento-base'!C15&gt;0,'Orçamento-base'!C15,"")</f>
        <v>2</v>
      </c>
      <c r="D15" s="234" t="str">
        <f>IF('Orçamento-base'!G15&gt;0,'Orçamento-base'!G15,"")</f>
        <v>Serviço de elaboração de projeto executivo de PPCI ou PrPCI para edificações de até 5.000m²</v>
      </c>
      <c r="E15" s="184">
        <f>IF('Orçamento-base'!H15&gt;0,'Orçamento-base'!H15,"")</f>
        <v>12</v>
      </c>
      <c r="F15" s="92" t="str">
        <f>IF('Orçamento-base'!I15&gt;0,'Orçamento-base'!I15,"")</f>
        <v>un</v>
      </c>
      <c r="G15" s="99"/>
      <c r="H15" s="92" t="str">
        <f t="shared" si="0"/>
        <v/>
      </c>
      <c r="I15" s="84"/>
      <c r="J15" s="84"/>
      <c r="K15" s="46"/>
    </row>
    <row r="16" spans="1:12" ht="30" x14ac:dyDescent="0.25">
      <c r="A16" s="96">
        <f>IF('Orçamento-base'!A16&gt;0,'Orçamento-base'!A16,"")</f>
        <v>3</v>
      </c>
      <c r="B16" s="96">
        <f>'Orçamento-base'!B16</f>
        <v>5</v>
      </c>
      <c r="C16" s="96">
        <f>IF('Orçamento-base'!C16&gt;0,'Orçamento-base'!C16,"")</f>
        <v>1</v>
      </c>
      <c r="D16" s="234" t="str">
        <f>IF('Orçamento-base'!G16&gt;0,'Orçamento-base'!G16,"")</f>
        <v>Serviço de elaboração de projeto executivo de instalações elétricas em edificações de até 500m²</v>
      </c>
      <c r="E16" s="184">
        <f>IF('Orçamento-base'!H16&gt;0,'Orçamento-base'!H16,"")</f>
        <v>4</v>
      </c>
      <c r="F16" s="92" t="str">
        <f>IF('Orçamento-base'!I16&gt;0,'Orçamento-base'!I16,"")</f>
        <v>un</v>
      </c>
      <c r="G16" s="99"/>
      <c r="H16" s="92" t="str">
        <f t="shared" si="0"/>
        <v/>
      </c>
      <c r="I16" s="84"/>
      <c r="J16" s="84"/>
      <c r="K16" s="46"/>
    </row>
    <row r="17" spans="1:11" ht="30" x14ac:dyDescent="0.25">
      <c r="A17" s="96">
        <f>IF('Orçamento-base'!A17&gt;0,'Orçamento-base'!A17,"")</f>
        <v>3</v>
      </c>
      <c r="B17" s="96">
        <f>'Orçamento-base'!B17</f>
        <v>6</v>
      </c>
      <c r="C17" s="96">
        <f>IF('Orçamento-base'!C17&gt;0,'Orçamento-base'!C17,"")</f>
        <v>2</v>
      </c>
      <c r="D17" s="234" t="str">
        <f>IF('Orçamento-base'!G17&gt;0,'Orçamento-base'!G17,"")</f>
        <v>Serviço de elaboração de projeto executivo de instalações elétricas em edificações de até 1500m²</v>
      </c>
      <c r="E17" s="184">
        <f>IF('Orçamento-base'!H17&gt;0,'Orçamento-base'!H17,"")</f>
        <v>4</v>
      </c>
      <c r="F17" s="92" t="str">
        <f>IF('Orçamento-base'!I17&gt;0,'Orçamento-base'!I17,"")</f>
        <v>un</v>
      </c>
      <c r="G17" s="99"/>
      <c r="H17" s="92" t="str">
        <f t="shared" si="0"/>
        <v/>
      </c>
      <c r="I17" s="84"/>
      <c r="J17" s="84"/>
      <c r="K17" s="46"/>
    </row>
    <row r="18" spans="1:11" ht="30" x14ac:dyDescent="0.25">
      <c r="A18" s="96">
        <f>IF('Orçamento-base'!A18&gt;0,'Orçamento-base'!A18,"")</f>
        <v>3</v>
      </c>
      <c r="B18" s="96">
        <f>'Orçamento-base'!B18</f>
        <v>7</v>
      </c>
      <c r="C18" s="96">
        <f>IF('Orçamento-base'!C18&gt;0,'Orçamento-base'!C18,"")</f>
        <v>1</v>
      </c>
      <c r="D18" s="234" t="str">
        <f>IF('Orçamento-base'!G18&gt;0,'Orçamento-base'!G18,"")</f>
        <v>Serviço de elaboração de projeto executivo de instalações elétricas em edificações de até 3000m²</v>
      </c>
      <c r="E18" s="184">
        <f>IF('Orçamento-base'!H18&gt;0,'Orçamento-base'!H18,"")</f>
        <v>4</v>
      </c>
      <c r="F18" s="92" t="str">
        <f>IF('Orçamento-base'!I18&gt;0,'Orçamento-base'!I18,"")</f>
        <v>un</v>
      </c>
      <c r="G18" s="99"/>
      <c r="H18" s="92" t="str">
        <f t="shared" si="0"/>
        <v/>
      </c>
      <c r="I18" s="84"/>
      <c r="J18" s="84"/>
      <c r="K18" s="46"/>
    </row>
    <row r="19" spans="1:11" ht="30" x14ac:dyDescent="0.25">
      <c r="A19" s="96">
        <f>IF('Orçamento-base'!A19&gt;0,'Orçamento-base'!A19,"")</f>
        <v>4</v>
      </c>
      <c r="B19" s="96">
        <f>'Orçamento-base'!B19</f>
        <v>8</v>
      </c>
      <c r="C19" s="96">
        <f>IF('Orçamento-base'!C19&gt;0,'Orçamento-base'!C19,"")</f>
        <v>2</v>
      </c>
      <c r="D19" s="234" t="str">
        <f>IF('Orçamento-base'!G19&gt;0,'Orçamento-base'!G19,"")</f>
        <v>Serviço de elaboração de projeto executivo de iluminação pública em vias de até 1,5Km</v>
      </c>
      <c r="E19" s="184">
        <f>IF('Orçamento-base'!H19&gt;0,'Orçamento-base'!H19,"")</f>
        <v>3</v>
      </c>
      <c r="F19" s="92" t="str">
        <f>IF('Orçamento-base'!I19&gt;0,'Orçamento-base'!I19,"")</f>
        <v>un</v>
      </c>
      <c r="G19" s="99"/>
      <c r="H19" s="92" t="str">
        <f t="shared" si="0"/>
        <v/>
      </c>
      <c r="I19" s="84"/>
      <c r="J19" s="84"/>
      <c r="K19" s="46"/>
    </row>
    <row r="20" spans="1:11" ht="30" x14ac:dyDescent="0.25">
      <c r="A20" s="96">
        <f>IF('Orçamento-base'!A20&gt;0,'Orçamento-base'!A20,"")</f>
        <v>4</v>
      </c>
      <c r="B20" s="96">
        <f>'Orçamento-base'!B20</f>
        <v>9</v>
      </c>
      <c r="C20" s="96">
        <f>IF('Orçamento-base'!C20&gt;0,'Orçamento-base'!C20,"")</f>
        <v>3</v>
      </c>
      <c r="D20" s="234" t="str">
        <f>IF('Orçamento-base'!G20&gt;0,'Orçamento-base'!G20,"")</f>
        <v>Serviço de elaboração de projeto executivo de iluminação pública em vias de até 3Km</v>
      </c>
      <c r="E20" s="184">
        <f>IF('Orçamento-base'!H20&gt;0,'Orçamento-base'!H20,"")</f>
        <v>2</v>
      </c>
      <c r="F20" s="92" t="str">
        <f>IF('Orçamento-base'!I20&gt;0,'Orçamento-base'!I20,"")</f>
        <v>un</v>
      </c>
      <c r="G20" s="99"/>
      <c r="H20" s="92" t="str">
        <f t="shared" si="0"/>
        <v/>
      </c>
      <c r="I20" s="84"/>
      <c r="J20" s="84"/>
      <c r="K20" s="46"/>
    </row>
    <row r="21" spans="1:11" ht="30" x14ac:dyDescent="0.25">
      <c r="A21" s="96">
        <f>IF('Orçamento-base'!A21&gt;0,'Orçamento-base'!A21,"")</f>
        <v>5</v>
      </c>
      <c r="B21" s="96">
        <f>'Orçamento-base'!B21</f>
        <v>10</v>
      </c>
      <c r="C21" s="96">
        <f>IF('Orçamento-base'!C21&gt;0,'Orçamento-base'!C21,"")</f>
        <v>1</v>
      </c>
      <c r="D21" s="234" t="str">
        <f>IF('Orçamento-base'!G21&gt;0,'Orçamento-base'!G21,"")</f>
        <v>Serviço de elaboração de projeto executivo de obra de reforma de edificações de até 500m²</v>
      </c>
      <c r="E21" s="184">
        <f>IF('Orçamento-base'!H21&gt;0,'Orçamento-base'!H21,"")</f>
        <v>3</v>
      </c>
      <c r="F21" s="92" t="str">
        <f>IF('Orçamento-base'!I21&gt;0,'Orçamento-base'!I21,"")</f>
        <v>un</v>
      </c>
      <c r="G21" s="99"/>
      <c r="H21" s="92" t="str">
        <f t="shared" si="0"/>
        <v/>
      </c>
      <c r="I21" s="84"/>
      <c r="J21" s="84"/>
      <c r="K21" s="46"/>
    </row>
    <row r="22" spans="1:11" ht="30" x14ac:dyDescent="0.25">
      <c r="A22" s="96">
        <f>IF('Orçamento-base'!A22&gt;0,'Orçamento-base'!A22,"")</f>
        <v>5</v>
      </c>
      <c r="B22" s="96">
        <f>'Orçamento-base'!B22</f>
        <v>11</v>
      </c>
      <c r="C22" s="96">
        <f>IF('Orçamento-base'!C22&gt;0,'Orçamento-base'!C22,"")</f>
        <v>2</v>
      </c>
      <c r="D22" s="234" t="str">
        <f>IF('Orçamento-base'!G22&gt;0,'Orçamento-base'!G22,"")</f>
        <v>Serviço de elaboração de projeto executivo de obra de reforma de edificações de até 1.200m²</v>
      </c>
      <c r="E22" s="184">
        <f>IF('Orçamento-base'!H22&gt;0,'Orçamento-base'!H22,"")</f>
        <v>3</v>
      </c>
      <c r="F22" s="92" t="str">
        <f>IF('Orçamento-base'!I22&gt;0,'Orçamento-base'!I22,"")</f>
        <v>un</v>
      </c>
      <c r="G22" s="99"/>
      <c r="H22" s="92" t="str">
        <f>IFERROR(IF(E22*G22&lt;&gt;0,ROUND(ROUND(E22,4)*ROUND(G22,4),2),""),"")</f>
        <v/>
      </c>
      <c r="I22" s="84"/>
      <c r="J22" s="84"/>
      <c r="K22" s="46"/>
    </row>
    <row r="23" spans="1:11" ht="30" x14ac:dyDescent="0.25">
      <c r="A23" s="96">
        <f>IF('Orçamento-base'!A23&gt;0,'Orçamento-base'!A23,"")</f>
        <v>5</v>
      </c>
      <c r="B23" s="96">
        <f>'Orçamento-base'!B23</f>
        <v>12</v>
      </c>
      <c r="C23" s="96">
        <f>IF('Orçamento-base'!C23&gt;0,'Orçamento-base'!C23,"")</f>
        <v>3</v>
      </c>
      <c r="D23" s="234" t="str">
        <f>IF('Orçamento-base'!G23&gt;0,'Orçamento-base'!G23,"")</f>
        <v>Serviço de elaboração de projeto executivo de obra de reforma de edificações de até 2.500m²</v>
      </c>
      <c r="E23" s="184">
        <f>IF('Orçamento-base'!H23&gt;0,'Orçamento-base'!H23,"")</f>
        <v>3</v>
      </c>
      <c r="F23" s="92" t="str">
        <f>IF('Orçamento-base'!I23&gt;0,'Orçamento-base'!I23,"")</f>
        <v>un</v>
      </c>
      <c r="G23" s="99"/>
      <c r="H23" s="92" t="str">
        <f t="shared" ref="H23:H30" si="1">IFERROR(IF(E23*G23&lt;&gt;0,ROUND(ROUND(E23,4)*ROUND(G23,4),2),""),"")</f>
        <v/>
      </c>
      <c r="I23" s="84"/>
      <c r="J23" s="84"/>
      <c r="K23" s="46"/>
    </row>
    <row r="24" spans="1:11" ht="30" x14ac:dyDescent="0.25">
      <c r="A24" s="96">
        <f>IF('Orçamento-base'!A24&gt;0,'Orçamento-base'!A24,"")</f>
        <v>5</v>
      </c>
      <c r="B24" s="96">
        <f>'Orçamento-base'!B24</f>
        <v>13</v>
      </c>
      <c r="C24" s="96">
        <f>IF('Orçamento-base'!C24&gt;0,'Orçamento-base'!C24,"")</f>
        <v>4</v>
      </c>
      <c r="D24" s="234" t="str">
        <f>IF('Orçamento-base'!G24&gt;0,'Orçamento-base'!G24,"")</f>
        <v>Serviço de elaboração de projeto executivo de obra de construção ou ampliação de edificações de até 500m²</v>
      </c>
      <c r="E24" s="184">
        <f>IF('Orçamento-base'!H24&gt;0,'Orçamento-base'!H24,"")</f>
        <v>3</v>
      </c>
      <c r="F24" s="92" t="str">
        <f>IF('Orçamento-base'!I24&gt;0,'Orçamento-base'!I24,"")</f>
        <v>un</v>
      </c>
      <c r="G24" s="99"/>
      <c r="H24" s="92" t="str">
        <f t="shared" si="1"/>
        <v/>
      </c>
      <c r="I24" s="84"/>
      <c r="J24" s="84"/>
      <c r="K24" s="46"/>
    </row>
    <row r="25" spans="1:11" ht="30" x14ac:dyDescent="0.25">
      <c r="A25" s="96">
        <f>IF('Orçamento-base'!A25&gt;0,'Orçamento-base'!A25,"")</f>
        <v>5</v>
      </c>
      <c r="B25" s="96">
        <f>'Orçamento-base'!B25</f>
        <v>14</v>
      </c>
      <c r="C25" s="96">
        <f>IF('Orçamento-base'!C25&gt;0,'Orçamento-base'!C25,"")</f>
        <v>5</v>
      </c>
      <c r="D25" s="234" t="str">
        <f>IF('Orçamento-base'!G25&gt;0,'Orçamento-base'!G25,"")</f>
        <v>Serviço de elaboração de projeto executivo de obra de construção ou ampliação de edificações de até 1200m²</v>
      </c>
      <c r="E25" s="184">
        <f>IF('Orçamento-base'!H25&gt;0,'Orçamento-base'!H25,"")</f>
        <v>3</v>
      </c>
      <c r="F25" s="92" t="str">
        <f>IF('Orçamento-base'!I25&gt;0,'Orçamento-base'!I25,"")</f>
        <v>un</v>
      </c>
      <c r="G25" s="99"/>
      <c r="H25" s="92" t="str">
        <f t="shared" si="1"/>
        <v/>
      </c>
      <c r="I25" s="84"/>
      <c r="J25" s="84"/>
      <c r="K25" s="46"/>
    </row>
    <row r="26" spans="1:11" ht="30" x14ac:dyDescent="0.25">
      <c r="A26" s="96">
        <f>IF('Orçamento-base'!A26&gt;0,'Orçamento-base'!A26,"")</f>
        <v>6</v>
      </c>
      <c r="B26" s="96">
        <f>'Orçamento-base'!B26</f>
        <v>15</v>
      </c>
      <c r="C26" s="96">
        <f>IF('Orçamento-base'!C26&gt;0,'Orçamento-base'!C26,"")</f>
        <v>1</v>
      </c>
      <c r="D26" s="234" t="str">
        <f>IF('Orçamento-base'!G26&gt;0,'Orçamento-base'!G26,"")</f>
        <v>Serviço de elaboração de projeto executivo estrutural de edificação com até 500m²</v>
      </c>
      <c r="E26" s="184">
        <f>IF('Orçamento-base'!H26&gt;0,'Orçamento-base'!H26,"")</f>
        <v>2</v>
      </c>
      <c r="F26" s="92" t="str">
        <f>IF('Orçamento-base'!I26&gt;0,'Orçamento-base'!I26,"")</f>
        <v>un</v>
      </c>
      <c r="G26" s="99"/>
      <c r="H26" s="92" t="str">
        <f t="shared" si="1"/>
        <v/>
      </c>
      <c r="I26" s="84"/>
      <c r="J26" s="84"/>
      <c r="K26" s="46"/>
    </row>
    <row r="27" spans="1:11" ht="30" x14ac:dyDescent="0.25">
      <c r="A27" s="96">
        <f>IF('Orçamento-base'!A27&gt;0,'Orçamento-base'!A27,"")</f>
        <v>6</v>
      </c>
      <c r="B27" s="96">
        <f>'Orçamento-base'!B27</f>
        <v>16</v>
      </c>
      <c r="C27" s="96">
        <f>IF('Orçamento-base'!C27&gt;0,'Orçamento-base'!C27,"")</f>
        <v>2</v>
      </c>
      <c r="D27" s="234" t="str">
        <f>IF('Orçamento-base'!G27&gt;0,'Orçamento-base'!G27,"")</f>
        <v>Serviço de elaboração de projeto executivo estrutural de edificação com até 1500m²</v>
      </c>
      <c r="E27" s="184">
        <f>IF('Orçamento-base'!H27&gt;0,'Orçamento-base'!H27,"")</f>
        <v>2</v>
      </c>
      <c r="F27" s="92" t="str">
        <f>IF('Orçamento-base'!I27&gt;0,'Orçamento-base'!I27,"")</f>
        <v>un</v>
      </c>
      <c r="G27" s="99"/>
      <c r="H27" s="92" t="str">
        <f t="shared" si="1"/>
        <v/>
      </c>
      <c r="I27" s="84"/>
      <c r="J27" s="84"/>
      <c r="K27" s="46"/>
    </row>
    <row r="28" spans="1:11" ht="30" x14ac:dyDescent="0.25">
      <c r="A28" s="96">
        <f>IF('Orçamento-base'!A28&gt;0,'Orçamento-base'!A28,"")</f>
        <v>6</v>
      </c>
      <c r="B28" s="96">
        <f>'Orçamento-base'!B28</f>
        <v>17</v>
      </c>
      <c r="C28" s="96">
        <f>IF('Orçamento-base'!C28&gt;0,'Orçamento-base'!C28,"")</f>
        <v>3</v>
      </c>
      <c r="D28" s="234" t="str">
        <f>IF('Orçamento-base'!G28&gt;0,'Orçamento-base'!G28,"")</f>
        <v>Serviço de elaboração de projeto executivo estrutural de edificação com até 2500m²</v>
      </c>
      <c r="E28" s="184">
        <f>IF('Orçamento-base'!H28&gt;0,'Orçamento-base'!H28,"")</f>
        <v>2</v>
      </c>
      <c r="F28" s="92" t="str">
        <f>IF('Orçamento-base'!I28&gt;0,'Orçamento-base'!I28,"")</f>
        <v>un</v>
      </c>
      <c r="G28" s="99"/>
      <c r="H28" s="92" t="str">
        <f t="shared" si="1"/>
        <v/>
      </c>
      <c r="I28" s="84"/>
      <c r="J28" s="84"/>
      <c r="K28" s="46"/>
    </row>
    <row r="29" spans="1:11" ht="30" x14ac:dyDescent="0.25">
      <c r="A29" s="96">
        <f>IF('Orçamento-base'!A29&gt;0,'Orçamento-base'!A29,"")</f>
        <v>7</v>
      </c>
      <c r="B29" s="96">
        <f>'Orçamento-base'!B29</f>
        <v>18</v>
      </c>
      <c r="C29" s="96">
        <f>IF('Orçamento-base'!C29&gt;0,'Orçamento-base'!C29,"")</f>
        <v>1</v>
      </c>
      <c r="D29" s="234" t="str">
        <f>IF('Orçamento-base'!G29&gt;0,'Orçamento-base'!G29,"")</f>
        <v>Serviço de elaboração de projeto executivo de drenagem de vias até 1Km</v>
      </c>
      <c r="E29" s="184">
        <f>IF('Orçamento-base'!H29&gt;0,'Orçamento-base'!H29,"")</f>
        <v>3</v>
      </c>
      <c r="F29" s="92" t="str">
        <f>IF('Orçamento-base'!I29&gt;0,'Orçamento-base'!I29,"")</f>
        <v>un</v>
      </c>
      <c r="G29" s="99"/>
      <c r="H29" s="92" t="str">
        <f t="shared" si="1"/>
        <v/>
      </c>
      <c r="I29" s="84"/>
      <c r="J29" s="84"/>
      <c r="K29" s="46"/>
    </row>
    <row r="30" spans="1:11" ht="30" x14ac:dyDescent="0.25">
      <c r="A30" s="96">
        <f>IF('Orçamento-base'!A30&gt;0,'Orçamento-base'!A30,"")</f>
        <v>7</v>
      </c>
      <c r="B30" s="96">
        <f>'Orçamento-base'!B30</f>
        <v>19</v>
      </c>
      <c r="C30" s="96">
        <f>IF('Orçamento-base'!C30&gt;0,'Orçamento-base'!C30,"")</f>
        <v>2</v>
      </c>
      <c r="D30" s="234" t="str">
        <f>IF('Orçamento-base'!G30&gt;0,'Orçamento-base'!G30,"")</f>
        <v>Serviço de elaboração de projeto executivo de drenagem de vias entre 1 e 3km</v>
      </c>
      <c r="E30" s="184">
        <f>IF('Orçamento-base'!H30&gt;0,'Orçamento-base'!H30,"")</f>
        <v>3</v>
      </c>
      <c r="F30" s="92" t="str">
        <f>IF('Orçamento-base'!I30&gt;0,'Orçamento-base'!I30,"")</f>
        <v>un</v>
      </c>
      <c r="G30" s="99"/>
      <c r="H30" s="92" t="str">
        <f t="shared" si="1"/>
        <v/>
      </c>
      <c r="I30" s="84"/>
      <c r="J30" s="84"/>
      <c r="K30" s="46"/>
    </row>
    <row r="31" spans="1:11" x14ac:dyDescent="0.25">
      <c r="A31" s="96">
        <f>IF('Orçamento-base'!A31&gt;0,'Orçamento-base'!A31,"")</f>
        <v>8</v>
      </c>
      <c r="B31" s="96">
        <f>'Orçamento-base'!B31</f>
        <v>20</v>
      </c>
      <c r="C31" s="96">
        <f>IF('Orçamento-base'!C31&gt;0,'Orçamento-base'!C31,"")</f>
        <v>1</v>
      </c>
      <c r="D31" s="234" t="str">
        <f>IF('Orçamento-base'!G31&gt;0,'Orçamento-base'!G31,"")</f>
        <v>Elaboração de projeto executivo de abertura de ruas até 2 km</v>
      </c>
      <c r="E31" s="184">
        <f>IF('Orçamento-base'!H31&gt;0,'Orçamento-base'!H31,"")</f>
        <v>2</v>
      </c>
      <c r="F31" s="92" t="str">
        <f>IF('Orçamento-base'!I31&gt;0,'Orçamento-base'!I31,"")</f>
        <v>un</v>
      </c>
      <c r="G31" s="99"/>
      <c r="H31" s="92" t="str">
        <f>IFERROR(IF(E31*G31&lt;&gt;0,ROUND(ROUND(E31,4)*ROUND(G31,4),2),""),"")</f>
        <v/>
      </c>
      <c r="I31" s="84"/>
      <c r="J31" s="84"/>
      <c r="K31" s="46"/>
    </row>
    <row r="32" spans="1:11" x14ac:dyDescent="0.25">
      <c r="A32" s="96">
        <f>IF('Orçamento-base'!A32&gt;0,'Orçamento-base'!A32,"")</f>
        <v>9</v>
      </c>
      <c r="B32" s="96">
        <f>'Orçamento-base'!B32</f>
        <v>21</v>
      </c>
      <c r="C32" s="96">
        <f>IF('Orçamento-base'!C32&gt;0,'Orçamento-base'!C32,"")</f>
        <v>1</v>
      </c>
      <c r="D32" s="234" t="str">
        <f>IF('Orçamento-base'!G32&gt;0,'Orçamento-base'!G32,"")</f>
        <v>Elaboração de estudo de lagoa de detenção e drenagem</v>
      </c>
      <c r="E32" s="184">
        <f>IF('Orçamento-base'!H32&gt;0,'Orçamento-base'!H32,"")</f>
        <v>4</v>
      </c>
      <c r="F32" s="92" t="str">
        <f>IF('Orçamento-base'!I32&gt;0,'Orçamento-base'!I32,"")</f>
        <v>un</v>
      </c>
      <c r="G32" s="99"/>
      <c r="H32" s="92" t="str">
        <f>IFERROR(IF(E32*G32&lt;&gt;0,ROUND(ROUND(E32,4)*ROUND(G32,4),2),""),"")</f>
        <v/>
      </c>
      <c r="I32" s="84"/>
      <c r="J32" s="84"/>
      <c r="K32" s="46"/>
    </row>
    <row r="33" spans="1:11" ht="30" x14ac:dyDescent="0.25">
      <c r="A33" s="96">
        <f>IF('Orçamento-base'!A33&gt;0,'Orçamento-base'!A33,"")</f>
        <v>10</v>
      </c>
      <c r="B33" s="96">
        <f>'Orçamento-base'!B33</f>
        <v>22</v>
      </c>
      <c r="C33" s="96">
        <f>IF('Orçamento-base'!C33&gt;0,'Orçamento-base'!C33,"")</f>
        <v>1</v>
      </c>
      <c r="D33" s="234" t="str">
        <f>IF('Orçamento-base'!G33&gt;0,'Orçamento-base'!G33,"")</f>
        <v>Elaboração de estudo e projeto executivo de lagoa de detenção e drenagem</v>
      </c>
      <c r="E33" s="184">
        <f>IF('Orçamento-base'!H33&gt;0,'Orçamento-base'!H33,"")</f>
        <v>2</v>
      </c>
      <c r="F33" s="92" t="str">
        <f>IF('Orçamento-base'!I33&gt;0,'Orçamento-base'!I33,"")</f>
        <v>un</v>
      </c>
      <c r="G33" s="99"/>
      <c r="H33" s="92" t="str">
        <f>IFERROR(IF(E33*G33&lt;&gt;0,ROUND(ROUND(E33,4)*ROUND(G33,4),2),""),"")</f>
        <v/>
      </c>
      <c r="I33" s="84"/>
      <c r="J33" s="84"/>
      <c r="K33" s="46"/>
    </row>
  </sheetData>
  <sheetProtection password="DEF7" sheet="1" objects="1" scenarios="1" formatCells="0" formatColumns="0" formatRows="0" deleteRows="0"/>
  <mergeCells count="12">
    <mergeCell ref="A1:H1"/>
    <mergeCell ref="C6:D6"/>
    <mergeCell ref="C3:H3"/>
    <mergeCell ref="A3:B3"/>
    <mergeCell ref="C2:D2"/>
    <mergeCell ref="C4:F4"/>
    <mergeCell ref="C5:D5"/>
    <mergeCell ref="A10:A11"/>
    <mergeCell ref="C10:C11"/>
    <mergeCell ref="D10:D11"/>
    <mergeCell ref="E10:K10"/>
    <mergeCell ref="B10:B11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7983A-3766-446B-9272-72FBF49ED22B}">
  <dimension ref="A1:E23"/>
  <sheetViews>
    <sheetView zoomScale="90" zoomScaleNormal="90" workbookViewId="0">
      <selection activeCell="I16" sqref="I16"/>
    </sheetView>
  </sheetViews>
  <sheetFormatPr defaultRowHeight="15" x14ac:dyDescent="0.25"/>
  <cols>
    <col min="2" max="2" width="38.7109375" customWidth="1"/>
    <col min="3" max="3" width="24.85546875" customWidth="1"/>
    <col min="4" max="4" width="7.42578125" customWidth="1"/>
  </cols>
  <sheetData>
    <row r="1" spans="1:5" ht="15.75" thickBot="1" x14ac:dyDescent="0.3">
      <c r="A1" s="445" t="s">
        <v>379</v>
      </c>
      <c r="B1" s="446"/>
      <c r="C1" s="446"/>
      <c r="D1" s="446"/>
      <c r="E1" s="447"/>
    </row>
    <row r="2" spans="1:5" x14ac:dyDescent="0.25">
      <c r="A2" s="211"/>
      <c r="B2" s="231" t="s">
        <v>366</v>
      </c>
      <c r="C2" s="231" t="s">
        <v>385</v>
      </c>
      <c r="D2" s="232" t="s">
        <v>367</v>
      </c>
      <c r="E2" s="212"/>
    </row>
    <row r="3" spans="1:5" ht="33.75" x14ac:dyDescent="0.25">
      <c r="A3" s="213" t="s">
        <v>368</v>
      </c>
      <c r="B3" s="214" t="s">
        <v>420</v>
      </c>
      <c r="C3" s="215" t="s">
        <v>386</v>
      </c>
      <c r="D3" s="215">
        <v>2026</v>
      </c>
      <c r="E3" s="216" t="s">
        <v>369</v>
      </c>
    </row>
    <row r="4" spans="1:5" ht="22.5" x14ac:dyDescent="0.25">
      <c r="A4" s="217" t="s">
        <v>378</v>
      </c>
      <c r="B4" s="218" t="s">
        <v>371</v>
      </c>
      <c r="C4" s="215" t="s">
        <v>387</v>
      </c>
      <c r="D4" s="219">
        <v>2026</v>
      </c>
      <c r="E4" s="220" t="s">
        <v>369</v>
      </c>
    </row>
    <row r="5" spans="1:5" ht="22.5" x14ac:dyDescent="0.25">
      <c r="A5" s="228" t="s">
        <v>370</v>
      </c>
      <c r="B5" s="221" t="s">
        <v>374</v>
      </c>
      <c r="C5" s="215" t="s">
        <v>388</v>
      </c>
      <c r="D5" s="222">
        <v>2026</v>
      </c>
      <c r="E5" s="223" t="s">
        <v>369</v>
      </c>
    </row>
    <row r="6" spans="1:5" ht="23.25" thickBot="1" x14ac:dyDescent="0.3">
      <c r="A6" s="224" t="s">
        <v>372</v>
      </c>
      <c r="B6" s="225" t="s">
        <v>377</v>
      </c>
      <c r="C6" s="230" t="s">
        <v>389</v>
      </c>
      <c r="D6" s="226">
        <v>2026</v>
      </c>
      <c r="E6" s="227" t="s">
        <v>369</v>
      </c>
    </row>
    <row r="7" spans="1:5" ht="15.75" thickBot="1" x14ac:dyDescent="0.3">
      <c r="A7" s="445" t="s">
        <v>380</v>
      </c>
      <c r="B7" s="446"/>
      <c r="C7" s="446"/>
      <c r="D7" s="446"/>
      <c r="E7" s="447"/>
    </row>
    <row r="8" spans="1:5" x14ac:dyDescent="0.25">
      <c r="A8" s="224" t="s">
        <v>373</v>
      </c>
      <c r="B8" s="225" t="s">
        <v>381</v>
      </c>
      <c r="C8" s="230" t="s">
        <v>421</v>
      </c>
      <c r="D8" s="226">
        <v>2026</v>
      </c>
      <c r="E8" s="227" t="s">
        <v>369</v>
      </c>
    </row>
    <row r="9" spans="1:5" ht="24.75" customHeight="1" thickBot="1" x14ac:dyDescent="0.3">
      <c r="A9" s="224" t="s">
        <v>375</v>
      </c>
      <c r="B9" s="225" t="s">
        <v>383</v>
      </c>
      <c r="C9" s="229" t="s">
        <v>422</v>
      </c>
      <c r="D9" s="215">
        <v>2026</v>
      </c>
      <c r="E9" s="227" t="s">
        <v>369</v>
      </c>
    </row>
    <row r="10" spans="1:5" ht="15.75" thickBot="1" x14ac:dyDescent="0.3">
      <c r="A10" s="445" t="s">
        <v>384</v>
      </c>
      <c r="B10" s="446"/>
      <c r="C10" s="446"/>
      <c r="D10" s="446"/>
      <c r="E10" s="447"/>
    </row>
    <row r="11" spans="1:5" ht="22.5" x14ac:dyDescent="0.25">
      <c r="A11" s="224" t="s">
        <v>376</v>
      </c>
      <c r="B11" s="225" t="s">
        <v>390</v>
      </c>
      <c r="C11" s="230" t="s">
        <v>392</v>
      </c>
      <c r="D11" s="215">
        <v>2026</v>
      </c>
      <c r="E11" s="227" t="s">
        <v>369</v>
      </c>
    </row>
    <row r="12" spans="1:5" x14ac:dyDescent="0.25">
      <c r="A12" s="224" t="s">
        <v>391</v>
      </c>
      <c r="B12" s="225" t="s">
        <v>393</v>
      </c>
      <c r="C12" s="230" t="s">
        <v>387</v>
      </c>
      <c r="D12" s="215">
        <v>2026</v>
      </c>
      <c r="E12" s="227" t="s">
        <v>369</v>
      </c>
    </row>
    <row r="13" spans="1:5" ht="22.5" x14ac:dyDescent="0.25">
      <c r="A13" s="224" t="s">
        <v>394</v>
      </c>
      <c r="B13" s="225" t="s">
        <v>395</v>
      </c>
      <c r="C13" s="230" t="s">
        <v>396</v>
      </c>
      <c r="D13" s="215">
        <v>2026</v>
      </c>
      <c r="E13" s="227" t="s">
        <v>369</v>
      </c>
    </row>
    <row r="14" spans="1:5" ht="22.5" x14ac:dyDescent="0.25">
      <c r="A14" s="224" t="s">
        <v>399</v>
      </c>
      <c r="B14" s="225" t="s">
        <v>397</v>
      </c>
      <c r="C14" s="230" t="s">
        <v>398</v>
      </c>
      <c r="D14" s="215">
        <v>2026</v>
      </c>
      <c r="E14" s="227" t="s">
        <v>369</v>
      </c>
    </row>
    <row r="15" spans="1:5" ht="33.75" x14ac:dyDescent="0.25">
      <c r="A15" s="224" t="s">
        <v>400</v>
      </c>
      <c r="B15" s="225" t="s">
        <v>401</v>
      </c>
      <c r="C15" s="230" t="s">
        <v>402</v>
      </c>
      <c r="D15" s="215">
        <v>2026</v>
      </c>
      <c r="E15" s="227" t="s">
        <v>369</v>
      </c>
    </row>
    <row r="16" spans="1:5" ht="34.5" thickBot="1" x14ac:dyDescent="0.3">
      <c r="A16" s="224" t="s">
        <v>406</v>
      </c>
      <c r="B16" s="225" t="s">
        <v>403</v>
      </c>
      <c r="C16" s="230" t="s">
        <v>404</v>
      </c>
      <c r="D16" s="215">
        <v>2026</v>
      </c>
      <c r="E16" s="227" t="s">
        <v>369</v>
      </c>
    </row>
    <row r="17" spans="1:5" ht="15.75" thickBot="1" x14ac:dyDescent="0.3">
      <c r="A17" s="445" t="s">
        <v>405</v>
      </c>
      <c r="B17" s="446"/>
      <c r="C17" s="446"/>
      <c r="D17" s="446"/>
      <c r="E17" s="447"/>
    </row>
    <row r="18" spans="1:5" ht="24.75" customHeight="1" x14ac:dyDescent="0.25">
      <c r="A18" s="224" t="s">
        <v>407</v>
      </c>
      <c r="B18" s="225" t="s">
        <v>408</v>
      </c>
      <c r="C18" s="230" t="s">
        <v>419</v>
      </c>
      <c r="D18" s="215">
        <v>2026</v>
      </c>
      <c r="E18" s="227" t="s">
        <v>369</v>
      </c>
    </row>
    <row r="19" spans="1:5" ht="34.5" thickBot="1" x14ac:dyDescent="0.3">
      <c r="A19" s="224" t="s">
        <v>412</v>
      </c>
      <c r="B19" s="225" t="s">
        <v>409</v>
      </c>
      <c r="C19" s="230" t="s">
        <v>410</v>
      </c>
      <c r="D19" s="215">
        <v>2026</v>
      </c>
      <c r="E19" s="227" t="s">
        <v>369</v>
      </c>
    </row>
    <row r="20" spans="1:5" ht="15.75" thickBot="1" x14ac:dyDescent="0.3">
      <c r="A20" s="445" t="s">
        <v>411</v>
      </c>
      <c r="B20" s="446"/>
      <c r="C20" s="446"/>
      <c r="D20" s="446"/>
      <c r="E20" s="447"/>
    </row>
    <row r="21" spans="1:5" x14ac:dyDescent="0.25">
      <c r="A21" s="224" t="s">
        <v>413</v>
      </c>
      <c r="B21" s="225" t="s">
        <v>418</v>
      </c>
      <c r="C21" s="230" t="s">
        <v>396</v>
      </c>
      <c r="D21" s="215">
        <v>2026</v>
      </c>
      <c r="E21" s="227" t="s">
        <v>369</v>
      </c>
    </row>
    <row r="22" spans="1:5" x14ac:dyDescent="0.25">
      <c r="A22" s="224" t="s">
        <v>414</v>
      </c>
      <c r="B22" s="225" t="s">
        <v>415</v>
      </c>
      <c r="C22" s="230" t="s">
        <v>382</v>
      </c>
      <c r="D22" s="215">
        <v>2026</v>
      </c>
      <c r="E22" s="227" t="s">
        <v>369</v>
      </c>
    </row>
    <row r="23" spans="1:5" x14ac:dyDescent="0.25">
      <c r="A23" s="224" t="s">
        <v>417</v>
      </c>
      <c r="B23" s="225" t="s">
        <v>416</v>
      </c>
      <c r="C23" s="230" t="s">
        <v>382</v>
      </c>
      <c r="D23" s="215">
        <v>2026</v>
      </c>
      <c r="E23" s="227" t="s">
        <v>369</v>
      </c>
    </row>
  </sheetData>
  <mergeCells count="5">
    <mergeCell ref="A1:E1"/>
    <mergeCell ref="A7:E7"/>
    <mergeCell ref="A10:E10"/>
    <mergeCell ref="A17:E17"/>
    <mergeCell ref="A20:E20"/>
  </mergeCells>
  <phoneticPr fontId="51" type="noConversion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B1E88-911F-40E8-AC3F-7B09BA5A1400}">
  <dimension ref="A1:I54"/>
  <sheetViews>
    <sheetView view="pageBreakPreview" zoomScale="110" zoomScaleNormal="100" zoomScaleSheetLayoutView="110" workbookViewId="0">
      <selection activeCell="G16" sqref="G16"/>
    </sheetView>
  </sheetViews>
  <sheetFormatPr defaultRowHeight="15" x14ac:dyDescent="0.25"/>
  <cols>
    <col min="1" max="1" width="6.85546875" customWidth="1"/>
    <col min="2" max="2" width="43.140625" customWidth="1"/>
    <col min="3" max="3" width="10.85546875" customWidth="1"/>
    <col min="4" max="4" width="11" customWidth="1"/>
  </cols>
  <sheetData>
    <row r="1" spans="1:4" ht="18.75" customHeight="1" thickTop="1" x14ac:dyDescent="0.25">
      <c r="A1" s="448" t="s">
        <v>255</v>
      </c>
      <c r="B1" s="449"/>
      <c r="C1" s="449"/>
      <c r="D1" s="450"/>
    </row>
    <row r="2" spans="1:4" ht="15" customHeight="1" x14ac:dyDescent="0.25">
      <c r="A2" s="451" t="s">
        <v>305</v>
      </c>
      <c r="B2" s="452"/>
      <c r="C2" s="452"/>
      <c r="D2" s="453"/>
    </row>
    <row r="3" spans="1:4" ht="16.5" customHeight="1" x14ac:dyDescent="0.25">
      <c r="A3" s="454" t="s">
        <v>364</v>
      </c>
      <c r="B3" s="455"/>
      <c r="C3" s="455"/>
      <c r="D3" s="456"/>
    </row>
    <row r="4" spans="1:4" ht="15" customHeight="1" x14ac:dyDescent="0.25">
      <c r="A4" s="457" t="s">
        <v>365</v>
      </c>
      <c r="B4" s="458"/>
      <c r="C4" s="458"/>
      <c r="D4" s="459"/>
    </row>
    <row r="5" spans="1:4" ht="14.25" customHeight="1" thickBot="1" x14ac:dyDescent="0.3">
      <c r="A5" s="257"/>
      <c r="B5" s="258"/>
      <c r="C5" s="258"/>
      <c r="D5" s="259"/>
    </row>
    <row r="6" spans="1:4" ht="15.75" customHeight="1" thickTop="1" x14ac:dyDescent="0.25">
      <c r="A6" s="475" t="s">
        <v>532</v>
      </c>
      <c r="B6" s="476"/>
      <c r="C6" s="476"/>
      <c r="D6" s="477"/>
    </row>
    <row r="7" spans="1:4" ht="15" customHeight="1" x14ac:dyDescent="0.25">
      <c r="A7" s="478" t="s">
        <v>533</v>
      </c>
      <c r="B7" s="479"/>
      <c r="C7" s="479"/>
      <c r="D7" s="480"/>
    </row>
    <row r="8" spans="1:4" ht="15" customHeight="1" x14ac:dyDescent="0.25">
      <c r="A8" s="478" t="s">
        <v>534</v>
      </c>
      <c r="B8" s="479"/>
      <c r="C8" s="479"/>
      <c r="D8" s="480"/>
    </row>
    <row r="9" spans="1:4" ht="16.5" customHeight="1" x14ac:dyDescent="0.25">
      <c r="A9" s="478" t="s">
        <v>533</v>
      </c>
      <c r="B9" s="479"/>
      <c r="C9" s="479"/>
      <c r="D9" s="480"/>
    </row>
    <row r="10" spans="1:4" ht="14.25" customHeight="1" x14ac:dyDescent="0.25">
      <c r="A10" s="478" t="s">
        <v>535</v>
      </c>
      <c r="B10" s="479"/>
      <c r="C10" s="479"/>
      <c r="D10" s="480"/>
    </row>
    <row r="11" spans="1:4" x14ac:dyDescent="0.25">
      <c r="A11" s="463" t="s">
        <v>444</v>
      </c>
      <c r="B11" s="464"/>
      <c r="C11" s="464"/>
      <c r="D11" s="465"/>
    </row>
    <row r="12" spans="1:4" x14ac:dyDescent="0.25">
      <c r="A12" s="466" t="s">
        <v>536</v>
      </c>
      <c r="B12" s="467"/>
      <c r="C12" s="467"/>
      <c r="D12" s="468"/>
    </row>
    <row r="13" spans="1:4" ht="15" customHeight="1" x14ac:dyDescent="0.25">
      <c r="A13" s="460" t="s">
        <v>445</v>
      </c>
      <c r="B13" s="461"/>
      <c r="C13" s="461"/>
      <c r="D13" s="462"/>
    </row>
    <row r="14" spans="1:4" ht="15" customHeight="1" x14ac:dyDescent="0.25">
      <c r="A14" s="469" t="s">
        <v>446</v>
      </c>
      <c r="B14" s="471" t="s">
        <v>447</v>
      </c>
      <c r="C14" s="473" t="s">
        <v>448</v>
      </c>
      <c r="D14" s="474"/>
    </row>
    <row r="15" spans="1:4" ht="24" x14ac:dyDescent="0.25">
      <c r="A15" s="470"/>
      <c r="B15" s="472"/>
      <c r="C15" s="235" t="s">
        <v>449</v>
      </c>
      <c r="D15" s="235" t="s">
        <v>450</v>
      </c>
    </row>
    <row r="16" spans="1:4" ht="15" customHeight="1" x14ac:dyDescent="0.25">
      <c r="A16" s="460" t="s">
        <v>451</v>
      </c>
      <c r="B16" s="461"/>
      <c r="C16" s="461"/>
      <c r="D16" s="462"/>
    </row>
    <row r="17" spans="1:4" x14ac:dyDescent="0.25">
      <c r="A17" s="236" t="s">
        <v>452</v>
      </c>
      <c r="B17" s="237" t="s">
        <v>453</v>
      </c>
      <c r="C17" s="238">
        <v>0.2</v>
      </c>
      <c r="D17" s="239">
        <v>0.2</v>
      </c>
    </row>
    <row r="18" spans="1:4" x14ac:dyDescent="0.25">
      <c r="A18" s="240" t="s">
        <v>454</v>
      </c>
      <c r="B18" s="241" t="s">
        <v>455</v>
      </c>
      <c r="C18" s="242">
        <v>1.4999999999999999E-2</v>
      </c>
      <c r="D18" s="243">
        <v>1.4999999999999999E-2</v>
      </c>
    </row>
    <row r="19" spans="1:4" x14ac:dyDescent="0.25">
      <c r="A19" s="236" t="s">
        <v>456</v>
      </c>
      <c r="B19" s="237" t="s">
        <v>457</v>
      </c>
      <c r="C19" s="238">
        <v>0.01</v>
      </c>
      <c r="D19" s="239">
        <v>0.01</v>
      </c>
    </row>
    <row r="20" spans="1:4" x14ac:dyDescent="0.25">
      <c r="A20" s="240" t="s">
        <v>458</v>
      </c>
      <c r="B20" s="241" t="s">
        <v>459</v>
      </c>
      <c r="C20" s="242">
        <v>2E-3</v>
      </c>
      <c r="D20" s="243">
        <v>2E-3</v>
      </c>
    </row>
    <row r="21" spans="1:4" x14ac:dyDescent="0.25">
      <c r="A21" s="236" t="s">
        <v>460</v>
      </c>
      <c r="B21" s="237" t="s">
        <v>461</v>
      </c>
      <c r="C21" s="238">
        <v>6.0000000000000001E-3</v>
      </c>
      <c r="D21" s="239">
        <v>6.0000000000000001E-3</v>
      </c>
    </row>
    <row r="22" spans="1:4" x14ac:dyDescent="0.25">
      <c r="A22" s="240" t="s">
        <v>462</v>
      </c>
      <c r="B22" s="241" t="s">
        <v>463</v>
      </c>
      <c r="C22" s="242">
        <v>2.5000000000000001E-2</v>
      </c>
      <c r="D22" s="243">
        <v>2.5000000000000001E-2</v>
      </c>
    </row>
    <row r="23" spans="1:4" x14ac:dyDescent="0.25">
      <c r="A23" s="236" t="s">
        <v>464</v>
      </c>
      <c r="B23" s="237" t="s">
        <v>465</v>
      </c>
      <c r="C23" s="238">
        <v>0.03</v>
      </c>
      <c r="D23" s="239">
        <v>0.03</v>
      </c>
    </row>
    <row r="24" spans="1:4" x14ac:dyDescent="0.25">
      <c r="A24" s="240" t="s">
        <v>466</v>
      </c>
      <c r="B24" s="241" t="s">
        <v>467</v>
      </c>
      <c r="C24" s="242">
        <v>0.08</v>
      </c>
      <c r="D24" s="243">
        <v>0.08</v>
      </c>
    </row>
    <row r="25" spans="1:4" x14ac:dyDescent="0.25">
      <c r="A25" s="236" t="s">
        <v>468</v>
      </c>
      <c r="B25" s="237" t="s">
        <v>469</v>
      </c>
      <c r="C25" s="238">
        <v>0</v>
      </c>
      <c r="D25" s="239">
        <v>0</v>
      </c>
    </row>
    <row r="26" spans="1:4" x14ac:dyDescent="0.25">
      <c r="A26" s="244" t="s">
        <v>470</v>
      </c>
      <c r="B26" s="244" t="s">
        <v>471</v>
      </c>
      <c r="C26" s="245">
        <v>0.36799999999999999</v>
      </c>
      <c r="D26" s="246">
        <v>0.36799999999999999</v>
      </c>
    </row>
    <row r="27" spans="1:4" x14ac:dyDescent="0.25">
      <c r="A27" s="481" t="s">
        <v>472</v>
      </c>
      <c r="B27" s="481"/>
      <c r="C27" s="481"/>
      <c r="D27" s="481"/>
    </row>
    <row r="28" spans="1:4" x14ac:dyDescent="0.25">
      <c r="A28" s="236" t="s">
        <v>473</v>
      </c>
      <c r="B28" s="237" t="s">
        <v>474</v>
      </c>
      <c r="C28" s="238">
        <v>0.17929999999999999</v>
      </c>
      <c r="D28" s="236" t="s">
        <v>475</v>
      </c>
    </row>
    <row r="29" spans="1:4" x14ac:dyDescent="0.25">
      <c r="A29" s="240" t="s">
        <v>476</v>
      </c>
      <c r="B29" s="241" t="s">
        <v>477</v>
      </c>
      <c r="C29" s="242">
        <v>4.24E-2</v>
      </c>
      <c r="D29" s="240" t="s">
        <v>475</v>
      </c>
    </row>
    <row r="30" spans="1:4" x14ac:dyDescent="0.25">
      <c r="A30" s="236" t="s">
        <v>478</v>
      </c>
      <c r="B30" s="237" t="s">
        <v>479</v>
      </c>
      <c r="C30" s="238">
        <v>8.5000000000000006E-3</v>
      </c>
      <c r="D30" s="239">
        <v>6.4999999999999997E-3</v>
      </c>
    </row>
    <row r="31" spans="1:4" x14ac:dyDescent="0.25">
      <c r="A31" s="240" t="s">
        <v>480</v>
      </c>
      <c r="B31" s="241" t="s">
        <v>481</v>
      </c>
      <c r="C31" s="242">
        <v>0.1096</v>
      </c>
      <c r="D31" s="243">
        <v>8.3299999999999999E-2</v>
      </c>
    </row>
    <row r="32" spans="1:4" x14ac:dyDescent="0.25">
      <c r="A32" s="236" t="s">
        <v>482</v>
      </c>
      <c r="B32" s="237" t="s">
        <v>483</v>
      </c>
      <c r="C32" s="238">
        <v>6.9999999999999999E-4</v>
      </c>
      <c r="D32" s="239">
        <v>5.0000000000000001E-4</v>
      </c>
    </row>
    <row r="33" spans="1:4" x14ac:dyDescent="0.25">
      <c r="A33" s="240" t="s">
        <v>484</v>
      </c>
      <c r="B33" s="241" t="s">
        <v>485</v>
      </c>
      <c r="C33" s="242">
        <v>7.3000000000000001E-3</v>
      </c>
      <c r="D33" s="243">
        <v>5.5999999999999999E-3</v>
      </c>
    </row>
    <row r="34" spans="1:4" x14ac:dyDescent="0.25">
      <c r="A34" s="236" t="s">
        <v>486</v>
      </c>
      <c r="B34" s="237" t="s">
        <v>487</v>
      </c>
      <c r="C34" s="238">
        <v>1.5299999999999999E-2</v>
      </c>
      <c r="D34" s="236" t="s">
        <v>475</v>
      </c>
    </row>
    <row r="35" spans="1:4" x14ac:dyDescent="0.25">
      <c r="A35" s="240" t="s">
        <v>488</v>
      </c>
      <c r="B35" s="241" t="s">
        <v>489</v>
      </c>
      <c r="C35" s="242">
        <v>1E-3</v>
      </c>
      <c r="D35" s="243">
        <v>6.9999999999999999E-4</v>
      </c>
    </row>
    <row r="36" spans="1:4" x14ac:dyDescent="0.25">
      <c r="A36" s="236" t="s">
        <v>490</v>
      </c>
      <c r="B36" s="237" t="s">
        <v>491</v>
      </c>
      <c r="C36" s="238">
        <v>0.1061</v>
      </c>
      <c r="D36" s="239">
        <v>8.0600000000000005E-2</v>
      </c>
    </row>
    <row r="37" spans="1:4" x14ac:dyDescent="0.25">
      <c r="A37" s="240" t="s">
        <v>492</v>
      </c>
      <c r="B37" s="241" t="s">
        <v>493</v>
      </c>
      <c r="C37" s="242">
        <v>2.9999999999999997E-4</v>
      </c>
      <c r="D37" s="243">
        <v>2.9999999999999997E-4</v>
      </c>
    </row>
    <row r="38" spans="1:4" x14ac:dyDescent="0.25">
      <c r="A38" s="247" t="s">
        <v>494</v>
      </c>
      <c r="B38" s="247" t="s">
        <v>471</v>
      </c>
      <c r="C38" s="248">
        <f>SUM(C28:C37)</f>
        <v>0.47049999999999997</v>
      </c>
      <c r="D38" s="248">
        <f>SUM(D28:D37)</f>
        <v>0.17750000000000002</v>
      </c>
    </row>
    <row r="39" spans="1:4" x14ac:dyDescent="0.25">
      <c r="A39" s="481" t="s">
        <v>495</v>
      </c>
      <c r="B39" s="481"/>
      <c r="C39" s="481"/>
      <c r="D39" s="481"/>
    </row>
    <row r="40" spans="1:4" x14ac:dyDescent="0.25">
      <c r="A40" s="236" t="s">
        <v>496</v>
      </c>
      <c r="B40" s="237" t="s">
        <v>497</v>
      </c>
      <c r="C40" s="238">
        <v>4.5699999999999998E-2</v>
      </c>
      <c r="D40" s="239">
        <v>3.4700000000000002E-2</v>
      </c>
    </row>
    <row r="41" spans="1:4" x14ac:dyDescent="0.25">
      <c r="A41" s="240" t="s">
        <v>498</v>
      </c>
      <c r="B41" s="241" t="s">
        <v>499</v>
      </c>
      <c r="C41" s="242">
        <v>1.1000000000000001E-3</v>
      </c>
      <c r="D41" s="243">
        <v>8.0000000000000004E-4</v>
      </c>
    </row>
    <row r="42" spans="1:4" x14ac:dyDescent="0.25">
      <c r="A42" s="236" t="s">
        <v>500</v>
      </c>
      <c r="B42" s="237" t="s">
        <v>501</v>
      </c>
      <c r="C42" s="238">
        <v>3.4599999999999999E-2</v>
      </c>
      <c r="D42" s="239">
        <v>2.63E-2</v>
      </c>
    </row>
    <row r="43" spans="1:4" x14ac:dyDescent="0.25">
      <c r="A43" s="240" t="s">
        <v>502</v>
      </c>
      <c r="B43" s="241" t="s">
        <v>503</v>
      </c>
      <c r="C43" s="242">
        <v>2.75E-2</v>
      </c>
      <c r="D43" s="243">
        <v>2.0899999999999998E-2</v>
      </c>
    </row>
    <row r="44" spans="1:4" x14ac:dyDescent="0.25">
      <c r="A44" s="236" t="s">
        <v>504</v>
      </c>
      <c r="B44" s="237" t="s">
        <v>505</v>
      </c>
      <c r="C44" s="238">
        <v>3.8E-3</v>
      </c>
      <c r="D44" s="239">
        <v>2.8999999999999998E-3</v>
      </c>
    </row>
    <row r="45" spans="1:4" x14ac:dyDescent="0.25">
      <c r="A45" s="244" t="s">
        <v>506</v>
      </c>
      <c r="B45" s="244" t="s">
        <v>471</v>
      </c>
      <c r="C45" s="245">
        <f>SUM(C40:C44)</f>
        <v>0.11269999999999999</v>
      </c>
      <c r="D45" s="245">
        <f>SUM(D40:D44)</f>
        <v>8.5600000000000009E-2</v>
      </c>
    </row>
    <row r="46" spans="1:4" x14ac:dyDescent="0.25">
      <c r="A46" s="481" t="s">
        <v>507</v>
      </c>
      <c r="B46" s="481"/>
      <c r="C46" s="481"/>
      <c r="D46" s="481"/>
    </row>
    <row r="47" spans="1:4" x14ac:dyDescent="0.25">
      <c r="A47" s="236" t="s">
        <v>508</v>
      </c>
      <c r="B47" s="237" t="s">
        <v>509</v>
      </c>
      <c r="C47" s="238">
        <v>0.1731</v>
      </c>
      <c r="D47" s="239">
        <v>6.5299999999999997E-2</v>
      </c>
    </row>
    <row r="48" spans="1:4" ht="36" x14ac:dyDescent="0.25">
      <c r="A48" s="249" t="s">
        <v>510</v>
      </c>
      <c r="B48" s="250" t="s">
        <v>511</v>
      </c>
      <c r="C48" s="251">
        <v>4.1000000000000003E-3</v>
      </c>
      <c r="D48" s="252">
        <v>3.0999999999999999E-3</v>
      </c>
    </row>
    <row r="49" spans="1:9" x14ac:dyDescent="0.25">
      <c r="A49" s="247" t="s">
        <v>512</v>
      </c>
      <c r="B49" s="247" t="s">
        <v>471</v>
      </c>
      <c r="C49" s="248">
        <f>SUM(C47:C48)</f>
        <v>0.1772</v>
      </c>
      <c r="D49" s="248">
        <f>SUM(D47:D48)</f>
        <v>6.8400000000000002E-2</v>
      </c>
    </row>
    <row r="50" spans="1:9" x14ac:dyDescent="0.25">
      <c r="A50" s="481" t="s">
        <v>513</v>
      </c>
      <c r="B50" s="481"/>
      <c r="C50" s="253">
        <f>C26+C38+C45+C49</f>
        <v>1.1284000000000001</v>
      </c>
      <c r="D50" s="253">
        <f>D26+D38+D45+D49</f>
        <v>0.69950000000000001</v>
      </c>
    </row>
    <row r="51" spans="1:9" x14ac:dyDescent="0.25">
      <c r="A51" s="254"/>
      <c r="B51" s="254"/>
      <c r="C51" s="255"/>
      <c r="D51" s="255"/>
    </row>
    <row r="52" spans="1:9" x14ac:dyDescent="0.25">
      <c r="A52" s="256" t="s">
        <v>514</v>
      </c>
      <c r="B52" s="254"/>
      <c r="C52" s="255"/>
      <c r="D52" s="255"/>
    </row>
    <row r="54" spans="1:9" x14ac:dyDescent="0.25">
      <c r="A54" s="405" t="s">
        <v>531</v>
      </c>
      <c r="B54" s="405"/>
      <c r="C54" s="405"/>
      <c r="D54" s="405"/>
      <c r="E54" s="405"/>
      <c r="F54" s="405"/>
      <c r="G54" s="405"/>
      <c r="H54" s="405"/>
      <c r="I54" s="405"/>
    </row>
  </sheetData>
  <mergeCells count="21">
    <mergeCell ref="A27:D27"/>
    <mergeCell ref="A39:D39"/>
    <mergeCell ref="A46:D46"/>
    <mergeCell ref="A50:B50"/>
    <mergeCell ref="A54:I54"/>
    <mergeCell ref="A1:D1"/>
    <mergeCell ref="A2:D2"/>
    <mergeCell ref="A3:D3"/>
    <mergeCell ref="A4:D4"/>
    <mergeCell ref="A16:D16"/>
    <mergeCell ref="A11:D11"/>
    <mergeCell ref="A12:D12"/>
    <mergeCell ref="A13:D13"/>
    <mergeCell ref="A14:A15"/>
    <mergeCell ref="B14:B15"/>
    <mergeCell ref="C14:D14"/>
    <mergeCell ref="A6:D6"/>
    <mergeCell ref="A7:D7"/>
    <mergeCell ref="A8:D8"/>
    <mergeCell ref="A9:D9"/>
    <mergeCell ref="A10:D10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88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250"/>
  <sheetViews>
    <sheetView topLeftCell="F1" workbookViewId="0"/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71" t="s">
        <v>150</v>
      </c>
      <c r="B1" s="68" t="s">
        <v>195</v>
      </c>
      <c r="C1" s="68" t="s">
        <v>158</v>
      </c>
      <c r="D1" s="68" t="s">
        <v>196</v>
      </c>
      <c r="E1" s="68" t="s">
        <v>197</v>
      </c>
      <c r="F1" s="71" t="s">
        <v>150</v>
      </c>
      <c r="G1" s="68" t="s">
        <v>199</v>
      </c>
      <c r="H1" s="68" t="s">
        <v>158</v>
      </c>
    </row>
    <row r="2" spans="1:8" ht="15.75" thickBot="1" x14ac:dyDescent="0.3">
      <c r="A2" s="70" t="s">
        <v>170</v>
      </c>
      <c r="B2" s="72">
        <v>2</v>
      </c>
      <c r="C2" s="72" t="s">
        <v>46</v>
      </c>
      <c r="D2">
        <v>1</v>
      </c>
      <c r="E2" t="str">
        <f>IF(A2=$F$2,B2,"")</f>
        <v/>
      </c>
      <c r="F2" t="str">
        <f>IF(Identificação!$B$5=0,"",Identificação!$B$5)</f>
        <v>Obras e Serviços de Engenharia</v>
      </c>
      <c r="G2">
        <f>IFERROR(SMALL($E$2:$E$250,D2),"")</f>
        <v>7</v>
      </c>
      <c r="H2" t="str">
        <f>IFERROR(VLOOKUP(G2,#REF!,2,FALSE),"")</f>
        <v/>
      </c>
    </row>
    <row r="3" spans="1:8" ht="15.75" thickBot="1" x14ac:dyDescent="0.3">
      <c r="A3" s="70" t="s">
        <v>171</v>
      </c>
      <c r="B3" s="72">
        <v>2</v>
      </c>
      <c r="C3" s="72" t="s">
        <v>46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8</v>
      </c>
      <c r="H3" t="str">
        <f>IFERROR(VLOOKUP(G3,#REF!,2,FALSE),"")</f>
        <v/>
      </c>
    </row>
    <row r="4" spans="1:8" ht="15.75" thickBot="1" x14ac:dyDescent="0.3">
      <c r="A4" s="70" t="s">
        <v>171</v>
      </c>
      <c r="B4" s="72">
        <v>3</v>
      </c>
      <c r="C4" s="72" t="s">
        <v>123</v>
      </c>
      <c r="D4">
        <v>3</v>
      </c>
      <c r="E4" t="str">
        <f t="shared" si="0"/>
        <v/>
      </c>
      <c r="G4">
        <f t="shared" si="1"/>
        <v>9</v>
      </c>
      <c r="H4" t="str">
        <f>IFERROR(VLOOKUP(G4,#REF!,2,FALSE),"")</f>
        <v/>
      </c>
    </row>
    <row r="5" spans="1:8" ht="15.75" thickBot="1" x14ac:dyDescent="0.3">
      <c r="A5" s="70" t="s">
        <v>169</v>
      </c>
      <c r="B5" s="72">
        <v>3</v>
      </c>
      <c r="C5" s="72" t="s">
        <v>123</v>
      </c>
      <c r="D5">
        <v>4</v>
      </c>
      <c r="E5" t="str">
        <f t="shared" si="0"/>
        <v/>
      </c>
      <c r="G5">
        <f t="shared" si="1"/>
        <v>10</v>
      </c>
      <c r="H5" t="str">
        <f>IFERROR(VLOOKUP(G5,#REF!,2,FALSE),"")</f>
        <v/>
      </c>
    </row>
    <row r="6" spans="1:8" ht="15.75" thickBot="1" x14ac:dyDescent="0.3">
      <c r="A6" s="70" t="s">
        <v>151</v>
      </c>
      <c r="B6" s="72">
        <v>7</v>
      </c>
      <c r="C6" s="72" t="s">
        <v>104</v>
      </c>
      <c r="D6">
        <v>5</v>
      </c>
      <c r="E6">
        <f t="shared" si="0"/>
        <v>7</v>
      </c>
      <c r="G6">
        <f t="shared" si="1"/>
        <v>11</v>
      </c>
      <c r="H6" t="str">
        <f>IFERROR(VLOOKUP(G6,#REF!,2,FALSE),"")</f>
        <v/>
      </c>
    </row>
    <row r="7" spans="1:8" ht="15.75" thickBot="1" x14ac:dyDescent="0.3">
      <c r="A7" s="70" t="s">
        <v>151</v>
      </c>
      <c r="B7" s="72">
        <v>8</v>
      </c>
      <c r="C7" s="72" t="s">
        <v>99</v>
      </c>
      <c r="D7">
        <v>6</v>
      </c>
      <c r="E7">
        <f t="shared" si="0"/>
        <v>8</v>
      </c>
      <c r="G7">
        <f t="shared" si="1"/>
        <v>12</v>
      </c>
      <c r="H7" t="str">
        <f>IFERROR(VLOOKUP(G7,#REF!,2,FALSE),"")</f>
        <v/>
      </c>
    </row>
    <row r="8" spans="1:8" ht="15.75" thickBot="1" x14ac:dyDescent="0.3">
      <c r="A8" s="70" t="s">
        <v>151</v>
      </c>
      <c r="B8" s="72">
        <v>9</v>
      </c>
      <c r="C8" s="72" t="s">
        <v>105</v>
      </c>
      <c r="D8">
        <v>7</v>
      </c>
      <c r="E8">
        <f t="shared" si="0"/>
        <v>9</v>
      </c>
      <c r="G8">
        <f t="shared" si="1"/>
        <v>13</v>
      </c>
      <c r="H8" t="str">
        <f>IFERROR(VLOOKUP(G8,#REF!,2,FALSE),"")</f>
        <v/>
      </c>
    </row>
    <row r="9" spans="1:8" ht="15.75" thickBot="1" x14ac:dyDescent="0.3">
      <c r="A9" s="70" t="s">
        <v>151</v>
      </c>
      <c r="B9" s="72">
        <v>10</v>
      </c>
      <c r="C9" s="72" t="s">
        <v>103</v>
      </c>
      <c r="D9">
        <v>8</v>
      </c>
      <c r="E9">
        <f t="shared" si="0"/>
        <v>10</v>
      </c>
      <c r="G9">
        <f t="shared" si="1"/>
        <v>14</v>
      </c>
      <c r="H9" t="str">
        <f>IFERROR(VLOOKUP(G9,#REF!,2,FALSE),"")</f>
        <v/>
      </c>
    </row>
    <row r="10" spans="1:8" ht="15.75" thickBot="1" x14ac:dyDescent="0.3">
      <c r="A10" s="70" t="s">
        <v>151</v>
      </c>
      <c r="B10" s="72">
        <v>11</v>
      </c>
      <c r="C10" s="72" t="s">
        <v>109</v>
      </c>
      <c r="D10">
        <v>9</v>
      </c>
      <c r="E10">
        <f t="shared" si="0"/>
        <v>11</v>
      </c>
      <c r="G10">
        <f t="shared" si="1"/>
        <v>15</v>
      </c>
      <c r="H10" t="str">
        <f>IFERROR(VLOOKUP(G10,#REF!,2,FALSE),"")</f>
        <v/>
      </c>
    </row>
    <row r="11" spans="1:8" ht="15.75" thickBot="1" x14ac:dyDescent="0.3">
      <c r="A11" s="70" t="s">
        <v>151</v>
      </c>
      <c r="B11" s="72">
        <v>12</v>
      </c>
      <c r="C11" s="72" t="s">
        <v>100</v>
      </c>
      <c r="D11">
        <v>10</v>
      </c>
      <c r="E11">
        <f t="shared" si="0"/>
        <v>12</v>
      </c>
      <c r="G11">
        <f t="shared" si="1"/>
        <v>16</v>
      </c>
      <c r="H11" t="str">
        <f>IFERROR(VLOOKUP(G11,#REF!,2,FALSE),"")</f>
        <v/>
      </c>
    </row>
    <row r="12" spans="1:8" ht="15.75" thickBot="1" x14ac:dyDescent="0.3">
      <c r="A12" s="70" t="s">
        <v>151</v>
      </c>
      <c r="B12" s="72">
        <v>13</v>
      </c>
      <c r="C12" s="72" t="s">
        <v>106</v>
      </c>
      <c r="D12">
        <v>11</v>
      </c>
      <c r="E12">
        <f t="shared" si="0"/>
        <v>13</v>
      </c>
      <c r="G12">
        <f t="shared" si="1"/>
        <v>17</v>
      </c>
      <c r="H12" t="str">
        <f>IFERROR(VLOOKUP(G12,#REF!,2,FALSE),"")</f>
        <v/>
      </c>
    </row>
    <row r="13" spans="1:8" ht="15.75" thickBot="1" x14ac:dyDescent="0.3">
      <c r="A13" s="70" t="s">
        <v>151</v>
      </c>
      <c r="B13" s="72">
        <v>14</v>
      </c>
      <c r="C13" s="72" t="s">
        <v>102</v>
      </c>
      <c r="D13">
        <v>12</v>
      </c>
      <c r="E13">
        <f t="shared" si="0"/>
        <v>14</v>
      </c>
      <c r="G13" t="str">
        <f t="shared" si="1"/>
        <v/>
      </c>
      <c r="H13" t="str">
        <f>IFERROR(VLOOKUP(G13,#REF!,2,FALSE),"")</f>
        <v/>
      </c>
    </row>
    <row r="14" spans="1:8" ht="15.75" thickBot="1" x14ac:dyDescent="0.3">
      <c r="A14" s="70" t="s">
        <v>151</v>
      </c>
      <c r="B14" s="72">
        <v>15</v>
      </c>
      <c r="C14" s="72" t="s">
        <v>107</v>
      </c>
      <c r="D14">
        <v>13</v>
      </c>
      <c r="E14">
        <f t="shared" si="0"/>
        <v>15</v>
      </c>
      <c r="G14" t="str">
        <f t="shared" si="1"/>
        <v/>
      </c>
      <c r="H14" t="str">
        <f>IFERROR(VLOOKUP(G14,#REF!,2,FALSE),"")</f>
        <v/>
      </c>
    </row>
    <row r="15" spans="1:8" ht="15.75" thickBot="1" x14ac:dyDescent="0.3">
      <c r="A15" s="70" t="s">
        <v>151</v>
      </c>
      <c r="B15" s="72">
        <v>16</v>
      </c>
      <c r="C15" s="72" t="s">
        <v>101</v>
      </c>
      <c r="D15">
        <v>14</v>
      </c>
      <c r="E15">
        <f t="shared" si="0"/>
        <v>16</v>
      </c>
      <c r="G15" t="str">
        <f t="shared" si="1"/>
        <v/>
      </c>
      <c r="H15" t="str">
        <f>IFERROR(VLOOKUP(G15,#REF!,2,FALSE),"")</f>
        <v/>
      </c>
    </row>
    <row r="16" spans="1:8" ht="15.75" thickBot="1" x14ac:dyDescent="0.3">
      <c r="A16" s="70" t="s">
        <v>151</v>
      </c>
      <c r="B16" s="72">
        <v>17</v>
      </c>
      <c r="C16" s="72" t="s">
        <v>108</v>
      </c>
      <c r="D16">
        <v>15</v>
      </c>
      <c r="E16">
        <f t="shared" si="0"/>
        <v>17</v>
      </c>
      <c r="G16" t="str">
        <f t="shared" si="1"/>
        <v/>
      </c>
      <c r="H16" t="str">
        <f>IFERROR(VLOOKUP(G16,#REF!,2,FALSE),"")</f>
        <v/>
      </c>
    </row>
    <row r="17" spans="1:8" ht="15.75" thickBot="1" x14ac:dyDescent="0.3">
      <c r="A17" s="70" t="s">
        <v>169</v>
      </c>
      <c r="B17" s="72">
        <v>29</v>
      </c>
      <c r="C17" s="72" t="s">
        <v>97</v>
      </c>
      <c r="D17">
        <v>16</v>
      </c>
      <c r="E17" t="str">
        <f t="shared" si="0"/>
        <v/>
      </c>
      <c r="G17" t="str">
        <f t="shared" si="1"/>
        <v/>
      </c>
      <c r="H17" t="str">
        <f>IFERROR(VLOOKUP(G17,#REF!,2,FALSE),"")</f>
        <v/>
      </c>
    </row>
    <row r="18" spans="1:8" ht="15.75" thickBot="1" x14ac:dyDescent="0.3">
      <c r="A18" s="70" t="s">
        <v>169</v>
      </c>
      <c r="B18" s="72">
        <v>30</v>
      </c>
      <c r="C18" s="72" t="s">
        <v>98</v>
      </c>
      <c r="D18">
        <v>17</v>
      </c>
      <c r="E18" t="str">
        <f t="shared" si="0"/>
        <v/>
      </c>
      <c r="G18" t="str">
        <f t="shared" si="1"/>
        <v/>
      </c>
      <c r="H18" t="str">
        <f>IFERROR(VLOOKUP(G18,#REF!,2,FALSE),"")</f>
        <v/>
      </c>
    </row>
    <row r="19" spans="1:8" ht="15.75" thickBot="1" x14ac:dyDescent="0.3">
      <c r="A19" s="70" t="s">
        <v>171</v>
      </c>
      <c r="B19" s="72">
        <v>31</v>
      </c>
      <c r="C19" s="72" t="s">
        <v>125</v>
      </c>
      <c r="D19">
        <v>18</v>
      </c>
      <c r="E19" t="str">
        <f t="shared" si="0"/>
        <v/>
      </c>
      <c r="G19" t="str">
        <f t="shared" si="1"/>
        <v/>
      </c>
      <c r="H19" t="str">
        <f>IFERROR(VLOOKUP(G19,#REF!,2,FALSE),"")</f>
        <v/>
      </c>
    </row>
    <row r="20" spans="1:8" ht="15.75" thickBot="1" x14ac:dyDescent="0.3">
      <c r="A20" s="70" t="s">
        <v>169</v>
      </c>
      <c r="B20" s="72">
        <v>31</v>
      </c>
      <c r="C20" s="72" t="s">
        <v>125</v>
      </c>
      <c r="D20">
        <v>19</v>
      </c>
      <c r="E20" t="str">
        <f t="shared" si="0"/>
        <v/>
      </c>
      <c r="G20" t="str">
        <f t="shared" si="1"/>
        <v/>
      </c>
      <c r="H20" t="str">
        <f>IFERROR(VLOOKUP(G20,#REF!,2,FALSE),"")</f>
        <v/>
      </c>
    </row>
    <row r="21" spans="1:8" ht="15.75" thickBot="1" x14ac:dyDescent="0.3">
      <c r="A21" s="70" t="s">
        <v>170</v>
      </c>
      <c r="B21" s="72">
        <v>33</v>
      </c>
      <c r="C21" s="72" t="s">
        <v>75</v>
      </c>
      <c r="D21">
        <v>20</v>
      </c>
      <c r="E21" t="str">
        <f t="shared" si="0"/>
        <v/>
      </c>
      <c r="G21" t="str">
        <f t="shared" si="1"/>
        <v/>
      </c>
      <c r="H21" t="str">
        <f>IFERROR(VLOOKUP(G21,#REF!,2,FALSE),"")</f>
        <v/>
      </c>
    </row>
    <row r="22" spans="1:8" ht="15.75" thickBot="1" x14ac:dyDescent="0.3">
      <c r="A22" s="70" t="s">
        <v>170</v>
      </c>
      <c r="B22" s="72">
        <v>34</v>
      </c>
      <c r="C22" s="72" t="s">
        <v>77</v>
      </c>
      <c r="D22">
        <v>21</v>
      </c>
      <c r="E22" t="str">
        <f t="shared" si="0"/>
        <v/>
      </c>
      <c r="G22" t="str">
        <f t="shared" si="1"/>
        <v/>
      </c>
      <c r="H22" t="str">
        <f>IFERROR(VLOOKUP(G22,#REF!,2,FALSE),"")</f>
        <v/>
      </c>
    </row>
    <row r="23" spans="1:8" ht="15.75" thickBot="1" x14ac:dyDescent="0.3">
      <c r="A23" s="70" t="s">
        <v>171</v>
      </c>
      <c r="B23" s="72">
        <v>34</v>
      </c>
      <c r="C23" s="72" t="s">
        <v>77</v>
      </c>
      <c r="D23">
        <v>22</v>
      </c>
      <c r="E23" t="str">
        <f t="shared" si="0"/>
        <v/>
      </c>
      <c r="G23" t="str">
        <f t="shared" si="1"/>
        <v/>
      </c>
      <c r="H23" t="str">
        <f>IFERROR(VLOOKUP(G23,#REF!,2,FALSE),"")</f>
        <v/>
      </c>
    </row>
    <row r="24" spans="1:8" ht="15.75" thickBot="1" x14ac:dyDescent="0.3">
      <c r="A24" s="70" t="s">
        <v>170</v>
      </c>
      <c r="B24" s="72">
        <v>35</v>
      </c>
      <c r="C24" s="72" t="s">
        <v>31</v>
      </c>
      <c r="D24">
        <v>23</v>
      </c>
      <c r="E24" t="str">
        <f t="shared" si="0"/>
        <v/>
      </c>
      <c r="G24" t="str">
        <f t="shared" si="1"/>
        <v/>
      </c>
      <c r="H24" t="str">
        <f>IFERROR(VLOOKUP(G24,#REF!,2,FALSE),"")</f>
        <v/>
      </c>
    </row>
    <row r="25" spans="1:8" ht="15.75" thickBot="1" x14ac:dyDescent="0.3">
      <c r="A25" s="70" t="s">
        <v>171</v>
      </c>
      <c r="B25" s="72">
        <v>35</v>
      </c>
      <c r="C25" s="72" t="s">
        <v>31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IFERROR(VLOOKUP(G25,#REF!,2,FALSE),"")</f>
        <v/>
      </c>
    </row>
    <row r="26" spans="1:8" ht="15.75" thickBot="1" x14ac:dyDescent="0.3">
      <c r="A26" s="70" t="s">
        <v>171</v>
      </c>
      <c r="B26" s="72">
        <v>37</v>
      </c>
      <c r="C26" s="72" t="s">
        <v>124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IFERROR(VLOOKUP(G26,#REF!,2,FALSE),"")</f>
        <v/>
      </c>
    </row>
    <row r="27" spans="1:8" ht="15.75" thickBot="1" x14ac:dyDescent="0.3">
      <c r="A27" s="70" t="s">
        <v>169</v>
      </c>
      <c r="B27" s="72">
        <v>37</v>
      </c>
      <c r="C27" s="72" t="s">
        <v>124</v>
      </c>
      <c r="D27">
        <v>26</v>
      </c>
      <c r="E27" t="str">
        <f t="shared" si="0"/>
        <v/>
      </c>
      <c r="G27" t="str">
        <f t="shared" si="1"/>
        <v/>
      </c>
      <c r="H27" t="str">
        <f>IFERROR(VLOOKUP(G27,#REF!,2,FALSE),"")</f>
        <v/>
      </c>
    </row>
    <row r="28" spans="1:8" ht="15.75" thickBot="1" x14ac:dyDescent="0.3">
      <c r="A28" s="70" t="s">
        <v>171</v>
      </c>
      <c r="B28" s="72">
        <v>42</v>
      </c>
      <c r="C28" s="72" t="s">
        <v>126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IFERROR(VLOOKUP(G28,#REF!,2,FALSE),"")</f>
        <v/>
      </c>
    </row>
    <row r="29" spans="1:8" ht="15.75" thickBot="1" x14ac:dyDescent="0.3">
      <c r="A29" s="70" t="s">
        <v>169</v>
      </c>
      <c r="B29" s="72">
        <v>42</v>
      </c>
      <c r="C29" s="72" t="s">
        <v>126</v>
      </c>
      <c r="D29">
        <v>28</v>
      </c>
      <c r="E29" t="str">
        <f t="shared" si="0"/>
        <v/>
      </c>
      <c r="G29" t="str">
        <f t="shared" si="1"/>
        <v/>
      </c>
      <c r="H29" t="str">
        <f>IFERROR(VLOOKUP(G29,#REF!,2,FALSE),"")</f>
        <v/>
      </c>
    </row>
    <row r="30" spans="1:8" ht="15.75" thickBot="1" x14ac:dyDescent="0.3">
      <c r="A30" s="70" t="s">
        <v>171</v>
      </c>
      <c r="B30" s="72">
        <v>45</v>
      </c>
      <c r="C30" s="72" t="s">
        <v>111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IFERROR(VLOOKUP(G30,#REF!,2,FALSE),"")</f>
        <v/>
      </c>
    </row>
    <row r="31" spans="1:8" ht="15.75" thickBot="1" x14ac:dyDescent="0.3">
      <c r="A31" s="70" t="s">
        <v>169</v>
      </c>
      <c r="B31" s="72">
        <v>45</v>
      </c>
      <c r="C31" s="72" t="s">
        <v>111</v>
      </c>
      <c r="D31">
        <v>30</v>
      </c>
      <c r="E31" t="str">
        <f t="shared" si="0"/>
        <v/>
      </c>
      <c r="G31" t="str">
        <f t="shared" si="1"/>
        <v/>
      </c>
      <c r="H31" t="str">
        <f>IFERROR(VLOOKUP(G31,#REF!,2,FALSE),"")</f>
        <v/>
      </c>
    </row>
    <row r="32" spans="1:8" ht="15.75" thickBot="1" x14ac:dyDescent="0.3">
      <c r="A32" s="70" t="s">
        <v>171</v>
      </c>
      <c r="B32" s="72">
        <v>47</v>
      </c>
      <c r="C32" s="72" t="s">
        <v>122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IFERROR(VLOOKUP(G32,#REF!,2,FALSE),"")</f>
        <v/>
      </c>
    </row>
    <row r="33" spans="1:8" ht="15.75" thickBot="1" x14ac:dyDescent="0.3">
      <c r="A33" s="70" t="s">
        <v>169</v>
      </c>
      <c r="B33" s="72">
        <v>47</v>
      </c>
      <c r="C33" s="72" t="s">
        <v>122</v>
      </c>
      <c r="D33">
        <v>32</v>
      </c>
      <c r="E33" t="str">
        <f t="shared" si="0"/>
        <v/>
      </c>
      <c r="G33" t="str">
        <f t="shared" si="1"/>
        <v/>
      </c>
      <c r="H33" t="str">
        <f>IFERROR(VLOOKUP(G33,#REF!,2,FALSE),"")</f>
        <v/>
      </c>
    </row>
    <row r="34" spans="1:8" ht="15.75" thickBot="1" x14ac:dyDescent="0.3">
      <c r="A34" s="70" t="s">
        <v>171</v>
      </c>
      <c r="B34" s="72">
        <v>52</v>
      </c>
      <c r="C34" s="72" t="s">
        <v>117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IFERROR(VLOOKUP(G34,#REF!,2,FALSE),"")</f>
        <v/>
      </c>
    </row>
    <row r="35" spans="1:8" ht="15.75" thickBot="1" x14ac:dyDescent="0.3">
      <c r="A35" s="70" t="s">
        <v>169</v>
      </c>
      <c r="B35" s="72">
        <v>52</v>
      </c>
      <c r="C35" s="72" t="s">
        <v>117</v>
      </c>
      <c r="D35">
        <v>34</v>
      </c>
      <c r="E35" t="str">
        <f t="shared" si="0"/>
        <v/>
      </c>
      <c r="G35" t="str">
        <f t="shared" si="1"/>
        <v/>
      </c>
      <c r="H35" t="str">
        <f>IFERROR(VLOOKUP(G35,#REF!,2,FALSE),"")</f>
        <v/>
      </c>
    </row>
    <row r="36" spans="1:8" ht="15.75" thickBot="1" x14ac:dyDescent="0.3">
      <c r="A36" s="70" t="s">
        <v>171</v>
      </c>
      <c r="B36" s="72">
        <v>57</v>
      </c>
      <c r="C36" s="72" t="s">
        <v>118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IFERROR(VLOOKUP(G36,#REF!,2,FALSE),"")</f>
        <v/>
      </c>
    </row>
    <row r="37" spans="1:8" ht="15.75" thickBot="1" x14ac:dyDescent="0.3">
      <c r="A37" s="70" t="s">
        <v>169</v>
      </c>
      <c r="B37" s="72">
        <v>57</v>
      </c>
      <c r="C37" s="72" t="s">
        <v>118</v>
      </c>
      <c r="D37">
        <v>36</v>
      </c>
      <c r="E37" t="str">
        <f t="shared" si="0"/>
        <v/>
      </c>
      <c r="G37" t="str">
        <f t="shared" si="1"/>
        <v/>
      </c>
      <c r="H37" t="str">
        <f>IFERROR(VLOOKUP(G37,#REF!,2,FALSE),"")</f>
        <v/>
      </c>
    </row>
    <row r="38" spans="1:8" ht="15.75" thickBot="1" x14ac:dyDescent="0.3">
      <c r="A38" s="70" t="s">
        <v>171</v>
      </c>
      <c r="B38" s="72">
        <v>59</v>
      </c>
      <c r="C38" s="72" t="s">
        <v>121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IFERROR(VLOOKUP(G38,#REF!,2,FALSE),"")</f>
        <v/>
      </c>
    </row>
    <row r="39" spans="1:8" ht="15.75" thickBot="1" x14ac:dyDescent="0.3">
      <c r="A39" s="70" t="s">
        <v>169</v>
      </c>
      <c r="B39" s="72">
        <v>59</v>
      </c>
      <c r="C39" s="72" t="s">
        <v>121</v>
      </c>
      <c r="D39">
        <v>38</v>
      </c>
      <c r="E39" t="str">
        <f t="shared" si="0"/>
        <v/>
      </c>
      <c r="G39" t="str">
        <f t="shared" si="1"/>
        <v/>
      </c>
      <c r="H39" t="str">
        <f>IFERROR(VLOOKUP(G39,#REF!,2,FALSE),"")</f>
        <v/>
      </c>
    </row>
    <row r="40" spans="1:8" ht="15.75" thickBot="1" x14ac:dyDescent="0.3">
      <c r="A40" s="70" t="s">
        <v>171</v>
      </c>
      <c r="B40" s="72">
        <v>62</v>
      </c>
      <c r="C40" s="72" t="s">
        <v>116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IFERROR(VLOOKUP(G40,#REF!,2,FALSE),"")</f>
        <v/>
      </c>
    </row>
    <row r="41" spans="1:8" ht="15.75" thickBot="1" x14ac:dyDescent="0.3">
      <c r="A41" s="70" t="s">
        <v>169</v>
      </c>
      <c r="B41" s="72">
        <v>62</v>
      </c>
      <c r="C41" s="72" t="s">
        <v>116</v>
      </c>
      <c r="D41">
        <v>40</v>
      </c>
      <c r="E41" t="str">
        <f t="shared" si="0"/>
        <v/>
      </c>
      <c r="G41" t="str">
        <f t="shared" si="1"/>
        <v/>
      </c>
      <c r="H41" t="str">
        <f>IFERROR(VLOOKUP(G41,#REF!,2,FALSE),"")</f>
        <v/>
      </c>
    </row>
    <row r="42" spans="1:8" ht="15.75" thickBot="1" x14ac:dyDescent="0.3">
      <c r="A42" s="70" t="s">
        <v>172</v>
      </c>
      <c r="B42" s="72">
        <v>63</v>
      </c>
      <c r="C42" s="72" t="s">
        <v>115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IFERROR(VLOOKUP(G42,#REF!,2,FALSE),"")</f>
        <v/>
      </c>
    </row>
    <row r="43" spans="1:8" ht="15.75" thickBot="1" x14ac:dyDescent="0.3">
      <c r="A43" s="70" t="s">
        <v>170</v>
      </c>
      <c r="B43" s="72">
        <v>64</v>
      </c>
      <c r="C43" s="72" t="s">
        <v>12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IFERROR(VLOOKUP(G43,#REF!,2,FALSE),"")</f>
        <v/>
      </c>
    </row>
    <row r="44" spans="1:8" ht="15.75" thickBot="1" x14ac:dyDescent="0.3">
      <c r="A44" s="70" t="s">
        <v>171</v>
      </c>
      <c r="B44" s="72">
        <v>64</v>
      </c>
      <c r="C44" s="72" t="s">
        <v>12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IFERROR(VLOOKUP(G44,#REF!,2,FALSE),"")</f>
        <v/>
      </c>
    </row>
    <row r="45" spans="1:8" ht="15.75" thickBot="1" x14ac:dyDescent="0.3">
      <c r="A45" s="70" t="s">
        <v>170</v>
      </c>
      <c r="B45" s="72">
        <v>70</v>
      </c>
      <c r="C45" s="72" t="s">
        <v>71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IFERROR(VLOOKUP(G45,#REF!,2,FALSE),"")</f>
        <v/>
      </c>
    </row>
    <row r="46" spans="1:8" ht="15.75" thickBot="1" x14ac:dyDescent="0.3">
      <c r="A46" s="70" t="s">
        <v>171</v>
      </c>
      <c r="B46" s="72">
        <v>70</v>
      </c>
      <c r="C46" s="72" t="s">
        <v>71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IFERROR(VLOOKUP(G46,#REF!,2,FALSE),"")</f>
        <v/>
      </c>
    </row>
    <row r="47" spans="1:8" ht="15.75" thickBot="1" x14ac:dyDescent="0.3">
      <c r="A47" s="70" t="s">
        <v>171</v>
      </c>
      <c r="B47" s="72">
        <v>72</v>
      </c>
      <c r="C47" s="72" t="s">
        <v>127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IFERROR(VLOOKUP(G47,#REF!,2,FALSE),"")</f>
        <v/>
      </c>
    </row>
    <row r="48" spans="1:8" ht="15.75" thickBot="1" x14ac:dyDescent="0.3">
      <c r="A48" s="70" t="s">
        <v>169</v>
      </c>
      <c r="B48" s="72">
        <v>72</v>
      </c>
      <c r="C48" s="72" t="s">
        <v>127</v>
      </c>
      <c r="D48">
        <v>47</v>
      </c>
      <c r="E48" t="str">
        <f t="shared" si="0"/>
        <v/>
      </c>
      <c r="G48" t="str">
        <f t="shared" si="1"/>
        <v/>
      </c>
      <c r="H48" t="str">
        <f>IFERROR(VLOOKUP(G48,#REF!,2,FALSE),"")</f>
        <v/>
      </c>
    </row>
    <row r="49" spans="1:8" ht="15.75" thickBot="1" x14ac:dyDescent="0.3">
      <c r="A49" s="70" t="s">
        <v>171</v>
      </c>
      <c r="B49" s="72">
        <v>77</v>
      </c>
      <c r="C49" s="72" t="s">
        <v>92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IFERROR(VLOOKUP(G49,#REF!,2,FALSE),"")</f>
        <v/>
      </c>
    </row>
    <row r="50" spans="1:8" ht="15.75" thickBot="1" x14ac:dyDescent="0.3">
      <c r="A50" s="70" t="s">
        <v>169</v>
      </c>
      <c r="B50" s="72">
        <v>77</v>
      </c>
      <c r="C50" s="72" t="s">
        <v>92</v>
      </c>
      <c r="D50">
        <v>49</v>
      </c>
      <c r="E50" t="str">
        <f t="shared" si="0"/>
        <v/>
      </c>
      <c r="G50" t="str">
        <f t="shared" si="1"/>
        <v/>
      </c>
      <c r="H50" t="str">
        <f>IFERROR(VLOOKUP(G50,#REF!,2,FALSE),"")</f>
        <v/>
      </c>
    </row>
    <row r="51" spans="1:8" ht="15.75" thickBot="1" x14ac:dyDescent="0.3">
      <c r="A51" s="70" t="s">
        <v>171</v>
      </c>
      <c r="B51" s="72">
        <v>82</v>
      </c>
      <c r="C51" s="72" t="s">
        <v>112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IFERROR(VLOOKUP(G51,#REF!,2,FALSE),"")</f>
        <v/>
      </c>
    </row>
    <row r="52" spans="1:8" ht="15.75" thickBot="1" x14ac:dyDescent="0.3">
      <c r="A52" s="70" t="s">
        <v>169</v>
      </c>
      <c r="B52" s="72">
        <v>82</v>
      </c>
      <c r="C52" s="72" t="s">
        <v>112</v>
      </c>
      <c r="D52">
        <v>51</v>
      </c>
      <c r="E52" t="str">
        <f t="shared" si="0"/>
        <v/>
      </c>
      <c r="G52" t="str">
        <f t="shared" si="1"/>
        <v/>
      </c>
      <c r="H52" t="str">
        <f>IFERROR(VLOOKUP(G52,#REF!,2,FALSE),"")</f>
        <v/>
      </c>
    </row>
    <row r="53" spans="1:8" ht="15.75" thickBot="1" x14ac:dyDescent="0.3">
      <c r="A53" s="70" t="s">
        <v>171</v>
      </c>
      <c r="B53" s="72">
        <v>97</v>
      </c>
      <c r="C53" s="72" t="s">
        <v>94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IFERROR(VLOOKUP(G53,#REF!,2,FALSE),"")</f>
        <v/>
      </c>
    </row>
    <row r="54" spans="1:8" ht="15.75" thickBot="1" x14ac:dyDescent="0.3">
      <c r="A54" s="70" t="s">
        <v>169</v>
      </c>
      <c r="B54" s="72">
        <v>97</v>
      </c>
      <c r="C54" s="72" t="s">
        <v>94</v>
      </c>
      <c r="D54">
        <v>53</v>
      </c>
      <c r="E54" t="str">
        <f t="shared" si="0"/>
        <v/>
      </c>
      <c r="G54" t="str">
        <f t="shared" si="1"/>
        <v/>
      </c>
      <c r="H54" t="str">
        <f>IFERROR(VLOOKUP(G54,#REF!,2,FALSE),"")</f>
        <v/>
      </c>
    </row>
    <row r="55" spans="1:8" ht="15.75" thickBot="1" x14ac:dyDescent="0.3">
      <c r="A55" s="70" t="s">
        <v>170</v>
      </c>
      <c r="B55" s="72">
        <v>105</v>
      </c>
      <c r="C55" s="72" t="s">
        <v>69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IFERROR(VLOOKUP(G55,#REF!,2,FALSE),"")</f>
        <v/>
      </c>
    </row>
    <row r="56" spans="1:8" ht="15.75" thickBot="1" x14ac:dyDescent="0.3">
      <c r="A56" s="70" t="s">
        <v>171</v>
      </c>
      <c r="B56" s="72">
        <v>105</v>
      </c>
      <c r="C56" s="72" t="s">
        <v>69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IFERROR(VLOOKUP(G56,#REF!,2,FALSE),"")</f>
        <v/>
      </c>
    </row>
    <row r="57" spans="1:8" ht="15.75" thickBot="1" x14ac:dyDescent="0.3">
      <c r="A57" s="70" t="s">
        <v>171</v>
      </c>
      <c r="B57" s="72">
        <v>107</v>
      </c>
      <c r="C57" s="72" t="s">
        <v>120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IFERROR(VLOOKUP(G57,#REF!,2,FALSE),"")</f>
        <v/>
      </c>
    </row>
    <row r="58" spans="1:8" ht="15.75" thickBot="1" x14ac:dyDescent="0.3">
      <c r="A58" s="70" t="s">
        <v>169</v>
      </c>
      <c r="B58" s="72">
        <v>107</v>
      </c>
      <c r="C58" s="72" t="s">
        <v>120</v>
      </c>
      <c r="D58">
        <v>57</v>
      </c>
      <c r="E58" t="str">
        <f t="shared" si="0"/>
        <v/>
      </c>
      <c r="G58" t="str">
        <f t="shared" si="1"/>
        <v/>
      </c>
      <c r="H58" t="str">
        <f>IFERROR(VLOOKUP(G58,#REF!,2,FALSE),"")</f>
        <v/>
      </c>
    </row>
    <row r="59" spans="1:8" ht="15.75" thickBot="1" x14ac:dyDescent="0.3">
      <c r="A59" s="70" t="s">
        <v>171</v>
      </c>
      <c r="B59" s="72">
        <v>112</v>
      </c>
      <c r="C59" s="72" t="s">
        <v>96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IFERROR(VLOOKUP(G59,#REF!,2,FALSE),"")</f>
        <v/>
      </c>
    </row>
    <row r="60" spans="1:8" ht="15.75" thickBot="1" x14ac:dyDescent="0.3">
      <c r="A60" s="70" t="s">
        <v>169</v>
      </c>
      <c r="B60" s="72">
        <v>112</v>
      </c>
      <c r="C60" s="72" t="s">
        <v>96</v>
      </c>
      <c r="D60">
        <v>59</v>
      </c>
      <c r="E60" t="str">
        <f t="shared" si="0"/>
        <v/>
      </c>
      <c r="G60" t="str">
        <f t="shared" si="1"/>
        <v/>
      </c>
      <c r="H60" t="str">
        <f>IFERROR(VLOOKUP(G60,#REF!,2,FALSE),"")</f>
        <v/>
      </c>
    </row>
    <row r="61" spans="1:8" ht="15.75" thickBot="1" x14ac:dyDescent="0.3">
      <c r="A61" s="70" t="s">
        <v>171</v>
      </c>
      <c r="B61" s="72">
        <v>113</v>
      </c>
      <c r="C61" s="72" t="s">
        <v>95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IFERROR(VLOOKUP(G61,#REF!,2,FALSE),"")</f>
        <v/>
      </c>
    </row>
    <row r="62" spans="1:8" ht="15.75" thickBot="1" x14ac:dyDescent="0.3">
      <c r="A62" s="70" t="s">
        <v>169</v>
      </c>
      <c r="B62" s="72">
        <v>113</v>
      </c>
      <c r="C62" s="72" t="s">
        <v>95</v>
      </c>
      <c r="D62">
        <v>61</v>
      </c>
      <c r="E62" t="str">
        <f t="shared" si="0"/>
        <v/>
      </c>
      <c r="G62" t="str">
        <f t="shared" si="1"/>
        <v/>
      </c>
      <c r="H62" t="str">
        <f>IFERROR(VLOOKUP(G62,#REF!,2,FALSE),"")</f>
        <v/>
      </c>
    </row>
    <row r="63" spans="1:8" ht="15.75" thickBot="1" x14ac:dyDescent="0.3">
      <c r="A63" s="70" t="s">
        <v>171</v>
      </c>
      <c r="B63" s="72">
        <v>117</v>
      </c>
      <c r="C63" s="72" t="s">
        <v>113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IFERROR(VLOOKUP(G63,#REF!,2,FALSE),"")</f>
        <v/>
      </c>
    </row>
    <row r="64" spans="1:8" ht="15.75" thickBot="1" x14ac:dyDescent="0.3">
      <c r="A64" s="70" t="s">
        <v>169</v>
      </c>
      <c r="B64" s="72">
        <v>117</v>
      </c>
      <c r="C64" s="72" t="s">
        <v>113</v>
      </c>
      <c r="D64">
        <v>63</v>
      </c>
      <c r="E64" t="str">
        <f t="shared" si="0"/>
        <v/>
      </c>
      <c r="G64" t="str">
        <f t="shared" si="1"/>
        <v/>
      </c>
      <c r="H64" t="str">
        <f>IFERROR(VLOOKUP(G64,#REF!,2,FALSE),"")</f>
        <v/>
      </c>
    </row>
    <row r="65" spans="1:8" ht="15.75" thickBot="1" x14ac:dyDescent="0.3">
      <c r="A65" s="70" t="s">
        <v>170</v>
      </c>
      <c r="B65" s="72">
        <v>120</v>
      </c>
      <c r="C65" s="72" t="s">
        <v>88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IFERROR(VLOOKUP(G65,#REF!,2,FALSE),"")</f>
        <v/>
      </c>
    </row>
    <row r="66" spans="1:8" ht="15.75" thickBot="1" x14ac:dyDescent="0.3">
      <c r="A66" s="70" t="s">
        <v>171</v>
      </c>
      <c r="B66" s="72">
        <v>120</v>
      </c>
      <c r="C66" s="72" t="s">
        <v>88</v>
      </c>
      <c r="D66">
        <v>65</v>
      </c>
      <c r="E66" t="str">
        <f t="shared" si="0"/>
        <v/>
      </c>
      <c r="G66" t="str">
        <f t="shared" si="1"/>
        <v/>
      </c>
      <c r="H66" t="str">
        <f>IFERROR(VLOOKUP(G66,#REF!,2,FALSE),"")</f>
        <v/>
      </c>
    </row>
    <row r="67" spans="1:8" ht="15.75" thickBot="1" x14ac:dyDescent="0.3">
      <c r="A67" s="70" t="s">
        <v>171</v>
      </c>
      <c r="B67" s="72">
        <v>122</v>
      </c>
      <c r="C67" s="72" t="s">
        <v>110</v>
      </c>
      <c r="D67">
        <v>66</v>
      </c>
      <c r="E67" t="str">
        <f t="shared" ref="E67:E130" si="2">IF(A67=$F$2,B67,"")</f>
        <v/>
      </c>
      <c r="G67" t="str">
        <f t="shared" ref="G67:G130" si="3">IFERROR(SMALL($E$2:$E$250,D67),"")</f>
        <v/>
      </c>
      <c r="H67" t="str">
        <f>IFERROR(VLOOKUP(G67,#REF!,2,FALSE),"")</f>
        <v/>
      </c>
    </row>
    <row r="68" spans="1:8" ht="15.75" thickBot="1" x14ac:dyDescent="0.3">
      <c r="A68" s="70" t="s">
        <v>169</v>
      </c>
      <c r="B68" s="72">
        <v>122</v>
      </c>
      <c r="C68" s="72" t="s">
        <v>110</v>
      </c>
      <c r="D68">
        <v>67</v>
      </c>
      <c r="E68" t="str">
        <f t="shared" si="2"/>
        <v/>
      </c>
      <c r="G68" t="str">
        <f t="shared" si="3"/>
        <v/>
      </c>
      <c r="H68" t="str">
        <f>IFERROR(VLOOKUP(G68,#REF!,2,FALSE),"")</f>
        <v/>
      </c>
    </row>
    <row r="69" spans="1:8" ht="15.75" thickBot="1" x14ac:dyDescent="0.3">
      <c r="A69" s="70" t="s">
        <v>171</v>
      </c>
      <c r="B69" s="72">
        <v>127</v>
      </c>
      <c r="C69" s="72" t="s">
        <v>93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IFERROR(VLOOKUP(G69,#REF!,2,FALSE),"")</f>
        <v/>
      </c>
    </row>
    <row r="70" spans="1:8" ht="15.75" thickBot="1" x14ac:dyDescent="0.3">
      <c r="A70" s="70" t="s">
        <v>169</v>
      </c>
      <c r="B70" s="72">
        <v>127</v>
      </c>
      <c r="C70" s="72" t="s">
        <v>93</v>
      </c>
      <c r="D70">
        <v>69</v>
      </c>
      <c r="E70" t="str">
        <f t="shared" si="2"/>
        <v/>
      </c>
      <c r="G70" t="str">
        <f t="shared" si="3"/>
        <v/>
      </c>
      <c r="H70" t="str">
        <f>IFERROR(VLOOKUP(G70,#REF!,2,FALSE),"")</f>
        <v/>
      </c>
    </row>
    <row r="71" spans="1:8" ht="15.75" thickBot="1" x14ac:dyDescent="0.3">
      <c r="A71" s="70" t="s">
        <v>170</v>
      </c>
      <c r="B71" s="72">
        <v>140</v>
      </c>
      <c r="C71" s="72" t="s">
        <v>53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IFERROR(VLOOKUP(G71,#REF!,2,FALSE),"")</f>
        <v/>
      </c>
    </row>
    <row r="72" spans="1:8" ht="15.75" thickBot="1" x14ac:dyDescent="0.3">
      <c r="A72" s="70" t="s">
        <v>171</v>
      </c>
      <c r="B72" s="72">
        <v>140</v>
      </c>
      <c r="C72" s="72" t="s">
        <v>53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IFERROR(VLOOKUP(G72,#REF!,2,FALSE),"")</f>
        <v/>
      </c>
    </row>
    <row r="73" spans="1:8" ht="15.75" thickBot="1" x14ac:dyDescent="0.3">
      <c r="A73" s="70" t="s">
        <v>170</v>
      </c>
      <c r="B73" s="72">
        <v>150</v>
      </c>
      <c r="C73" s="72" t="s">
        <v>68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IFERROR(VLOOKUP(G73,#REF!,2,FALSE),"")</f>
        <v/>
      </c>
    </row>
    <row r="74" spans="1:8" ht="15.75" thickBot="1" x14ac:dyDescent="0.3">
      <c r="A74" s="70" t="s">
        <v>171</v>
      </c>
      <c r="B74" s="72">
        <v>150</v>
      </c>
      <c r="C74" s="72" t="s">
        <v>68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IFERROR(VLOOKUP(G74,#REF!,2,FALSE),"")</f>
        <v/>
      </c>
    </row>
    <row r="75" spans="1:8" ht="15.75" thickBot="1" x14ac:dyDescent="0.3">
      <c r="A75" s="70" t="s">
        <v>170</v>
      </c>
      <c r="B75" s="72">
        <v>160</v>
      </c>
      <c r="C75" s="72" t="s">
        <v>42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IFERROR(VLOOKUP(G75,#REF!,2,FALSE),"")</f>
        <v/>
      </c>
    </row>
    <row r="76" spans="1:8" ht="15.75" thickBot="1" x14ac:dyDescent="0.3">
      <c r="A76" s="70" t="s">
        <v>171</v>
      </c>
      <c r="B76" s="72">
        <v>160</v>
      </c>
      <c r="C76" s="72" t="s">
        <v>42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IFERROR(VLOOKUP(G76,#REF!,2,FALSE),"")</f>
        <v/>
      </c>
    </row>
    <row r="77" spans="1:8" ht="15.75" thickBot="1" x14ac:dyDescent="0.3">
      <c r="A77" s="70" t="s">
        <v>170</v>
      </c>
      <c r="B77" s="72">
        <v>185</v>
      </c>
      <c r="C77" s="72" t="s">
        <v>26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IFERROR(VLOOKUP(G77,#REF!,2,FALSE),"")</f>
        <v/>
      </c>
    </row>
    <row r="78" spans="1:8" ht="15.75" thickBot="1" x14ac:dyDescent="0.3">
      <c r="A78" s="70" t="s">
        <v>171</v>
      </c>
      <c r="B78" s="72">
        <v>185</v>
      </c>
      <c r="C78" s="72" t="s">
        <v>26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IFERROR(VLOOKUP(G78,#REF!,2,FALSE),"")</f>
        <v/>
      </c>
    </row>
    <row r="79" spans="1:8" ht="15.75" thickBot="1" x14ac:dyDescent="0.3">
      <c r="A79" s="70" t="s">
        <v>170</v>
      </c>
      <c r="B79" s="72">
        <v>205</v>
      </c>
      <c r="C79" s="72" t="s">
        <v>15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IFERROR(VLOOKUP(G79,#REF!,2,FALSE),"")</f>
        <v/>
      </c>
    </row>
    <row r="80" spans="1:8" ht="15.75" thickBot="1" x14ac:dyDescent="0.3">
      <c r="A80" s="70" t="s">
        <v>171</v>
      </c>
      <c r="B80" s="72">
        <v>205</v>
      </c>
      <c r="C80" s="72" t="s">
        <v>15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IFERROR(VLOOKUP(G80,#REF!,2,FALSE),"")</f>
        <v/>
      </c>
    </row>
    <row r="81" spans="1:8" ht="15.75" thickBot="1" x14ac:dyDescent="0.3">
      <c r="A81" s="70" t="s">
        <v>170</v>
      </c>
      <c r="B81" s="72">
        <v>215</v>
      </c>
      <c r="C81" s="72" t="s">
        <v>114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IFERROR(VLOOKUP(G81,#REF!,2,FALSE),"")</f>
        <v/>
      </c>
    </row>
    <row r="82" spans="1:8" ht="15.75" thickBot="1" x14ac:dyDescent="0.3">
      <c r="A82" s="70" t="s">
        <v>171</v>
      </c>
      <c r="B82" s="72">
        <v>215</v>
      </c>
      <c r="C82" s="72" t="s">
        <v>114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IFERROR(VLOOKUP(G82,#REF!,2,FALSE),"")</f>
        <v/>
      </c>
    </row>
    <row r="83" spans="1:8" ht="15.75" thickBot="1" x14ac:dyDescent="0.3">
      <c r="A83" s="70" t="s">
        <v>170</v>
      </c>
      <c r="B83" s="72">
        <v>245</v>
      </c>
      <c r="C83" s="72" t="s">
        <v>130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IFERROR(VLOOKUP(G83,#REF!,2,FALSE),"")</f>
        <v/>
      </c>
    </row>
    <row r="84" spans="1:8" ht="15.75" thickBot="1" x14ac:dyDescent="0.3">
      <c r="A84" s="70" t="s">
        <v>171</v>
      </c>
      <c r="B84" s="72">
        <v>245</v>
      </c>
      <c r="C84" s="72" t="s">
        <v>130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IFERROR(VLOOKUP(G84,#REF!,2,FALSE),"")</f>
        <v/>
      </c>
    </row>
    <row r="85" spans="1:8" ht="15.75" thickBot="1" x14ac:dyDescent="0.3">
      <c r="A85" s="70" t="s">
        <v>170</v>
      </c>
      <c r="B85" s="72">
        <v>250</v>
      </c>
      <c r="C85" s="72" t="s">
        <v>18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IFERROR(VLOOKUP(G85,#REF!,2,FALSE),"")</f>
        <v/>
      </c>
    </row>
    <row r="86" spans="1:8" ht="15.75" thickBot="1" x14ac:dyDescent="0.3">
      <c r="A86" s="70" t="s">
        <v>171</v>
      </c>
      <c r="B86" s="72">
        <v>250</v>
      </c>
      <c r="C86" s="72" t="s">
        <v>18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IFERROR(VLOOKUP(G86,#REF!,2,FALSE),"")</f>
        <v/>
      </c>
    </row>
    <row r="87" spans="1:8" ht="15.75" thickBot="1" x14ac:dyDescent="0.3">
      <c r="A87" s="70" t="s">
        <v>170</v>
      </c>
      <c r="B87" s="72">
        <v>255</v>
      </c>
      <c r="C87" s="72" t="s">
        <v>72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IFERROR(VLOOKUP(G87,#REF!,2,FALSE),"")</f>
        <v/>
      </c>
    </row>
    <row r="88" spans="1:8" ht="15.75" thickBot="1" x14ac:dyDescent="0.3">
      <c r="A88" s="70" t="s">
        <v>171</v>
      </c>
      <c r="B88" s="72">
        <v>255</v>
      </c>
      <c r="C88" s="72" t="s">
        <v>72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IFERROR(VLOOKUP(G88,#REF!,2,FALSE),"")</f>
        <v/>
      </c>
    </row>
    <row r="89" spans="1:8" ht="15.75" thickBot="1" x14ac:dyDescent="0.3">
      <c r="A89" s="70" t="s">
        <v>170</v>
      </c>
      <c r="B89" s="72">
        <v>260</v>
      </c>
      <c r="C89" s="72" t="s">
        <v>73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IFERROR(VLOOKUP(G89,#REF!,2,FALSE),"")</f>
        <v/>
      </c>
    </row>
    <row r="90" spans="1:8" ht="15.75" thickBot="1" x14ac:dyDescent="0.3">
      <c r="A90" s="70" t="s">
        <v>171</v>
      </c>
      <c r="B90" s="72">
        <v>260</v>
      </c>
      <c r="C90" s="72" t="s">
        <v>73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IFERROR(VLOOKUP(G90,#REF!,2,FALSE),"")</f>
        <v/>
      </c>
    </row>
    <row r="91" spans="1:8" ht="15.75" thickBot="1" x14ac:dyDescent="0.3">
      <c r="A91" s="70" t="s">
        <v>170</v>
      </c>
      <c r="B91" s="72">
        <v>270</v>
      </c>
      <c r="C91" s="72" t="s">
        <v>52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IFERROR(VLOOKUP(G91,#REF!,2,FALSE),"")</f>
        <v/>
      </c>
    </row>
    <row r="92" spans="1:8" ht="15.75" thickBot="1" x14ac:dyDescent="0.3">
      <c r="A92" s="70" t="s">
        <v>171</v>
      </c>
      <c r="B92" s="72">
        <v>270</v>
      </c>
      <c r="C92" s="72" t="s">
        <v>52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IFERROR(VLOOKUP(G92,#REF!,2,FALSE),"")</f>
        <v/>
      </c>
    </row>
    <row r="93" spans="1:8" ht="15.75" thickBot="1" x14ac:dyDescent="0.3">
      <c r="A93" s="70" t="s">
        <v>170</v>
      </c>
      <c r="B93" s="72">
        <v>285</v>
      </c>
      <c r="C93" s="72" t="s">
        <v>24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IFERROR(VLOOKUP(G93,#REF!,2,FALSE),"")</f>
        <v/>
      </c>
    </row>
    <row r="94" spans="1:8" ht="15.75" thickBot="1" x14ac:dyDescent="0.3">
      <c r="A94" s="70" t="s">
        <v>171</v>
      </c>
      <c r="B94" s="72">
        <v>285</v>
      </c>
      <c r="C94" s="72" t="s">
        <v>24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IFERROR(VLOOKUP(G94,#REF!,2,FALSE),"")</f>
        <v/>
      </c>
    </row>
    <row r="95" spans="1:8" ht="15.75" thickBot="1" x14ac:dyDescent="0.3">
      <c r="A95" s="70" t="s">
        <v>170</v>
      </c>
      <c r="B95" s="72">
        <v>290</v>
      </c>
      <c r="C95" s="72" t="s">
        <v>35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IFERROR(VLOOKUP(G95,#REF!,2,FALSE),"")</f>
        <v/>
      </c>
    </row>
    <row r="96" spans="1:8" ht="15.75" thickBot="1" x14ac:dyDescent="0.3">
      <c r="A96" s="70" t="s">
        <v>171</v>
      </c>
      <c r="B96" s="72">
        <v>290</v>
      </c>
      <c r="C96" s="72" t="s">
        <v>35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IFERROR(VLOOKUP(G96,#REF!,2,FALSE),"")</f>
        <v/>
      </c>
    </row>
    <row r="97" spans="1:8" ht="15.75" thickBot="1" x14ac:dyDescent="0.3">
      <c r="A97" s="70" t="s">
        <v>170</v>
      </c>
      <c r="B97" s="72">
        <v>295</v>
      </c>
      <c r="C97" s="72" t="s">
        <v>54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IFERROR(VLOOKUP(G97,#REF!,2,FALSE),"")</f>
        <v/>
      </c>
    </row>
    <row r="98" spans="1:8" ht="15.75" thickBot="1" x14ac:dyDescent="0.3">
      <c r="A98" s="70" t="s">
        <v>171</v>
      </c>
      <c r="B98" s="72">
        <v>295</v>
      </c>
      <c r="C98" s="72" t="s">
        <v>54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IFERROR(VLOOKUP(G98,#REF!,2,FALSE),"")</f>
        <v/>
      </c>
    </row>
    <row r="99" spans="1:8" ht="15.75" thickBot="1" x14ac:dyDescent="0.3">
      <c r="A99" s="70" t="s">
        <v>170</v>
      </c>
      <c r="B99" s="72">
        <v>320</v>
      </c>
      <c r="C99" s="72" t="s">
        <v>86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IFERROR(VLOOKUP(G99,#REF!,2,FALSE),"")</f>
        <v/>
      </c>
    </row>
    <row r="100" spans="1:8" ht="15.75" thickBot="1" x14ac:dyDescent="0.3">
      <c r="A100" s="70" t="s">
        <v>171</v>
      </c>
      <c r="B100" s="72">
        <v>320</v>
      </c>
      <c r="C100" s="72" t="s">
        <v>86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IFERROR(VLOOKUP(G100,#REF!,2,FALSE),"")</f>
        <v/>
      </c>
    </row>
    <row r="101" spans="1:8" ht="15.75" thickBot="1" x14ac:dyDescent="0.3">
      <c r="A101" s="70" t="s">
        <v>170</v>
      </c>
      <c r="B101" s="72">
        <v>345</v>
      </c>
      <c r="C101" s="72" t="s">
        <v>19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IFERROR(VLOOKUP(G101,#REF!,2,FALSE),"")</f>
        <v/>
      </c>
    </row>
    <row r="102" spans="1:8" ht="15.75" thickBot="1" x14ac:dyDescent="0.3">
      <c r="A102" s="70" t="s">
        <v>171</v>
      </c>
      <c r="B102" s="72">
        <v>345</v>
      </c>
      <c r="C102" s="72" t="s">
        <v>19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IFERROR(VLOOKUP(G102,#REF!,2,FALSE),"")</f>
        <v/>
      </c>
    </row>
    <row r="103" spans="1:8" ht="15.75" thickBot="1" x14ac:dyDescent="0.3">
      <c r="A103" s="70" t="s">
        <v>170</v>
      </c>
      <c r="B103" s="72">
        <v>350</v>
      </c>
      <c r="C103" s="72" t="s">
        <v>55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IFERROR(VLOOKUP(G103,#REF!,2,FALSE),"")</f>
        <v/>
      </c>
    </row>
    <row r="104" spans="1:8" ht="15.75" thickBot="1" x14ac:dyDescent="0.3">
      <c r="A104" s="70" t="s">
        <v>171</v>
      </c>
      <c r="B104" s="72">
        <v>350</v>
      </c>
      <c r="C104" s="72" t="s">
        <v>55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IFERROR(VLOOKUP(G104,#REF!,2,FALSE),"")</f>
        <v/>
      </c>
    </row>
    <row r="105" spans="1:8" ht="15.75" thickBot="1" x14ac:dyDescent="0.3">
      <c r="A105" s="70" t="s">
        <v>170</v>
      </c>
      <c r="B105" s="72">
        <v>360</v>
      </c>
      <c r="C105" s="72" t="s">
        <v>128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IFERROR(VLOOKUP(G105,#REF!,2,FALSE),"")</f>
        <v/>
      </c>
    </row>
    <row r="106" spans="1:8" ht="15.75" thickBot="1" x14ac:dyDescent="0.3">
      <c r="A106" s="70" t="s">
        <v>171</v>
      </c>
      <c r="B106" s="72">
        <v>360</v>
      </c>
      <c r="C106" s="72" t="s">
        <v>128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IFERROR(VLOOKUP(G106,#REF!,2,FALSE),"")</f>
        <v/>
      </c>
    </row>
    <row r="107" spans="1:8" ht="15.75" thickBot="1" x14ac:dyDescent="0.3">
      <c r="A107" s="70" t="s">
        <v>170</v>
      </c>
      <c r="B107" s="72">
        <v>380</v>
      </c>
      <c r="C107" s="72" t="s">
        <v>51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IFERROR(VLOOKUP(G107,#REF!,2,FALSE),"")</f>
        <v/>
      </c>
    </row>
    <row r="108" spans="1:8" ht="15.75" thickBot="1" x14ac:dyDescent="0.3">
      <c r="A108" s="70" t="s">
        <v>171</v>
      </c>
      <c r="B108" s="72">
        <v>380</v>
      </c>
      <c r="C108" s="72" t="s">
        <v>51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IFERROR(VLOOKUP(G108,#REF!,2,FALSE),"")</f>
        <v/>
      </c>
    </row>
    <row r="109" spans="1:8" ht="15.75" thickBot="1" x14ac:dyDescent="0.3">
      <c r="A109" s="70" t="s">
        <v>170</v>
      </c>
      <c r="B109" s="72">
        <v>390</v>
      </c>
      <c r="C109" s="72" t="s">
        <v>33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IFERROR(VLOOKUP(G109,#REF!,2,FALSE),"")</f>
        <v/>
      </c>
    </row>
    <row r="110" spans="1:8" ht="15.75" thickBot="1" x14ac:dyDescent="0.3">
      <c r="A110" s="70" t="s">
        <v>171</v>
      </c>
      <c r="B110" s="72">
        <v>390</v>
      </c>
      <c r="C110" s="72" t="s">
        <v>33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IFERROR(VLOOKUP(G110,#REF!,2,FALSE),"")</f>
        <v/>
      </c>
    </row>
    <row r="111" spans="1:8" ht="15.75" thickBot="1" x14ac:dyDescent="0.3">
      <c r="A111" s="70" t="s">
        <v>170</v>
      </c>
      <c r="B111" s="72">
        <v>395</v>
      </c>
      <c r="C111" s="72" t="s">
        <v>38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IFERROR(VLOOKUP(G111,#REF!,2,FALSE),"")</f>
        <v/>
      </c>
    </row>
    <row r="112" spans="1:8" ht="15.75" thickBot="1" x14ac:dyDescent="0.3">
      <c r="A112" s="70" t="s">
        <v>171</v>
      </c>
      <c r="B112" s="72">
        <v>395</v>
      </c>
      <c r="C112" s="72" t="s">
        <v>38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IFERROR(VLOOKUP(G112,#REF!,2,FALSE),"")</f>
        <v/>
      </c>
    </row>
    <row r="113" spans="1:8" ht="15.75" thickBot="1" x14ac:dyDescent="0.3">
      <c r="A113" s="70" t="s">
        <v>170</v>
      </c>
      <c r="B113" s="72">
        <v>397</v>
      </c>
      <c r="C113" s="72" t="s">
        <v>37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IFERROR(VLOOKUP(G113,#REF!,2,FALSE),"")</f>
        <v/>
      </c>
    </row>
    <row r="114" spans="1:8" ht="15.75" thickBot="1" x14ac:dyDescent="0.3">
      <c r="A114" s="70" t="s">
        <v>171</v>
      </c>
      <c r="B114" s="72">
        <v>397</v>
      </c>
      <c r="C114" s="72" t="s">
        <v>37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IFERROR(VLOOKUP(G114,#REF!,2,FALSE),"")</f>
        <v/>
      </c>
    </row>
    <row r="115" spans="1:8" ht="15.75" thickBot="1" x14ac:dyDescent="0.3">
      <c r="A115" s="70" t="s">
        <v>170</v>
      </c>
      <c r="B115" s="72">
        <v>400</v>
      </c>
      <c r="C115" s="72" t="s">
        <v>40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IFERROR(VLOOKUP(G115,#REF!,2,FALSE),"")</f>
        <v/>
      </c>
    </row>
    <row r="116" spans="1:8" ht="15.75" thickBot="1" x14ac:dyDescent="0.3">
      <c r="A116" s="70" t="s">
        <v>171</v>
      </c>
      <c r="B116" s="72">
        <v>400</v>
      </c>
      <c r="C116" s="72" t="s">
        <v>40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IFERROR(VLOOKUP(G116,#REF!,2,FALSE),"")</f>
        <v/>
      </c>
    </row>
    <row r="117" spans="1:8" ht="15.75" thickBot="1" x14ac:dyDescent="0.3">
      <c r="A117" s="70" t="s">
        <v>170</v>
      </c>
      <c r="B117" s="72">
        <v>405</v>
      </c>
      <c r="C117" s="72" t="s">
        <v>36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IFERROR(VLOOKUP(G117,#REF!,2,FALSE),"")</f>
        <v/>
      </c>
    </row>
    <row r="118" spans="1:8" ht="15.75" thickBot="1" x14ac:dyDescent="0.3">
      <c r="A118" s="70" t="s">
        <v>171</v>
      </c>
      <c r="B118" s="72">
        <v>405</v>
      </c>
      <c r="C118" s="72" t="s">
        <v>36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IFERROR(VLOOKUP(G118,#REF!,2,FALSE),"")</f>
        <v/>
      </c>
    </row>
    <row r="119" spans="1:8" ht="15.75" thickBot="1" x14ac:dyDescent="0.3">
      <c r="A119" s="70" t="s">
        <v>170</v>
      </c>
      <c r="B119" s="72">
        <v>410</v>
      </c>
      <c r="C119" s="72" t="s">
        <v>30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IFERROR(VLOOKUP(G119,#REF!,2,FALSE),"")</f>
        <v/>
      </c>
    </row>
    <row r="120" spans="1:8" ht="15.75" thickBot="1" x14ac:dyDescent="0.3">
      <c r="A120" s="70" t="s">
        <v>171</v>
      </c>
      <c r="B120" s="72">
        <v>410</v>
      </c>
      <c r="C120" s="72" t="s">
        <v>30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IFERROR(VLOOKUP(G120,#REF!,2,FALSE),"")</f>
        <v/>
      </c>
    </row>
    <row r="121" spans="1:8" ht="15.75" thickBot="1" x14ac:dyDescent="0.3">
      <c r="A121" s="70" t="s">
        <v>170</v>
      </c>
      <c r="B121" s="72">
        <v>420</v>
      </c>
      <c r="C121" s="72" t="s">
        <v>21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IFERROR(VLOOKUP(G121,#REF!,2,FALSE),"")</f>
        <v/>
      </c>
    </row>
    <row r="122" spans="1:8" ht="15.75" thickBot="1" x14ac:dyDescent="0.3">
      <c r="A122" s="70" t="s">
        <v>171</v>
      </c>
      <c r="B122" s="72">
        <v>420</v>
      </c>
      <c r="C122" s="72" t="s">
        <v>21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IFERROR(VLOOKUP(G122,#REF!,2,FALSE),"")</f>
        <v/>
      </c>
    </row>
    <row r="123" spans="1:8" ht="15.75" thickBot="1" x14ac:dyDescent="0.3">
      <c r="A123" s="70" t="s">
        <v>170</v>
      </c>
      <c r="B123" s="72">
        <v>428</v>
      </c>
      <c r="C123" s="72" t="s">
        <v>29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IFERROR(VLOOKUP(G123,#REF!,2,FALSE),"")</f>
        <v/>
      </c>
    </row>
    <row r="124" spans="1:8" ht="15.75" thickBot="1" x14ac:dyDescent="0.3">
      <c r="A124" s="70" t="s">
        <v>171</v>
      </c>
      <c r="B124" s="72">
        <v>428</v>
      </c>
      <c r="C124" s="72" t="s">
        <v>29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IFERROR(VLOOKUP(G124,#REF!,2,FALSE),"")</f>
        <v/>
      </c>
    </row>
    <row r="125" spans="1:8" ht="15.75" thickBot="1" x14ac:dyDescent="0.3">
      <c r="A125" s="70" t="s">
        <v>170</v>
      </c>
      <c r="B125" s="72">
        <v>435</v>
      </c>
      <c r="C125" s="72" t="s">
        <v>39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IFERROR(VLOOKUP(G125,#REF!,2,FALSE),"")</f>
        <v/>
      </c>
    </row>
    <row r="126" spans="1:8" ht="15.75" thickBot="1" x14ac:dyDescent="0.3">
      <c r="A126" s="70" t="s">
        <v>171</v>
      </c>
      <c r="B126" s="72">
        <v>435</v>
      </c>
      <c r="C126" s="72" t="s">
        <v>39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IFERROR(VLOOKUP(G126,#REF!,2,FALSE),"")</f>
        <v/>
      </c>
    </row>
    <row r="127" spans="1:8" ht="15.75" thickBot="1" x14ac:dyDescent="0.3">
      <c r="A127" s="70" t="s">
        <v>170</v>
      </c>
      <c r="B127" s="72">
        <v>440</v>
      </c>
      <c r="C127" s="72" t="s">
        <v>65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IFERROR(VLOOKUP(G127,#REF!,2,FALSE),"")</f>
        <v/>
      </c>
    </row>
    <row r="128" spans="1:8" ht="15.75" thickBot="1" x14ac:dyDescent="0.3">
      <c r="A128" s="70" t="s">
        <v>171</v>
      </c>
      <c r="B128" s="72">
        <v>440</v>
      </c>
      <c r="C128" s="72" t="s">
        <v>65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IFERROR(VLOOKUP(G128,#REF!,2,FALSE),"")</f>
        <v/>
      </c>
    </row>
    <row r="129" spans="1:8" ht="15.75" thickBot="1" x14ac:dyDescent="0.3">
      <c r="A129" s="70" t="s">
        <v>170</v>
      </c>
      <c r="B129" s="72">
        <v>445</v>
      </c>
      <c r="C129" s="72" t="s">
        <v>28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IFERROR(VLOOKUP(G129,#REF!,2,FALSE),"")</f>
        <v/>
      </c>
    </row>
    <row r="130" spans="1:8" ht="15.75" thickBot="1" x14ac:dyDescent="0.3">
      <c r="A130" s="70" t="s">
        <v>171</v>
      </c>
      <c r="B130" s="72">
        <v>445</v>
      </c>
      <c r="C130" s="72" t="s">
        <v>28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IFERROR(VLOOKUP(G130,#REF!,2,FALSE),"")</f>
        <v/>
      </c>
    </row>
    <row r="131" spans="1:8" ht="15.75" thickBot="1" x14ac:dyDescent="0.3">
      <c r="A131" s="70" t="s">
        <v>170</v>
      </c>
      <c r="B131" s="72">
        <v>450</v>
      </c>
      <c r="C131" s="72" t="s">
        <v>66</v>
      </c>
      <c r="D131">
        <v>130</v>
      </c>
      <c r="E131" t="str">
        <f t="shared" ref="E131:E194" si="4">IF(A131=$F$2,B131,"")</f>
        <v/>
      </c>
      <c r="G131" t="str">
        <f t="shared" ref="G131:G194" si="5">IFERROR(SMALL($E$2:$E$250,D131),"")</f>
        <v/>
      </c>
      <c r="H131" t="str">
        <f>IFERROR(VLOOKUP(G131,#REF!,2,FALSE),"")</f>
        <v/>
      </c>
    </row>
    <row r="132" spans="1:8" ht="15.75" thickBot="1" x14ac:dyDescent="0.3">
      <c r="A132" s="70" t="s">
        <v>171</v>
      </c>
      <c r="B132" s="72">
        <v>450</v>
      </c>
      <c r="C132" s="72" t="s">
        <v>66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IFERROR(VLOOKUP(G132,#REF!,2,FALSE),"")</f>
        <v/>
      </c>
    </row>
    <row r="133" spans="1:8" ht="15.75" thickBot="1" x14ac:dyDescent="0.3">
      <c r="A133" s="70" t="s">
        <v>170</v>
      </c>
      <c r="B133" s="72">
        <v>452</v>
      </c>
      <c r="C133" s="72" t="s">
        <v>13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IFERROR(VLOOKUP(G133,#REF!,2,FALSE),"")</f>
        <v/>
      </c>
    </row>
    <row r="134" spans="1:8" ht="15.75" thickBot="1" x14ac:dyDescent="0.3">
      <c r="A134" s="70" t="s">
        <v>171</v>
      </c>
      <c r="B134" s="72">
        <v>452</v>
      </c>
      <c r="C134" s="72" t="s">
        <v>13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IFERROR(VLOOKUP(G134,#REF!,2,FALSE),"")</f>
        <v/>
      </c>
    </row>
    <row r="135" spans="1:8" ht="15.75" thickBot="1" x14ac:dyDescent="0.3">
      <c r="A135" s="70" t="s">
        <v>170</v>
      </c>
      <c r="B135" s="72">
        <v>460</v>
      </c>
      <c r="C135" s="72" t="s">
        <v>70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IFERROR(VLOOKUP(G135,#REF!,2,FALSE),"")</f>
        <v/>
      </c>
    </row>
    <row r="136" spans="1:8" ht="15.75" thickBot="1" x14ac:dyDescent="0.3">
      <c r="A136" s="70" t="s">
        <v>171</v>
      </c>
      <c r="B136" s="72">
        <v>460</v>
      </c>
      <c r="C136" s="72" t="s">
        <v>70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IFERROR(VLOOKUP(G136,#REF!,2,FALSE),"")</f>
        <v/>
      </c>
    </row>
    <row r="137" spans="1:8" ht="15.75" thickBot="1" x14ac:dyDescent="0.3">
      <c r="A137" s="70" t="s">
        <v>170</v>
      </c>
      <c r="B137" s="72">
        <v>461</v>
      </c>
      <c r="C137" s="72" t="s">
        <v>79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IFERROR(VLOOKUP(G137,#REF!,2,FALSE),"")</f>
        <v/>
      </c>
    </row>
    <row r="138" spans="1:8" ht="15.75" thickBot="1" x14ac:dyDescent="0.3">
      <c r="A138" s="70" t="s">
        <v>171</v>
      </c>
      <c r="B138" s="72">
        <v>461</v>
      </c>
      <c r="C138" s="72" t="s">
        <v>79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IFERROR(VLOOKUP(G138,#REF!,2,FALSE),"")</f>
        <v/>
      </c>
    </row>
    <row r="139" spans="1:8" ht="15.75" thickBot="1" x14ac:dyDescent="0.3">
      <c r="A139" s="70" t="s">
        <v>170</v>
      </c>
      <c r="B139" s="72">
        <v>463</v>
      </c>
      <c r="C139" s="72" t="s">
        <v>80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IFERROR(VLOOKUP(G139,#REF!,2,FALSE),"")</f>
        <v/>
      </c>
    </row>
    <row r="140" spans="1:8" ht="15.75" thickBot="1" x14ac:dyDescent="0.3">
      <c r="A140" s="70" t="s">
        <v>171</v>
      </c>
      <c r="B140" s="72">
        <v>463</v>
      </c>
      <c r="C140" s="72" t="s">
        <v>80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IFERROR(VLOOKUP(G140,#REF!,2,FALSE),"")</f>
        <v/>
      </c>
    </row>
    <row r="141" spans="1:8" ht="15.75" thickBot="1" x14ac:dyDescent="0.3">
      <c r="A141" s="70" t="s">
        <v>170</v>
      </c>
      <c r="B141" s="72">
        <v>465</v>
      </c>
      <c r="C141" s="72" t="s">
        <v>45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IFERROR(VLOOKUP(G141,#REF!,2,FALSE),"")</f>
        <v/>
      </c>
    </row>
    <row r="142" spans="1:8" ht="15.75" thickBot="1" x14ac:dyDescent="0.3">
      <c r="A142" s="70" t="s">
        <v>171</v>
      </c>
      <c r="B142" s="72">
        <v>465</v>
      </c>
      <c r="C142" s="72" t="s">
        <v>45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IFERROR(VLOOKUP(G142,#REF!,2,FALSE),"")</f>
        <v/>
      </c>
    </row>
    <row r="143" spans="1:8" ht="15.75" thickBot="1" x14ac:dyDescent="0.3">
      <c r="A143" s="70" t="s">
        <v>170</v>
      </c>
      <c r="B143" s="72">
        <v>475</v>
      </c>
      <c r="C143" s="72" t="s">
        <v>48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IFERROR(VLOOKUP(G143,#REF!,2,FALSE),"")</f>
        <v/>
      </c>
    </row>
    <row r="144" spans="1:8" ht="15.75" thickBot="1" x14ac:dyDescent="0.3">
      <c r="A144" s="70" t="s">
        <v>171</v>
      </c>
      <c r="B144" s="72">
        <v>475</v>
      </c>
      <c r="C144" s="72" t="s">
        <v>48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IFERROR(VLOOKUP(G144,#REF!,2,FALSE),"")</f>
        <v/>
      </c>
    </row>
    <row r="145" spans="1:8" ht="15.75" thickBot="1" x14ac:dyDescent="0.3">
      <c r="A145" s="70" t="s">
        <v>170</v>
      </c>
      <c r="B145" s="72">
        <v>480</v>
      </c>
      <c r="C145" s="72" t="s">
        <v>64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IFERROR(VLOOKUP(G145,#REF!,2,FALSE),"")</f>
        <v/>
      </c>
    </row>
    <row r="146" spans="1:8" ht="15.75" thickBot="1" x14ac:dyDescent="0.3">
      <c r="A146" s="70" t="s">
        <v>171</v>
      </c>
      <c r="B146" s="72">
        <v>480</v>
      </c>
      <c r="C146" s="72" t="s">
        <v>64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IFERROR(VLOOKUP(G146,#REF!,2,FALSE),"")</f>
        <v/>
      </c>
    </row>
    <row r="147" spans="1:8" ht="15.75" thickBot="1" x14ac:dyDescent="0.3">
      <c r="A147" s="70" t="s">
        <v>170</v>
      </c>
      <c r="B147" s="72">
        <v>495</v>
      </c>
      <c r="C147" s="72" t="s">
        <v>131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IFERROR(VLOOKUP(G147,#REF!,2,FALSE),"")</f>
        <v/>
      </c>
    </row>
    <row r="148" spans="1:8" ht="15.75" thickBot="1" x14ac:dyDescent="0.3">
      <c r="A148" s="70" t="s">
        <v>171</v>
      </c>
      <c r="B148" s="72">
        <v>495</v>
      </c>
      <c r="C148" s="72" t="s">
        <v>131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IFERROR(VLOOKUP(G148,#REF!,2,FALSE),"")</f>
        <v/>
      </c>
    </row>
    <row r="149" spans="1:8" ht="15.75" thickBot="1" x14ac:dyDescent="0.3">
      <c r="A149" s="70" t="s">
        <v>170</v>
      </c>
      <c r="B149" s="72">
        <v>505</v>
      </c>
      <c r="C149" s="72" t="s">
        <v>74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IFERROR(VLOOKUP(G149,#REF!,2,FALSE),"")</f>
        <v/>
      </c>
    </row>
    <row r="150" spans="1:8" ht="15.75" thickBot="1" x14ac:dyDescent="0.3">
      <c r="A150" s="70" t="s">
        <v>171</v>
      </c>
      <c r="B150" s="72">
        <v>505</v>
      </c>
      <c r="C150" s="72" t="s">
        <v>74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IFERROR(VLOOKUP(G150,#REF!,2,FALSE),"")</f>
        <v/>
      </c>
    </row>
    <row r="151" spans="1:8" ht="15.75" thickBot="1" x14ac:dyDescent="0.3">
      <c r="A151" s="70" t="s">
        <v>170</v>
      </c>
      <c r="B151" s="72">
        <v>510</v>
      </c>
      <c r="C151" s="72" t="s">
        <v>87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IFERROR(VLOOKUP(G151,#REF!,2,FALSE),"")</f>
        <v/>
      </c>
    </row>
    <row r="152" spans="1:8" ht="15.75" thickBot="1" x14ac:dyDescent="0.3">
      <c r="A152" s="70" t="s">
        <v>171</v>
      </c>
      <c r="B152" s="72">
        <v>510</v>
      </c>
      <c r="C152" s="72" t="s">
        <v>87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IFERROR(VLOOKUP(G152,#REF!,2,FALSE),"")</f>
        <v/>
      </c>
    </row>
    <row r="153" spans="1:8" ht="15.75" thickBot="1" x14ac:dyDescent="0.3">
      <c r="A153" s="70" t="s">
        <v>170</v>
      </c>
      <c r="B153" s="72">
        <v>515</v>
      </c>
      <c r="C153" s="72" t="s">
        <v>41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IFERROR(VLOOKUP(G153,#REF!,2,FALSE),"")</f>
        <v/>
      </c>
    </row>
    <row r="154" spans="1:8" ht="15.75" thickBot="1" x14ac:dyDescent="0.3">
      <c r="A154" s="70" t="s">
        <v>171</v>
      </c>
      <c r="B154" s="72">
        <v>515</v>
      </c>
      <c r="C154" s="72" t="s">
        <v>41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IFERROR(VLOOKUP(G154,#REF!,2,FALSE),"")</f>
        <v/>
      </c>
    </row>
    <row r="155" spans="1:8" ht="15.75" thickBot="1" x14ac:dyDescent="0.3">
      <c r="A155" s="70" t="s">
        <v>170</v>
      </c>
      <c r="B155" s="72">
        <v>535</v>
      </c>
      <c r="C155" s="72" t="s">
        <v>16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IFERROR(VLOOKUP(G155,#REF!,2,FALSE),"")</f>
        <v/>
      </c>
    </row>
    <row r="156" spans="1:8" ht="15.75" thickBot="1" x14ac:dyDescent="0.3">
      <c r="A156" s="70" t="s">
        <v>171</v>
      </c>
      <c r="B156" s="72">
        <v>535</v>
      </c>
      <c r="C156" s="72" t="s">
        <v>16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IFERROR(VLOOKUP(G156,#REF!,2,FALSE),"")</f>
        <v/>
      </c>
    </row>
    <row r="157" spans="1:8" ht="15.75" thickBot="1" x14ac:dyDescent="0.3">
      <c r="A157" s="70" t="s">
        <v>170</v>
      </c>
      <c r="B157" s="72">
        <v>540</v>
      </c>
      <c r="C157" s="72" t="s">
        <v>49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IFERROR(VLOOKUP(G157,#REF!,2,FALSE),"")</f>
        <v/>
      </c>
    </row>
    <row r="158" spans="1:8" ht="15.75" thickBot="1" x14ac:dyDescent="0.3">
      <c r="A158" s="70" t="s">
        <v>171</v>
      </c>
      <c r="B158" s="72">
        <v>540</v>
      </c>
      <c r="C158" s="72" t="s">
        <v>49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IFERROR(VLOOKUP(G158,#REF!,2,FALSE),"")</f>
        <v/>
      </c>
    </row>
    <row r="159" spans="1:8" ht="15.75" thickBot="1" x14ac:dyDescent="0.3">
      <c r="A159" s="70" t="s">
        <v>170</v>
      </c>
      <c r="B159" s="72">
        <v>548</v>
      </c>
      <c r="C159" s="72" t="s">
        <v>57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IFERROR(VLOOKUP(G159,#REF!,2,FALSE),"")</f>
        <v/>
      </c>
    </row>
    <row r="160" spans="1:8" ht="15.75" thickBot="1" x14ac:dyDescent="0.3">
      <c r="A160" s="70" t="s">
        <v>171</v>
      </c>
      <c r="B160" s="72">
        <v>548</v>
      </c>
      <c r="C160" s="72" t="s">
        <v>57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IFERROR(VLOOKUP(G160,#REF!,2,FALSE),"")</f>
        <v/>
      </c>
    </row>
    <row r="161" spans="1:8" ht="15.75" thickBot="1" x14ac:dyDescent="0.3">
      <c r="A161" s="70" t="s">
        <v>170</v>
      </c>
      <c r="B161" s="72">
        <v>550</v>
      </c>
      <c r="C161" s="72" t="s">
        <v>58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IFERROR(VLOOKUP(G161,#REF!,2,FALSE),"")</f>
        <v/>
      </c>
    </row>
    <row r="162" spans="1:8" ht="15.75" thickBot="1" x14ac:dyDescent="0.3">
      <c r="A162" s="70" t="s">
        <v>171</v>
      </c>
      <c r="B162" s="72">
        <v>550</v>
      </c>
      <c r="C162" s="72" t="s">
        <v>58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IFERROR(VLOOKUP(G162,#REF!,2,FALSE),"")</f>
        <v/>
      </c>
    </row>
    <row r="163" spans="1:8" ht="15.75" thickBot="1" x14ac:dyDescent="0.3">
      <c r="A163" s="70" t="s">
        <v>170</v>
      </c>
      <c r="B163" s="72">
        <v>555</v>
      </c>
      <c r="C163" s="72" t="s">
        <v>61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IFERROR(VLOOKUP(G163,#REF!,2,FALSE),"")</f>
        <v/>
      </c>
    </row>
    <row r="164" spans="1:8" ht="15.75" thickBot="1" x14ac:dyDescent="0.3">
      <c r="A164" s="70" t="s">
        <v>171</v>
      </c>
      <c r="B164" s="72">
        <v>555</v>
      </c>
      <c r="C164" s="72" t="s">
        <v>61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IFERROR(VLOOKUP(G164,#REF!,2,FALSE),"")</f>
        <v/>
      </c>
    </row>
    <row r="165" spans="1:8" ht="15.75" thickBot="1" x14ac:dyDescent="0.3">
      <c r="A165" s="70" t="s">
        <v>170</v>
      </c>
      <c r="B165" s="72">
        <v>565</v>
      </c>
      <c r="C165" s="72" t="s">
        <v>34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IFERROR(VLOOKUP(G165,#REF!,2,FALSE),"")</f>
        <v/>
      </c>
    </row>
    <row r="166" spans="1:8" ht="15.75" thickBot="1" x14ac:dyDescent="0.3">
      <c r="A166" s="70" t="s">
        <v>171</v>
      </c>
      <c r="B166" s="72">
        <v>565</v>
      </c>
      <c r="C166" s="72" t="s">
        <v>34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IFERROR(VLOOKUP(G166,#REF!,2,FALSE),"")</f>
        <v/>
      </c>
    </row>
    <row r="167" spans="1:8" ht="15.75" thickBot="1" x14ac:dyDescent="0.3">
      <c r="A167" s="70" t="s">
        <v>170</v>
      </c>
      <c r="B167" s="72">
        <v>580</v>
      </c>
      <c r="C167" s="72" t="s">
        <v>60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IFERROR(VLOOKUP(G167,#REF!,2,FALSE),"")</f>
        <v/>
      </c>
    </row>
    <row r="168" spans="1:8" ht="15.75" thickBot="1" x14ac:dyDescent="0.3">
      <c r="A168" s="70" t="s">
        <v>171</v>
      </c>
      <c r="B168" s="72">
        <v>580</v>
      </c>
      <c r="C168" s="72" t="s">
        <v>60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IFERROR(VLOOKUP(G168,#REF!,2,FALSE),"")</f>
        <v/>
      </c>
    </row>
    <row r="169" spans="1:8" ht="15.75" thickBot="1" x14ac:dyDescent="0.3">
      <c r="A169" s="70" t="s">
        <v>170</v>
      </c>
      <c r="B169" s="72">
        <v>593</v>
      </c>
      <c r="C169" s="72" t="s">
        <v>25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IFERROR(VLOOKUP(G169,#REF!,2,FALSE),"")</f>
        <v/>
      </c>
    </row>
    <row r="170" spans="1:8" ht="15.75" thickBot="1" x14ac:dyDescent="0.3">
      <c r="A170" s="70" t="s">
        <v>171</v>
      </c>
      <c r="B170" s="72">
        <v>593</v>
      </c>
      <c r="C170" s="72" t="s">
        <v>25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IFERROR(VLOOKUP(G170,#REF!,2,FALSE),"")</f>
        <v/>
      </c>
    </row>
    <row r="171" spans="1:8" ht="15.75" thickBot="1" x14ac:dyDescent="0.3">
      <c r="A171" s="70" t="s">
        <v>170</v>
      </c>
      <c r="B171" s="72">
        <v>595</v>
      </c>
      <c r="C171" s="72" t="s">
        <v>129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IFERROR(VLOOKUP(G171,#REF!,2,FALSE),"")</f>
        <v/>
      </c>
    </row>
    <row r="172" spans="1:8" ht="15.75" thickBot="1" x14ac:dyDescent="0.3">
      <c r="A172" s="70" t="s">
        <v>171</v>
      </c>
      <c r="B172" s="72">
        <v>595</v>
      </c>
      <c r="C172" s="72" t="s">
        <v>129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IFERROR(VLOOKUP(G172,#REF!,2,FALSE),"")</f>
        <v/>
      </c>
    </row>
    <row r="173" spans="1:8" ht="15.75" thickBot="1" x14ac:dyDescent="0.3">
      <c r="A173" s="70" t="s">
        <v>170</v>
      </c>
      <c r="B173" s="72">
        <v>600</v>
      </c>
      <c r="C173" s="72" t="s">
        <v>63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IFERROR(VLOOKUP(G173,#REF!,2,FALSE),"")</f>
        <v/>
      </c>
    </row>
    <row r="174" spans="1:8" ht="15.75" thickBot="1" x14ac:dyDescent="0.3">
      <c r="A174" s="70" t="s">
        <v>171</v>
      </c>
      <c r="B174" s="72">
        <v>600</v>
      </c>
      <c r="C174" s="72" t="s">
        <v>63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IFERROR(VLOOKUP(G174,#REF!,2,FALSE),"")</f>
        <v/>
      </c>
    </row>
    <row r="175" spans="1:8" ht="15.75" thickBot="1" x14ac:dyDescent="0.3">
      <c r="A175" s="70" t="s">
        <v>170</v>
      </c>
      <c r="B175" s="72">
        <v>685</v>
      </c>
      <c r="C175" s="72" t="s">
        <v>59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IFERROR(VLOOKUP(G175,#REF!,2,FALSE),"")</f>
        <v/>
      </c>
    </row>
    <row r="176" spans="1:8" ht="15.75" thickBot="1" x14ac:dyDescent="0.3">
      <c r="A176" s="70" t="s">
        <v>171</v>
      </c>
      <c r="B176" s="72">
        <v>685</v>
      </c>
      <c r="C176" s="72" t="s">
        <v>59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IFERROR(VLOOKUP(G176,#REF!,2,FALSE),"")</f>
        <v/>
      </c>
    </row>
    <row r="177" spans="1:8" ht="15.75" thickBot="1" x14ac:dyDescent="0.3">
      <c r="A177" s="70" t="s">
        <v>170</v>
      </c>
      <c r="B177" s="72">
        <v>736</v>
      </c>
      <c r="C177" s="72" t="s">
        <v>198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IFERROR(VLOOKUP(G177,#REF!,2,FALSE),"")</f>
        <v/>
      </c>
    </row>
    <row r="178" spans="1:8" ht="15.75" thickBot="1" x14ac:dyDescent="0.3">
      <c r="A178" s="70" t="s">
        <v>171</v>
      </c>
      <c r="B178" s="72">
        <v>736</v>
      </c>
      <c r="C178" s="72" t="s">
        <v>198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IFERROR(VLOOKUP(G178,#REF!,2,FALSE),"")</f>
        <v/>
      </c>
    </row>
    <row r="179" spans="1:8" ht="15.75" thickBot="1" x14ac:dyDescent="0.3">
      <c r="A179" s="70" t="s">
        <v>170</v>
      </c>
      <c r="B179" s="72">
        <v>745</v>
      </c>
      <c r="C179" s="72" t="s">
        <v>89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IFERROR(VLOOKUP(G179,#REF!,2,FALSE),"")</f>
        <v/>
      </c>
    </row>
    <row r="180" spans="1:8" ht="15.75" thickBot="1" x14ac:dyDescent="0.3">
      <c r="A180" s="70" t="s">
        <v>171</v>
      </c>
      <c r="B180" s="72">
        <v>745</v>
      </c>
      <c r="C180" s="72" t="s">
        <v>89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IFERROR(VLOOKUP(G180,#REF!,2,FALSE),"")</f>
        <v/>
      </c>
    </row>
    <row r="181" spans="1:8" ht="15.75" thickBot="1" x14ac:dyDescent="0.3">
      <c r="A181" s="70" t="s">
        <v>170</v>
      </c>
      <c r="B181" s="72">
        <v>748</v>
      </c>
      <c r="C181" s="72" t="s">
        <v>62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IFERROR(VLOOKUP(G181,#REF!,2,FALSE),"")</f>
        <v/>
      </c>
    </row>
    <row r="182" spans="1:8" ht="15.75" thickBot="1" x14ac:dyDescent="0.3">
      <c r="A182" s="70" t="s">
        <v>171</v>
      </c>
      <c r="B182" s="72">
        <v>748</v>
      </c>
      <c r="C182" s="72" t="s">
        <v>62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IFERROR(VLOOKUP(G182,#REF!,2,FALSE),"")</f>
        <v/>
      </c>
    </row>
    <row r="183" spans="1:8" ht="15.75" thickBot="1" x14ac:dyDescent="0.3">
      <c r="A183" s="70" t="s">
        <v>170</v>
      </c>
      <c r="B183" s="72">
        <v>750</v>
      </c>
      <c r="C183" s="72" t="s">
        <v>78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IFERROR(VLOOKUP(G183,#REF!,2,FALSE),"")</f>
        <v/>
      </c>
    </row>
    <row r="184" spans="1:8" ht="15.75" thickBot="1" x14ac:dyDescent="0.3">
      <c r="A184" s="70" t="s">
        <v>171</v>
      </c>
      <c r="B184" s="72">
        <v>750</v>
      </c>
      <c r="C184" s="72" t="s">
        <v>78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IFERROR(VLOOKUP(G184,#REF!,2,FALSE),"")</f>
        <v/>
      </c>
    </row>
    <row r="185" spans="1:8" ht="15.75" thickBot="1" x14ac:dyDescent="0.3">
      <c r="A185" s="70" t="s">
        <v>170</v>
      </c>
      <c r="B185" s="72">
        <v>754</v>
      </c>
      <c r="C185" s="72" t="s">
        <v>32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IFERROR(VLOOKUP(G185,#REF!,2,FALSE),"")</f>
        <v/>
      </c>
    </row>
    <row r="186" spans="1:8" ht="15.75" thickBot="1" x14ac:dyDescent="0.3">
      <c r="A186" s="70" t="s">
        <v>171</v>
      </c>
      <c r="B186" s="72">
        <v>754</v>
      </c>
      <c r="C186" s="72" t="s">
        <v>32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IFERROR(VLOOKUP(G186,#REF!,2,FALSE),"")</f>
        <v/>
      </c>
    </row>
    <row r="187" spans="1:8" ht="15.75" thickBot="1" x14ac:dyDescent="0.3">
      <c r="A187" s="70" t="s">
        <v>170</v>
      </c>
      <c r="B187" s="72">
        <v>757</v>
      </c>
      <c r="C187" s="72" t="s">
        <v>20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IFERROR(VLOOKUP(G187,#REF!,2,FALSE),"")</f>
        <v/>
      </c>
    </row>
    <row r="188" spans="1:8" ht="15.75" thickBot="1" x14ac:dyDescent="0.3">
      <c r="A188" s="70" t="s">
        <v>171</v>
      </c>
      <c r="B188" s="72">
        <v>757</v>
      </c>
      <c r="C188" s="72" t="s">
        <v>20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IFERROR(VLOOKUP(G188,#REF!,2,FALSE),"")</f>
        <v/>
      </c>
    </row>
    <row r="189" spans="1:8" ht="15.75" thickBot="1" x14ac:dyDescent="0.3">
      <c r="A189" s="70" t="s">
        <v>170</v>
      </c>
      <c r="B189" s="72">
        <v>758</v>
      </c>
      <c r="C189" s="72" t="s">
        <v>17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IFERROR(VLOOKUP(G189,#REF!,2,FALSE),"")</f>
        <v/>
      </c>
    </row>
    <row r="190" spans="1:8" ht="15.75" thickBot="1" x14ac:dyDescent="0.3">
      <c r="A190" s="70" t="s">
        <v>171</v>
      </c>
      <c r="B190" s="72">
        <v>758</v>
      </c>
      <c r="C190" s="72" t="s">
        <v>17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IFERROR(VLOOKUP(G190,#REF!,2,FALSE),"")</f>
        <v/>
      </c>
    </row>
    <row r="191" spans="1:8" ht="15.75" thickBot="1" x14ac:dyDescent="0.3">
      <c r="A191" s="70" t="s">
        <v>170</v>
      </c>
      <c r="B191" s="72">
        <v>760</v>
      </c>
      <c r="C191" s="72" t="s">
        <v>14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IFERROR(VLOOKUP(G191,#REF!,2,FALSE),"")</f>
        <v/>
      </c>
    </row>
    <row r="192" spans="1:8" ht="15.75" thickBot="1" x14ac:dyDescent="0.3">
      <c r="A192" s="70" t="s">
        <v>171</v>
      </c>
      <c r="B192" s="72">
        <v>760</v>
      </c>
      <c r="C192" s="72" t="s">
        <v>14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IFERROR(VLOOKUP(G192,#REF!,2,FALSE),"")</f>
        <v/>
      </c>
    </row>
    <row r="193" spans="1:8" ht="15.75" thickBot="1" x14ac:dyDescent="0.3">
      <c r="A193" s="70" t="s">
        <v>170</v>
      </c>
      <c r="B193" s="72">
        <v>773</v>
      </c>
      <c r="C193" s="72" t="s">
        <v>4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IFERROR(VLOOKUP(G193,#REF!,2,FALSE),"")</f>
        <v/>
      </c>
    </row>
    <row r="194" spans="1:8" ht="15.75" thickBot="1" x14ac:dyDescent="0.3">
      <c r="A194" s="70" t="s">
        <v>171</v>
      </c>
      <c r="B194" s="72">
        <v>773</v>
      </c>
      <c r="C194" s="72" t="s">
        <v>4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IFERROR(VLOOKUP(G194,#REF!,2,FALSE),"")</f>
        <v/>
      </c>
    </row>
    <row r="195" spans="1:8" ht="15.75" thickBot="1" x14ac:dyDescent="0.3">
      <c r="A195" s="70" t="s">
        <v>170</v>
      </c>
      <c r="B195" s="72">
        <v>775</v>
      </c>
      <c r="C195" s="72" t="s">
        <v>3</v>
      </c>
      <c r="D195">
        <v>194</v>
      </c>
      <c r="E195" t="str">
        <f t="shared" ref="E195:E250" si="6">IF(A195=$F$2,B195,"")</f>
        <v/>
      </c>
      <c r="G195" t="str">
        <f t="shared" ref="G195:G250" si="7">IFERROR(SMALL($E$2:$E$250,D195),"")</f>
        <v/>
      </c>
      <c r="H195" t="str">
        <f>IFERROR(VLOOKUP(G195,#REF!,2,FALSE),"")</f>
        <v/>
      </c>
    </row>
    <row r="196" spans="1:8" ht="15.75" thickBot="1" x14ac:dyDescent="0.3">
      <c r="A196" s="70" t="s">
        <v>171</v>
      </c>
      <c r="B196" s="72">
        <v>775</v>
      </c>
      <c r="C196" s="72" t="s">
        <v>3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IFERROR(VLOOKUP(G196,#REF!,2,FALSE),"")</f>
        <v/>
      </c>
    </row>
    <row r="197" spans="1:8" ht="15.75" thickBot="1" x14ac:dyDescent="0.3">
      <c r="A197" s="70" t="s">
        <v>170</v>
      </c>
      <c r="B197" s="72">
        <v>779</v>
      </c>
      <c r="C197" s="72" t="s">
        <v>10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IFERROR(VLOOKUP(G197,#REF!,2,FALSE),"")</f>
        <v/>
      </c>
    </row>
    <row r="198" spans="1:8" ht="15.75" thickBot="1" x14ac:dyDescent="0.3">
      <c r="A198" s="70" t="s">
        <v>171</v>
      </c>
      <c r="B198" s="72">
        <v>779</v>
      </c>
      <c r="C198" s="72" t="s">
        <v>10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IFERROR(VLOOKUP(G198,#REF!,2,FALSE),"")</f>
        <v/>
      </c>
    </row>
    <row r="199" spans="1:8" ht="15.75" thickBot="1" x14ac:dyDescent="0.3">
      <c r="A199" s="70" t="s">
        <v>170</v>
      </c>
      <c r="B199" s="72">
        <v>784</v>
      </c>
      <c r="C199" s="72" t="s">
        <v>5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IFERROR(VLOOKUP(G199,#REF!,2,FALSE),"")</f>
        <v/>
      </c>
    </row>
    <row r="200" spans="1:8" ht="15.75" thickBot="1" x14ac:dyDescent="0.3">
      <c r="A200" s="70" t="s">
        <v>171</v>
      </c>
      <c r="B200" s="72">
        <v>784</v>
      </c>
      <c r="C200" s="72" t="s">
        <v>5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IFERROR(VLOOKUP(G200,#REF!,2,FALSE),"")</f>
        <v/>
      </c>
    </row>
    <row r="201" spans="1:8" ht="15.75" thickBot="1" x14ac:dyDescent="0.3">
      <c r="A201" s="70" t="s">
        <v>170</v>
      </c>
      <c r="B201" s="72">
        <v>788</v>
      </c>
      <c r="C201" s="72" t="s">
        <v>2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IFERROR(VLOOKUP(G201,#REF!,2,FALSE),"")</f>
        <v/>
      </c>
    </row>
    <row r="202" spans="1:8" ht="15.75" thickBot="1" x14ac:dyDescent="0.3">
      <c r="A202" s="70" t="s">
        <v>171</v>
      </c>
      <c r="B202" s="72">
        <v>788</v>
      </c>
      <c r="C202" s="72" t="s">
        <v>2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IFERROR(VLOOKUP(G202,#REF!,2,FALSE),"")</f>
        <v/>
      </c>
    </row>
    <row r="203" spans="1:8" ht="15.75" thickBot="1" x14ac:dyDescent="0.3">
      <c r="A203" s="70" t="s">
        <v>170</v>
      </c>
      <c r="B203" s="72">
        <v>792</v>
      </c>
      <c r="C203" s="72" t="s">
        <v>7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IFERROR(VLOOKUP(G203,#REF!,2,FALSE),"")</f>
        <v/>
      </c>
    </row>
    <row r="204" spans="1:8" ht="15.75" thickBot="1" x14ac:dyDescent="0.3">
      <c r="A204" s="70" t="s">
        <v>171</v>
      </c>
      <c r="B204" s="72">
        <v>792</v>
      </c>
      <c r="C204" s="72" t="s">
        <v>7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IFERROR(VLOOKUP(G204,#REF!,2,FALSE),"")</f>
        <v/>
      </c>
    </row>
    <row r="205" spans="1:8" ht="15.75" thickBot="1" x14ac:dyDescent="0.3">
      <c r="A205" s="70" t="s">
        <v>170</v>
      </c>
      <c r="B205" s="72">
        <v>796</v>
      </c>
      <c r="C205" s="72" t="s">
        <v>6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IFERROR(VLOOKUP(G205,#REF!,2,FALSE),"")</f>
        <v/>
      </c>
    </row>
    <row r="206" spans="1:8" ht="15.75" thickBot="1" x14ac:dyDescent="0.3">
      <c r="A206" s="70" t="s">
        <v>171</v>
      </c>
      <c r="B206" s="72">
        <v>796</v>
      </c>
      <c r="C206" s="72" t="s">
        <v>6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IFERROR(VLOOKUP(G206,#REF!,2,FALSE),"")</f>
        <v/>
      </c>
    </row>
    <row r="207" spans="1:8" ht="15.75" thickBot="1" x14ac:dyDescent="0.3">
      <c r="A207" s="70" t="s">
        <v>170</v>
      </c>
      <c r="B207" s="72">
        <v>802</v>
      </c>
      <c r="C207" s="72" t="s">
        <v>8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IFERROR(VLOOKUP(G207,#REF!,2,FALSE),"")</f>
        <v/>
      </c>
    </row>
    <row r="208" spans="1:8" ht="15.75" thickBot="1" x14ac:dyDescent="0.3">
      <c r="A208" s="70" t="s">
        <v>171</v>
      </c>
      <c r="B208" s="72">
        <v>802</v>
      </c>
      <c r="C208" s="72" t="s">
        <v>8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IFERROR(VLOOKUP(G208,#REF!,2,FALSE),"")</f>
        <v/>
      </c>
    </row>
    <row r="209" spans="1:8" ht="15.75" thickBot="1" x14ac:dyDescent="0.3">
      <c r="A209" s="70" t="s">
        <v>170</v>
      </c>
      <c r="B209" s="72">
        <v>803</v>
      </c>
      <c r="C209" s="72" t="s">
        <v>9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IFERROR(VLOOKUP(G209,#REF!,2,FALSE),"")</f>
        <v/>
      </c>
    </row>
    <row r="210" spans="1:8" ht="15.75" thickBot="1" x14ac:dyDescent="0.3">
      <c r="A210" s="70" t="s">
        <v>171</v>
      </c>
      <c r="B210" s="72">
        <v>803</v>
      </c>
      <c r="C210" s="72" t="s">
        <v>9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IFERROR(VLOOKUP(G210,#REF!,2,FALSE),"")</f>
        <v/>
      </c>
    </row>
    <row r="211" spans="1:8" ht="15.75" thickBot="1" x14ac:dyDescent="0.3">
      <c r="A211" s="70" t="s">
        <v>170</v>
      </c>
      <c r="B211" s="72">
        <v>805</v>
      </c>
      <c r="C211" s="72" t="s">
        <v>27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IFERROR(VLOOKUP(G211,#REF!,2,FALSE),"")</f>
        <v/>
      </c>
    </row>
    <row r="212" spans="1:8" ht="15.75" thickBot="1" x14ac:dyDescent="0.3">
      <c r="A212" s="70" t="s">
        <v>171</v>
      </c>
      <c r="B212" s="72">
        <v>805</v>
      </c>
      <c r="C212" s="72" t="s">
        <v>27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IFERROR(VLOOKUP(G212,#REF!,2,FALSE),"")</f>
        <v/>
      </c>
    </row>
    <row r="213" spans="1:8" ht="15.75" thickBot="1" x14ac:dyDescent="0.3">
      <c r="A213" s="70" t="s">
        <v>170</v>
      </c>
      <c r="B213" s="72">
        <v>820</v>
      </c>
      <c r="C213" s="72" t="s">
        <v>47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IFERROR(VLOOKUP(G213,#REF!,2,FALSE),"")</f>
        <v/>
      </c>
    </row>
    <row r="214" spans="1:8" ht="15.75" thickBot="1" x14ac:dyDescent="0.3">
      <c r="A214" s="70" t="s">
        <v>171</v>
      </c>
      <c r="B214" s="72">
        <v>820</v>
      </c>
      <c r="C214" s="72" t="s">
        <v>47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IFERROR(VLOOKUP(G214,#REF!,2,FALSE),"")</f>
        <v/>
      </c>
    </row>
    <row r="215" spans="1:8" ht="15.75" thickBot="1" x14ac:dyDescent="0.3">
      <c r="A215" s="70" t="s">
        <v>170</v>
      </c>
      <c r="B215" s="72">
        <v>830</v>
      </c>
      <c r="C215" s="72" t="s">
        <v>50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IFERROR(VLOOKUP(G215,#REF!,2,FALSE),"")</f>
        <v/>
      </c>
    </row>
    <row r="216" spans="1:8" ht="15.75" thickBot="1" x14ac:dyDescent="0.3">
      <c r="A216" s="70" t="s">
        <v>171</v>
      </c>
      <c r="B216" s="72">
        <v>830</v>
      </c>
      <c r="C216" s="72" t="s">
        <v>50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IFERROR(VLOOKUP(G216,#REF!,2,FALSE),"")</f>
        <v/>
      </c>
    </row>
    <row r="217" spans="1:8" ht="15.75" thickBot="1" x14ac:dyDescent="0.3">
      <c r="A217" s="70" t="s">
        <v>170</v>
      </c>
      <c r="B217" s="72">
        <v>855</v>
      </c>
      <c r="C217" s="72" t="s">
        <v>23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IFERROR(VLOOKUP(G217,#REF!,2,FALSE),"")</f>
        <v/>
      </c>
    </row>
    <row r="218" spans="1:8" ht="15.75" thickBot="1" x14ac:dyDescent="0.3">
      <c r="A218" s="70" t="s">
        <v>171</v>
      </c>
      <c r="B218" s="72">
        <v>855</v>
      </c>
      <c r="C218" s="72" t="s">
        <v>23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IFERROR(VLOOKUP(G218,#REF!,2,FALSE),"")</f>
        <v/>
      </c>
    </row>
    <row r="219" spans="1:8" ht="15.75" thickBot="1" x14ac:dyDescent="0.3">
      <c r="A219" s="70" t="s">
        <v>170</v>
      </c>
      <c r="B219" s="72">
        <v>870</v>
      </c>
      <c r="C219" s="72" t="s">
        <v>43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IFERROR(VLOOKUP(G219,#REF!,2,FALSE),"")</f>
        <v/>
      </c>
    </row>
    <row r="220" spans="1:8" ht="15.75" thickBot="1" x14ac:dyDescent="0.3">
      <c r="A220" s="70" t="s">
        <v>171</v>
      </c>
      <c r="B220" s="72">
        <v>870</v>
      </c>
      <c r="C220" s="72" t="s">
        <v>43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IFERROR(VLOOKUP(G220,#REF!,2,FALSE),"")</f>
        <v/>
      </c>
    </row>
    <row r="221" spans="1:8" ht="15.75" thickBot="1" x14ac:dyDescent="0.3">
      <c r="A221" s="70" t="s">
        <v>170</v>
      </c>
      <c r="B221" s="72">
        <v>880</v>
      </c>
      <c r="C221" s="72" t="s">
        <v>81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IFERROR(VLOOKUP(G221,#REF!,2,FALSE),"")</f>
        <v/>
      </c>
    </row>
    <row r="222" spans="1:8" ht="15.75" thickBot="1" x14ac:dyDescent="0.3">
      <c r="A222" s="70" t="s">
        <v>171</v>
      </c>
      <c r="B222" s="72">
        <v>880</v>
      </c>
      <c r="C222" s="72" t="s">
        <v>81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IFERROR(VLOOKUP(G222,#REF!,2,FALSE),"")</f>
        <v/>
      </c>
    </row>
    <row r="223" spans="1:8" ht="15.75" thickBot="1" x14ac:dyDescent="0.3">
      <c r="A223" s="70" t="s">
        <v>170</v>
      </c>
      <c r="B223" s="72">
        <v>882</v>
      </c>
      <c r="C223" s="72" t="s">
        <v>85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IFERROR(VLOOKUP(G223,#REF!,2,FALSE),"")</f>
        <v/>
      </c>
    </row>
    <row r="224" spans="1:8" ht="15.75" thickBot="1" x14ac:dyDescent="0.3">
      <c r="A224" s="70" t="s">
        <v>171</v>
      </c>
      <c r="B224" s="72">
        <v>882</v>
      </c>
      <c r="C224" s="72" t="s">
        <v>85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IFERROR(VLOOKUP(G224,#REF!,2,FALSE),"")</f>
        <v/>
      </c>
    </row>
    <row r="225" spans="1:8" ht="15.75" thickBot="1" x14ac:dyDescent="0.3">
      <c r="A225" s="70" t="s">
        <v>170</v>
      </c>
      <c r="B225" s="72">
        <v>884</v>
      </c>
      <c r="C225" s="72" t="s">
        <v>83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IFERROR(VLOOKUP(G225,#REF!,2,FALSE),"")</f>
        <v/>
      </c>
    </row>
    <row r="226" spans="1:8" ht="15.75" thickBot="1" x14ac:dyDescent="0.3">
      <c r="A226" s="70" t="s">
        <v>171</v>
      </c>
      <c r="B226" s="72">
        <v>884</v>
      </c>
      <c r="C226" s="72" t="s">
        <v>83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IFERROR(VLOOKUP(G226,#REF!,2,FALSE),"")</f>
        <v/>
      </c>
    </row>
    <row r="227" spans="1:8" ht="15.75" thickBot="1" x14ac:dyDescent="0.3">
      <c r="A227" s="70" t="s">
        <v>170</v>
      </c>
      <c r="B227" s="72">
        <v>886</v>
      </c>
      <c r="C227" s="72" t="s">
        <v>82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IFERROR(VLOOKUP(G227,#REF!,2,FALSE),"")</f>
        <v/>
      </c>
    </row>
    <row r="228" spans="1:8" ht="15.75" thickBot="1" x14ac:dyDescent="0.3">
      <c r="A228" s="70" t="s">
        <v>171</v>
      </c>
      <c r="B228" s="72">
        <v>886</v>
      </c>
      <c r="C228" s="72" t="s">
        <v>82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IFERROR(VLOOKUP(G228,#REF!,2,FALSE),"")</f>
        <v/>
      </c>
    </row>
    <row r="229" spans="1:8" ht="15.75" thickBot="1" x14ac:dyDescent="0.3">
      <c r="A229" s="70" t="s">
        <v>170</v>
      </c>
      <c r="B229" s="72">
        <v>888</v>
      </c>
      <c r="C229" s="72" t="s">
        <v>84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IFERROR(VLOOKUP(G229,#REF!,2,FALSE),"")</f>
        <v/>
      </c>
    </row>
    <row r="230" spans="1:8" ht="15.75" thickBot="1" x14ac:dyDescent="0.3">
      <c r="A230" s="70" t="s">
        <v>171</v>
      </c>
      <c r="B230" s="72">
        <v>888</v>
      </c>
      <c r="C230" s="72" t="s">
        <v>84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IFERROR(VLOOKUP(G230,#REF!,2,FALSE),"")</f>
        <v/>
      </c>
    </row>
    <row r="231" spans="1:8" ht="15.75" thickBot="1" x14ac:dyDescent="0.3">
      <c r="A231" s="70" t="s">
        <v>170</v>
      </c>
      <c r="B231" s="72">
        <v>890</v>
      </c>
      <c r="C231" s="72" t="s">
        <v>76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IFERROR(VLOOKUP(G231,#REF!,2,FALSE),"")</f>
        <v/>
      </c>
    </row>
    <row r="232" spans="1:8" ht="15.75" thickBot="1" x14ac:dyDescent="0.3">
      <c r="A232" s="70" t="s">
        <v>171</v>
      </c>
      <c r="B232" s="72">
        <v>890</v>
      </c>
      <c r="C232" s="72" t="s">
        <v>76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IFERROR(VLOOKUP(G232,#REF!,2,FALSE),"")</f>
        <v/>
      </c>
    </row>
    <row r="233" spans="1:8" ht="15.75" thickBot="1" x14ac:dyDescent="0.3">
      <c r="A233" s="70" t="s">
        <v>171</v>
      </c>
      <c r="B233" s="72">
        <v>905</v>
      </c>
      <c r="C233" s="72" t="s">
        <v>119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IFERROR(VLOOKUP(G233,#REF!,2,FALSE),"")</f>
        <v/>
      </c>
    </row>
    <row r="234" spans="1:8" ht="15.75" thickBot="1" x14ac:dyDescent="0.3">
      <c r="A234" s="70" t="s">
        <v>169</v>
      </c>
      <c r="B234" s="72">
        <v>905</v>
      </c>
      <c r="C234" s="72" t="s">
        <v>119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IFERROR(VLOOKUP(G234,#REF!,2,FALSE),"")</f>
        <v/>
      </c>
    </row>
    <row r="235" spans="1:8" ht="15.75" thickBot="1" x14ac:dyDescent="0.3">
      <c r="A235" s="70" t="s">
        <v>170</v>
      </c>
      <c r="B235" s="72">
        <v>910</v>
      </c>
      <c r="C235" s="72" t="s">
        <v>44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IFERROR(VLOOKUP(G235,#REF!,2,FALSE),"")</f>
        <v/>
      </c>
    </row>
    <row r="236" spans="1:8" ht="15.75" thickBot="1" x14ac:dyDescent="0.3">
      <c r="A236" s="70" t="s">
        <v>171</v>
      </c>
      <c r="B236" s="72">
        <v>910</v>
      </c>
      <c r="C236" s="72" t="s">
        <v>44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IFERROR(VLOOKUP(G236,#REF!,2,FALSE),"")</f>
        <v/>
      </c>
    </row>
    <row r="237" spans="1:8" ht="15.75" thickBot="1" x14ac:dyDescent="0.3">
      <c r="A237" s="70" t="s">
        <v>170</v>
      </c>
      <c r="B237" s="72">
        <v>930</v>
      </c>
      <c r="C237" s="72" t="s">
        <v>56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IFERROR(VLOOKUP(G237,#REF!,2,FALSE),"")</f>
        <v/>
      </c>
    </row>
    <row r="238" spans="1:8" ht="15.75" thickBot="1" x14ac:dyDescent="0.3">
      <c r="A238" s="70" t="s">
        <v>171</v>
      </c>
      <c r="B238" s="72">
        <v>930</v>
      </c>
      <c r="C238" s="72" t="s">
        <v>56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IFERROR(VLOOKUP(G238,#REF!,2,FALSE),"")</f>
        <v/>
      </c>
    </row>
    <row r="239" spans="1:8" ht="15.75" thickBot="1" x14ac:dyDescent="0.3">
      <c r="A239" s="70" t="s">
        <v>170</v>
      </c>
      <c r="B239" s="72">
        <v>950</v>
      </c>
      <c r="C239" s="72" t="s">
        <v>11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IFERROR(VLOOKUP(G239,#REF!,2,FALSE),"")</f>
        <v/>
      </c>
    </row>
    <row r="240" spans="1:8" ht="15.75" thickBot="1" x14ac:dyDescent="0.3">
      <c r="A240" s="70" t="s">
        <v>171</v>
      </c>
      <c r="B240" s="72">
        <v>950</v>
      </c>
      <c r="C240" s="72" t="s">
        <v>11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IFERROR(VLOOKUP(G240,#REF!,2,FALSE),"")</f>
        <v/>
      </c>
    </row>
    <row r="241" spans="1:8" ht="15.75" thickBot="1" x14ac:dyDescent="0.3">
      <c r="A241" s="70" t="s">
        <v>170</v>
      </c>
      <c r="B241" s="72">
        <v>960</v>
      </c>
      <c r="C241" s="72" t="s">
        <v>67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IFERROR(VLOOKUP(G241,#REF!,2,FALSE),"")</f>
        <v/>
      </c>
    </row>
    <row r="242" spans="1:8" ht="15.75" thickBot="1" x14ac:dyDescent="0.3">
      <c r="A242" s="70" t="s">
        <v>171</v>
      </c>
      <c r="B242" s="72">
        <v>960</v>
      </c>
      <c r="C242" s="72" t="s">
        <v>67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IFERROR(VLOOKUP(G242,#REF!,2,FALSE),"")</f>
        <v/>
      </c>
    </row>
    <row r="243" spans="1:8" ht="15.75" thickBot="1" x14ac:dyDescent="0.3">
      <c r="A243" s="70" t="s">
        <v>170</v>
      </c>
      <c r="B243" s="72">
        <v>965</v>
      </c>
      <c r="C243" s="72" t="s">
        <v>1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IFERROR(VLOOKUP(G243,#REF!,2,FALSE),"")</f>
        <v/>
      </c>
    </row>
    <row r="244" spans="1:8" ht="15.75" thickBot="1" x14ac:dyDescent="0.3">
      <c r="A244" s="70" t="s">
        <v>171</v>
      </c>
      <c r="B244" s="72">
        <v>965</v>
      </c>
      <c r="C244" s="72" t="s">
        <v>1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IFERROR(VLOOKUP(G244,#REF!,2,FALSE),"")</f>
        <v/>
      </c>
    </row>
    <row r="245" spans="1:8" ht="15.75" thickBot="1" x14ac:dyDescent="0.3">
      <c r="A245" s="70" t="s">
        <v>170</v>
      </c>
      <c r="B245" s="72">
        <v>970</v>
      </c>
      <c r="C245" s="72" t="s">
        <v>22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IFERROR(VLOOKUP(G245,#REF!,2,FALSE),"")</f>
        <v/>
      </c>
    </row>
    <row r="246" spans="1:8" ht="15.75" thickBot="1" x14ac:dyDescent="0.3">
      <c r="A246" s="70" t="s">
        <v>171</v>
      </c>
      <c r="B246" s="72">
        <v>970</v>
      </c>
      <c r="C246" s="72" t="s">
        <v>22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IFERROR(VLOOKUP(G246,#REF!,2,FALSE),"")</f>
        <v/>
      </c>
    </row>
    <row r="247" spans="1:8" ht="15.75" thickBot="1" x14ac:dyDescent="0.3">
      <c r="A247" s="70" t="s">
        <v>170</v>
      </c>
      <c r="B247" s="72">
        <v>980</v>
      </c>
      <c r="C247" s="72" t="s">
        <v>91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IFERROR(VLOOKUP(G247,#REF!,2,FALSE),"")</f>
        <v/>
      </c>
    </row>
    <row r="248" spans="1:8" ht="15.75" thickBot="1" x14ac:dyDescent="0.3">
      <c r="A248" s="70" t="s">
        <v>171</v>
      </c>
      <c r="B248" s="72">
        <v>980</v>
      </c>
      <c r="C248" s="72" t="s">
        <v>91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IFERROR(VLOOKUP(G248,#REF!,2,FALSE),"")</f>
        <v/>
      </c>
    </row>
    <row r="249" spans="1:8" ht="15.75" thickBot="1" x14ac:dyDescent="0.3">
      <c r="A249" s="70" t="s">
        <v>170</v>
      </c>
      <c r="B249" s="72">
        <v>990</v>
      </c>
      <c r="C249" s="72" t="s">
        <v>90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IFERROR(VLOOKUP(G249,#REF!,2,FALSE),"")</f>
        <v/>
      </c>
    </row>
    <row r="250" spans="1:8" x14ac:dyDescent="0.25">
      <c r="A250" s="69" t="s">
        <v>171</v>
      </c>
      <c r="B250" s="67">
        <v>990</v>
      </c>
      <c r="C250" s="67" t="s">
        <v>90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IFERROR(VLOOKUP(G250,#REF!,2,FALSE),"")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3</vt:i4>
      </vt:variant>
    </vt:vector>
  </HeadingPairs>
  <TitlesOfParts>
    <vt:vector size="12" baseType="lpstr">
      <vt:lpstr>Identificação</vt:lpstr>
      <vt:lpstr>Orçamento-base</vt:lpstr>
      <vt:lpstr>Plan1</vt:lpstr>
      <vt:lpstr>BDI</vt:lpstr>
      <vt:lpstr>Composições</vt:lpstr>
      <vt:lpstr>Proposta</vt:lpstr>
      <vt:lpstr>Obras</vt:lpstr>
      <vt:lpstr>Encargos Sociais</vt:lpstr>
      <vt:lpstr>Tipo de Objeto x Familia</vt:lpstr>
      <vt:lpstr>Composições!Area_de_impressao</vt:lpstr>
      <vt:lpstr>'Encargos Sociais'!Area_de_impressao</vt:lpstr>
      <vt:lpstr>'Orçamento-base'!Area_de_impressao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Licitações 01</cp:lastModifiedBy>
  <cp:lastPrinted>2026-01-13T12:38:13Z</cp:lastPrinted>
  <dcterms:created xsi:type="dcterms:W3CDTF">2014-12-09T12:52:40Z</dcterms:created>
  <dcterms:modified xsi:type="dcterms:W3CDTF">2026-01-19T11:56:39Z</dcterms:modified>
</cp:coreProperties>
</file>