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rídico 01\Desktop\"/>
    </mc:Choice>
  </mc:AlternateContent>
  <xr:revisionPtr revIDLastSave="0" documentId="8_{1A1FC204-B70A-45E0-B965-4165B0037741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Resumo" sheetId="11" r:id="rId1"/>
    <sheet name="1.1 Cuidador 40hr" sheetId="24" r:id="rId2"/>
    <sheet name="1.2 Cuidador 20hr" sheetId="32" r:id="rId3"/>
    <sheet name="2. Administração Local" sheetId="22" r:id="rId4"/>
    <sheet name="3. Encargos Sociais" sheetId="8" r:id="rId5"/>
    <sheet name="4. BDI" sheetId="4" r:id="rId6"/>
  </sheets>
  <definedNames>
    <definedName name="_____LO25" localSheetId="1">#REF!</definedName>
    <definedName name="_____LO25" localSheetId="2">#REF!</definedName>
    <definedName name="_____LO25" localSheetId="3">#REF!</definedName>
    <definedName name="_____LO25">#REF!</definedName>
    <definedName name="____LO25" localSheetId="1">#REF!</definedName>
    <definedName name="____LO25" localSheetId="2">#REF!</definedName>
    <definedName name="____LO25" localSheetId="3">#REF!</definedName>
    <definedName name="____LO25">#REF!</definedName>
    <definedName name="___LO25" localSheetId="1">#REF!</definedName>
    <definedName name="___LO25" localSheetId="2">#REF!</definedName>
    <definedName name="___LO25" localSheetId="3">#REF!</definedName>
    <definedName name="___LO25">#REF!</definedName>
    <definedName name="__LO25" localSheetId="1">#REF!</definedName>
    <definedName name="__LO25" localSheetId="2">#REF!</definedName>
    <definedName name="__LO25" localSheetId="3">#REF!</definedName>
    <definedName name="__LO25">#REF!</definedName>
    <definedName name="__xlfn_IFERROR">#N/A</definedName>
    <definedName name="_LO25" localSheetId="1">#REF!</definedName>
    <definedName name="_LO25" localSheetId="2">#REF!</definedName>
    <definedName name="_LO25" localSheetId="3">#REF!</definedName>
    <definedName name="_LO25">#REF!</definedName>
    <definedName name="AbaDeprec" localSheetId="1">#REF!</definedName>
    <definedName name="AbaDeprec" localSheetId="2">#REF!</definedName>
    <definedName name="AbaDeprec" localSheetId="3">#REF!</definedName>
    <definedName name="AbaDeprec">#REF!</definedName>
    <definedName name="AbaRemun" localSheetId="1">#REF!</definedName>
    <definedName name="AbaRemun" localSheetId="2">#REF!</definedName>
    <definedName name="AbaRemun" localSheetId="3">#REF!</definedName>
    <definedName name="AbaRemun" localSheetId="0">#REF!</definedName>
    <definedName name="AbaRemun">#REF!</definedName>
    <definedName name="_xlnm.Print_Area" localSheetId="1">'1.1 Cuidador 40hr'!$A$1:$F$78</definedName>
    <definedName name="_xlnm.Print_Area" localSheetId="2">'1.2 Cuidador 20hr'!$A$1:$F$78</definedName>
    <definedName name="_xlnm.Print_Area" localSheetId="3">'2. Administração Local'!$A$1:$F$98</definedName>
    <definedName name="_xlnm.Print_Area" localSheetId="4">'3. Encargos Sociais'!$A$1:$C$35</definedName>
    <definedName name="Horário" localSheetId="1">#REF!</definedName>
    <definedName name="Horário" localSheetId="2">#REF!</definedName>
    <definedName name="Horário" localSheetId="3">#REF!</definedName>
    <definedName name="Horário">#REF!</definedName>
    <definedName name="sesi" localSheetId="1">#REF!</definedName>
    <definedName name="sesi" localSheetId="2">#REF!</definedName>
    <definedName name="sesi" localSheetId="3">#REF!</definedName>
    <definedName name="sesi">#REF!</definedName>
    <definedName name="_xlnm.Print_Titles" localSheetId="1">'1.1 Cuidador 40hr'!$1:$1</definedName>
    <definedName name="_xlnm.Print_Titles" localSheetId="2">'1.2 Cuidador 20hr'!$1:$1</definedName>
    <definedName name="_xlnm.Print_Titles" localSheetId="3">'2. Administração Local'!$1:$1</definedName>
  </definedNames>
  <calcPr calcId="191029"/>
</workbook>
</file>

<file path=xl/calcChain.xml><?xml version="1.0" encoding="utf-8"?>
<calcChain xmlns="http://schemas.openxmlformats.org/spreadsheetml/2006/main">
  <c r="E58" i="32" l="1"/>
  <c r="E57" i="32"/>
  <c r="E56" i="32"/>
  <c r="E55" i="32"/>
  <c r="E54" i="32"/>
  <c r="E53" i="32"/>
  <c r="E54" i="24"/>
  <c r="E6" i="11" l="1"/>
  <c r="B96" i="22"/>
  <c r="B76" i="32"/>
  <c r="D53" i="22" l="1"/>
  <c r="D5" i="11" l="1"/>
  <c r="C79" i="22"/>
  <c r="D40" i="32" l="1"/>
  <c r="D40" i="24"/>
  <c r="A13" i="32"/>
  <c r="D4" i="11"/>
  <c r="D52" i="22" l="1"/>
  <c r="D23" i="32"/>
  <c r="E5" i="11" l="1"/>
  <c r="B18" i="32" l="1"/>
  <c r="E41" i="32" s="1"/>
  <c r="E60" i="32"/>
  <c r="C59" i="32"/>
  <c r="D59" i="32"/>
  <c r="C45" i="32"/>
  <c r="E45" i="32" s="1"/>
  <c r="C40" i="32"/>
  <c r="E40" i="32" s="1"/>
  <c r="F41" i="32" s="1"/>
  <c r="E11" i="32" s="1"/>
  <c r="C35" i="32"/>
  <c r="E23" i="32"/>
  <c r="A15" i="32"/>
  <c r="A14" i="32"/>
  <c r="A12" i="32"/>
  <c r="A11" i="32"/>
  <c r="A10" i="32"/>
  <c r="A9" i="32"/>
  <c r="A8" i="32"/>
  <c r="E29" i="32" l="1"/>
  <c r="E46" i="32"/>
  <c r="F46" i="32" s="1"/>
  <c r="E12" i="32" s="1"/>
  <c r="E59" i="32"/>
  <c r="F60" i="32" s="1"/>
  <c r="D24" i="32"/>
  <c r="E24" i="32" s="1"/>
  <c r="E25" i="32" s="1"/>
  <c r="D35" i="32"/>
  <c r="E35" i="32" s="1"/>
  <c r="F36" i="32" s="1"/>
  <c r="E10" i="32" s="1"/>
  <c r="D6" i="11"/>
  <c r="E4" i="11"/>
  <c r="F62" i="32" l="1"/>
  <c r="E13" i="32" s="1"/>
  <c r="E14" i="32"/>
  <c r="D26" i="32"/>
  <c r="C59" i="24"/>
  <c r="E58" i="24"/>
  <c r="E57" i="24"/>
  <c r="E56" i="24"/>
  <c r="E55" i="24"/>
  <c r="E53" i="24"/>
  <c r="C45" i="24"/>
  <c r="E45" i="24" s="1"/>
  <c r="F46" i="24" s="1"/>
  <c r="E12" i="24" s="1"/>
  <c r="C40" i="24"/>
  <c r="E40" i="24" s="1"/>
  <c r="F41" i="24" s="1"/>
  <c r="E11" i="24" s="1"/>
  <c r="C35" i="24"/>
  <c r="E23" i="24"/>
  <c r="B18" i="24"/>
  <c r="A15" i="24"/>
  <c r="A14" i="24"/>
  <c r="A13" i="24"/>
  <c r="A12" i="24"/>
  <c r="A11" i="24"/>
  <c r="A10" i="24"/>
  <c r="A9" i="24"/>
  <c r="A8" i="24"/>
  <c r="E29" i="24" l="1"/>
  <c r="E60" i="24"/>
  <c r="D59" i="24"/>
  <c r="D35" i="24"/>
  <c r="E35" i="24" s="1"/>
  <c r="F36" i="24" s="1"/>
  <c r="E10" i="24" s="1"/>
  <c r="D24" i="24"/>
  <c r="E24" i="24" s="1"/>
  <c r="D26" i="24" s="1"/>
  <c r="E59" i="24" l="1"/>
  <c r="F60" i="24" s="1"/>
  <c r="E14" i="24" s="1"/>
  <c r="E25" i="24"/>
  <c r="F62" i="24" l="1"/>
  <c r="E13" i="24" s="1"/>
  <c r="C72" i="22" l="1"/>
  <c r="C58" i="22"/>
  <c r="E58" i="22" s="1"/>
  <c r="F59" i="22" s="1"/>
  <c r="E13" i="22" s="1"/>
  <c r="A52" i="22"/>
  <c r="C53" i="22"/>
  <c r="B20" i="22"/>
  <c r="E73" i="22" s="1"/>
  <c r="E80" i="22"/>
  <c r="E79" i="22"/>
  <c r="E71" i="22"/>
  <c r="E70" i="22"/>
  <c r="E69" i="22"/>
  <c r="E68" i="22"/>
  <c r="E67" i="22"/>
  <c r="E66" i="22"/>
  <c r="D72" i="22" s="1"/>
  <c r="E53" i="22"/>
  <c r="C52" i="22"/>
  <c r="C47" i="22"/>
  <c r="E36" i="22"/>
  <c r="E35" i="22"/>
  <c r="E37" i="22" s="1"/>
  <c r="D38" i="22" s="1"/>
  <c r="E25" i="22"/>
  <c r="D47" i="22" s="1"/>
  <c r="A17" i="22"/>
  <c r="A16" i="22"/>
  <c r="A15" i="22"/>
  <c r="A14" i="22"/>
  <c r="A13" i="22"/>
  <c r="A12" i="22"/>
  <c r="A11" i="22"/>
  <c r="A10" i="22"/>
  <c r="A9" i="22"/>
  <c r="A8" i="22"/>
  <c r="E31" i="22" l="1"/>
  <c r="D26" i="22"/>
  <c r="E26" i="22" s="1"/>
  <c r="D28" i="22" s="1"/>
  <c r="F81" i="22"/>
  <c r="E16" i="22" s="1"/>
  <c r="E52" i="22"/>
  <c r="F54" i="22" s="1"/>
  <c r="E12" i="22" s="1"/>
  <c r="E72" i="22"/>
  <c r="F73" i="22" s="1"/>
  <c r="F75" i="22" s="1"/>
  <c r="E14" i="22" s="1"/>
  <c r="E47" i="22"/>
  <c r="F48" i="22" s="1"/>
  <c r="E11" i="22" s="1"/>
  <c r="E15" i="22" l="1"/>
  <c r="E27" i="22"/>
  <c r="D8" i="11" l="1"/>
  <c r="F10" i="4" l="1"/>
  <c r="E10" i="4" l="1"/>
  <c r="C13" i="8"/>
  <c r="C17" i="4" l="1"/>
  <c r="C31" i="8"/>
  <c r="C68" i="32" l="1"/>
  <c r="C68" i="24"/>
  <c r="C88" i="22"/>
  <c r="C21" i="8"/>
  <c r="C30" i="8" l="1"/>
  <c r="C32" i="8" s="1"/>
  <c r="C28" i="8"/>
  <c r="C33" i="8" l="1"/>
  <c r="C26" i="32" l="1"/>
  <c r="E26" i="32" s="1"/>
  <c r="C26" i="24"/>
  <c r="E26" i="24" s="1"/>
  <c r="C28" i="22"/>
  <c r="E28" i="22" s="1"/>
  <c r="C38" i="22"/>
  <c r="E38" i="22" s="1"/>
  <c r="E39" i="22" s="1"/>
  <c r="D40" i="22" s="1"/>
  <c r="E40" i="22" s="1"/>
  <c r="F41" i="22" s="1"/>
  <c r="E10" i="22" s="1"/>
  <c r="F31" i="22" l="1"/>
  <c r="E29" i="22"/>
  <c r="D30" i="22" s="1"/>
  <c r="E30" i="22" s="1"/>
  <c r="F29" i="24"/>
  <c r="E27" i="24"/>
  <c r="D28" i="24" s="1"/>
  <c r="E28" i="24" s="1"/>
  <c r="F29" i="32"/>
  <c r="E27" i="32"/>
  <c r="D28" i="32" s="1"/>
  <c r="E28" i="32" s="1"/>
  <c r="E9" i="32" l="1"/>
  <c r="F48" i="32"/>
  <c r="E9" i="24"/>
  <c r="F48" i="24"/>
  <c r="F61" i="22"/>
  <c r="E9" i="22"/>
  <c r="E8" i="22" l="1"/>
  <c r="F84" i="22"/>
  <c r="D88" i="22" s="1"/>
  <c r="E88" i="22" s="1"/>
  <c r="F90" i="22" s="1"/>
  <c r="E17" i="22" s="1"/>
  <c r="F92" i="22"/>
  <c r="F94" i="22" s="1"/>
  <c r="F96" i="22" s="1"/>
  <c r="E8" i="24"/>
  <c r="F64" i="24"/>
  <c r="D68" i="24" s="1"/>
  <c r="E68" i="24" s="1"/>
  <c r="F70" i="24" s="1"/>
  <c r="E15" i="24" s="1"/>
  <c r="F64" i="32"/>
  <c r="D68" i="32" s="1"/>
  <c r="E68" i="32" s="1"/>
  <c r="F70" i="32" s="1"/>
  <c r="E15" i="32" s="1"/>
  <c r="E8" i="32"/>
  <c r="F72" i="32"/>
  <c r="F74" i="32" s="1"/>
  <c r="F76" i="32" s="1"/>
  <c r="F72" i="24" l="1"/>
  <c r="F74" i="24" s="1"/>
  <c r="F76" i="24" s="1"/>
  <c r="E16" i="24"/>
  <c r="F8" i="24"/>
  <c r="E16" i="32"/>
  <c r="F8" i="32"/>
  <c r="E18" i="22"/>
  <c r="F8" i="22"/>
  <c r="F17" i="22"/>
  <c r="C6" i="11" l="1"/>
  <c r="H6" i="11" s="1"/>
  <c r="F15" i="22"/>
  <c r="F14" i="22"/>
  <c r="F18" i="22" s="1"/>
  <c r="F12" i="22"/>
  <c r="F11" i="22"/>
  <c r="F13" i="22"/>
  <c r="F16" i="22"/>
  <c r="F10" i="22"/>
  <c r="F9" i="22"/>
  <c r="F15" i="32"/>
  <c r="F11" i="32"/>
  <c r="F10" i="32"/>
  <c r="F12" i="32"/>
  <c r="F13" i="32"/>
  <c r="F16" i="32" s="1"/>
  <c r="F14" i="32"/>
  <c r="C5" i="11"/>
  <c r="F9" i="32"/>
  <c r="F15" i="24"/>
  <c r="F14" i="24"/>
  <c r="F13" i="24"/>
  <c r="F16" i="24" s="1"/>
  <c r="F11" i="24"/>
  <c r="C4" i="11"/>
  <c r="F10" i="24"/>
  <c r="F12" i="24"/>
  <c r="F9" i="24"/>
  <c r="H5" i="11" l="1"/>
  <c r="F5" i="11"/>
  <c r="G5" i="11" s="1"/>
  <c r="H4" i="11"/>
  <c r="H8" i="11" s="1"/>
  <c r="F4" i="11"/>
  <c r="G4" i="11" s="1"/>
  <c r="C8" i="11"/>
</calcChain>
</file>

<file path=xl/sharedStrings.xml><?xml version="1.0" encoding="utf-8"?>
<sst xmlns="http://schemas.openxmlformats.org/spreadsheetml/2006/main" count="448" uniqueCount="188">
  <si>
    <t>Adicional de Insalubridade</t>
  </si>
  <si>
    <t>%</t>
  </si>
  <si>
    <t>Soma</t>
  </si>
  <si>
    <t>Encargos Sociais</t>
  </si>
  <si>
    <t>Total do Efetivo</t>
  </si>
  <si>
    <t>homem</t>
  </si>
  <si>
    <t>mês</t>
  </si>
  <si>
    <t>unidade</t>
  </si>
  <si>
    <t>Calça</t>
  </si>
  <si>
    <t>Benefícios e despesas indiretas</t>
  </si>
  <si>
    <t>Custo (R$/mês)</t>
  </si>
  <si>
    <t>Quantidade</t>
  </si>
  <si>
    <t>INSS</t>
  </si>
  <si>
    <t>FGTS</t>
  </si>
  <si>
    <t>Planilha de Composição de Custos</t>
  </si>
  <si>
    <t>2. Uniformes e Equipamentos de Proteção Individual</t>
  </si>
  <si>
    <t>1. Mão-de-obra</t>
  </si>
  <si>
    <t>par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</si>
  <si>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</si>
  <si>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</si>
  <si>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</si>
  <si>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</si>
  <si>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</si>
  <si>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</si>
  <si>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</si>
  <si>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</si>
  <si>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</si>
  <si>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</si>
  <si>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</si>
  <si>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</si>
  <si>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</si>
  <si>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</si>
  <si>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</si>
  <si>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</si>
  <si>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</si>
  <si>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</si>
  <si>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</si>
  <si>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</si>
  <si>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</si>
  <si>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</si>
  <si>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</si>
  <si>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</si>
  <si>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</si>
  <si>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</si>
  <si>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</si>
  <si>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</si>
  <si>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</si>
  <si>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</si>
  <si>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</si>
  <si>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</si>
  <si>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</si>
  <si>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</si>
  <si>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</si>
  <si>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</si>
  <si>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</si>
  <si>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</si>
  <si>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</si>
  <si>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</si>
  <si>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</si>
  <si>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</si>
  <si>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</si>
  <si>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</si>
  <si>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</si>
  <si>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</si>
  <si>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</si>
  <si>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</si>
  <si>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</si>
  <si>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</si>
  <si>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</si>
  <si>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</si>
  <si>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</si>
  <si>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</si>
  <si>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</si>
  <si>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</si>
  <si>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</si>
  <si>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</si>
  <si>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</si>
  <si>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</si>
  <si>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</si>
  <si>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</si>
  <si>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</si>
  <si>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</si>
  <si>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</si>
  <si>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</si>
  <si>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Médio</t>
  </si>
  <si>
    <t>DU</t>
  </si>
  <si>
    <t>Fator de utilização (FU)</t>
  </si>
  <si>
    <t>Descrição do Item</t>
  </si>
  <si>
    <t>Orçamento Sintético</t>
  </si>
  <si>
    <t>Orientações para preenchimento:</t>
  </si>
  <si>
    <t>2. Preencher somente células em amarelo</t>
  </si>
  <si>
    <t>Piso da categoria</t>
  </si>
  <si>
    <t>C2</t>
  </si>
  <si>
    <t>B3</t>
  </si>
  <si>
    <t>Custo unitário</t>
  </si>
  <si>
    <t>Referência estudo TCE</t>
  </si>
  <si>
    <t>1. Esta planilha é somente um modelo-base e deve ser ajustada conforme cada caso concreto.</t>
  </si>
  <si>
    <t>Durabilidade (meses)</t>
  </si>
  <si>
    <t>PLANILHA DE CUSTOS</t>
  </si>
  <si>
    <t>Fator de util.</t>
  </si>
  <si>
    <t>1. Custo Mensal com Mão-de-obra</t>
  </si>
  <si>
    <t>2. Custo Mensal com Uniformes e EPIs</t>
  </si>
  <si>
    <t>PREÇO MENSAL TOTAL</t>
  </si>
  <si>
    <t>AC = taxa representativa das despesas de rateio da administração central</t>
  </si>
  <si>
    <t xml:space="preserve">R = taxa representativa de riscos </t>
  </si>
  <si>
    <t xml:space="preserve">S = taxa representativa de seguros </t>
  </si>
  <si>
    <t xml:space="preserve">G = taxa representativa de garantias </t>
  </si>
  <si>
    <t xml:space="preserve">DF = taxa representativa das despesas financeiras </t>
  </si>
  <si>
    <t xml:space="preserve">L = taxa representativa do lucro ou remuneração </t>
  </si>
  <si>
    <t xml:space="preserve">T = taxa representativa da incidência de tributos </t>
  </si>
  <si>
    <t>PREÇO TOTAL MENSAL</t>
  </si>
  <si>
    <t>2.1. Uniformes e EPIs</t>
  </si>
  <si>
    <t xml:space="preserve">Seguro contra acidentes de trabalho </t>
  </si>
  <si>
    <t>1° Quartil</t>
  </si>
  <si>
    <t>SELIC</t>
  </si>
  <si>
    <t xml:space="preserve">PREÇO MENSAL POR FUNCIONÁRIO </t>
  </si>
  <si>
    <t>Total por Funcionário</t>
  </si>
  <si>
    <t>Licença Maternidade/Paternidade</t>
  </si>
  <si>
    <t xml:space="preserve">Quantidade de trabalhadores </t>
  </si>
  <si>
    <t>CUSTO TOTAL MENSAL COM DESPESAS OPERACIONAIS (R$/mês)</t>
  </si>
  <si>
    <t>Vale Transporte</t>
  </si>
  <si>
    <t>R$</t>
  </si>
  <si>
    <t>Dias Trabalhados por mês</t>
  </si>
  <si>
    <t>dia</t>
  </si>
  <si>
    <t>vale</t>
  </si>
  <si>
    <t xml:space="preserve">Complemento por ser encarregado </t>
  </si>
  <si>
    <t>Fator de utilização</t>
  </si>
  <si>
    <t>3° Quartil</t>
  </si>
  <si>
    <t>Composição do BDI - Benefícios e Despesas Indiretas</t>
  </si>
  <si>
    <t>Total por funcionário</t>
  </si>
  <si>
    <t>4. Benefícios e Despesas Indiretas</t>
  </si>
  <si>
    <t xml:space="preserve">Obs: cada empresa deverá prever seus encargos sociais e impostos conforme determina a legislação de sua atividade. </t>
  </si>
  <si>
    <t>4. Custo Mensal Com BDI</t>
  </si>
  <si>
    <t xml:space="preserve">Plano de Benefício Social </t>
  </si>
  <si>
    <t xml:space="preserve">Camisa manga curta </t>
  </si>
  <si>
    <t xml:space="preserve">Camisa manga longa </t>
  </si>
  <si>
    <t xml:space="preserve">Botina, ou tenis compatível  </t>
  </si>
  <si>
    <t xml:space="preserve">mês </t>
  </si>
  <si>
    <t xml:space="preserve">Composição dos Encargos Sociais </t>
  </si>
  <si>
    <t xml:space="preserve">3. Administração Local/Veículo de Apoio </t>
  </si>
  <si>
    <t>Km/rodados/mês</t>
  </si>
  <si>
    <t xml:space="preserve">Instalação para Escritório Administrativo (aluguel e despesas do local) </t>
  </si>
  <si>
    <t>Jaleco de manga curta/Colete reflexivo</t>
  </si>
  <si>
    <t xml:space="preserve">Descrição </t>
  </si>
  <si>
    <t xml:space="preserve">PREÇO MENSAL POR HORA </t>
  </si>
  <si>
    <t xml:space="preserve">Nr. de Func. </t>
  </si>
  <si>
    <t xml:space="preserve">hrs/func/mês </t>
  </si>
  <si>
    <t xml:space="preserve">Total R$/ano </t>
  </si>
  <si>
    <t xml:space="preserve">Item </t>
  </si>
  <si>
    <t>Hrs Func/ Mês</t>
  </si>
  <si>
    <t xml:space="preserve">ECZ, Assessoria, Consultoria e Treinamento LTDA.  </t>
  </si>
  <si>
    <t>Supervisor/Encarregado</t>
  </si>
  <si>
    <t>Custo por Hora</t>
  </si>
  <si>
    <t>Custo por funcionário</t>
  </si>
  <si>
    <t>PO R$/mês</t>
  </si>
  <si>
    <t>1.1. Categoria Profissional de Auxiliar de Administrativo - CBO 4110</t>
  </si>
  <si>
    <t>Auxíliar Administrativo</t>
  </si>
  <si>
    <t>1.2. Vale Transporte</t>
  </si>
  <si>
    <t xml:space="preserve">1.4. Plano de Benefício Social  </t>
  </si>
  <si>
    <t xml:space="preserve">1.3. Auxílio Alimentação </t>
  </si>
  <si>
    <t>3. Benefícios e Despesas Indiretas</t>
  </si>
  <si>
    <t>3. Custo Mensal Com BDI</t>
  </si>
  <si>
    <t xml:space="preserve">Administração Local </t>
  </si>
  <si>
    <t xml:space="preserve">Total Geral </t>
  </si>
  <si>
    <t>1.1</t>
  </si>
  <si>
    <t>1.2</t>
  </si>
  <si>
    <t>Cuidador 40 horas</t>
  </si>
  <si>
    <t>Cuidador 20 horas</t>
  </si>
  <si>
    <t xml:space="preserve">Prefeitura Municipal de São Marcos </t>
  </si>
  <si>
    <t>Resumo Custo Edital de Serviços de Cuidador - Secretaria de Educação</t>
  </si>
  <si>
    <t>1.1. Categoria Profissional de Cuidador CBO 5162</t>
  </si>
  <si>
    <t xml:space="preserve">1.1- Contratação serviços de cuidador - 40 horas </t>
  </si>
  <si>
    <t xml:space="preserve">Cuidador </t>
  </si>
  <si>
    <t>Cuidador</t>
  </si>
  <si>
    <t xml:space="preserve">1.2- Contratação serviços de cuidador - 20 horas </t>
  </si>
  <si>
    <t>Custo do veículo de apoio (manut/deprec. Comb e outros) 20km/dia</t>
  </si>
  <si>
    <t xml:space="preserve">2 - Contratação serviços gerais - Administração Local </t>
  </si>
  <si>
    <t>1.1. Supervisor/Encarregado</t>
  </si>
  <si>
    <t xml:space="preserve">1.2. Auxílio Alimentação </t>
  </si>
  <si>
    <t xml:space="preserve">1.3. Plano de Benefício Social  </t>
  </si>
  <si>
    <t>Avental sem mangas</t>
  </si>
  <si>
    <t>Guarda pó com mangas curtas</t>
  </si>
  <si>
    <t xml:space="preserve">Mascara de proteção facial </t>
  </si>
  <si>
    <t>Luva cirúrgica Caixa com 100 unid</t>
  </si>
  <si>
    <t xml:space="preserve">Avental impermeável de proteção </t>
  </si>
  <si>
    <t xml:space="preserve">Crachá de identificação </t>
  </si>
  <si>
    <t xml:space="preserve">Jaqueta com reflexivo </t>
  </si>
  <si>
    <t>São Marcos, 15 de maio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</si>
</sst>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;[Red]&quot;R$&quot;\ \-#,##0.00"/>
    <numFmt numFmtId="165" formatCode="_ &quot;R$&quot;\ * #,##0.00_ ;_ &quot;R$&quot;\ * \-#,##0.00_ ;_ &quot;R$&quot;\ * &quot;-&quot;??_ ;_ @_ "/>
    <numFmt numFmtId="166" formatCode="&quot;R$ &quot;#,##0.00_);\(&quot;R$ &quot;#,##0.00\)"/>
    <numFmt numFmtId="167" formatCode="_(* #,##0.00_);_(* \(#,##0.00\);_(* &quot;-&quot;??_);_(@_)"/>
    <numFmt numFmtId="168" formatCode="_(* #,##0_);_(* \(#,##0\);_(* &quot;-&quot;??_);_(@_)"/>
    <numFmt numFmtId="169" formatCode="&quot;R$ &quot;#,##0.00"/>
    <numFmt numFmtId="170" formatCode="_(* #,##0.0000_);_(* \(#,##0.0000\);_(* &quot;-&quot;??_);_(@_)"/>
    <numFmt numFmtId="171" formatCode="_-[$R$-416]\ * #,##0.00_-;\-[$R$-416]\ * #,##0.00_-;_-[$R$-416]\ * &quot;-&quot;??_-;_-@_-"/>
    <numFmt numFmtId="172" formatCode="_-* #,##0.0_-;\-* #,##0.0_-;_-* &quot;-&quot;??_-;_-@_-"/>
    <numFmt numFmtId="173" formatCode="_ * #,##0.00_ ;_ * \-#,##0.00_ ;_ * &quot;-&quot;??_ ;_ @_ "/>
    <numFmt numFmtId="174" formatCode="_(* #,##0.00_);_(* \(#,##0.00\);_(* \-??_);_(@_)"/>
    <numFmt numFmtId="175" formatCode="_(* #,##0_);_(* \(#,##0\);_(* \-??_);_(@_)"/>
    <numFmt numFmtId="176" formatCode="_-&quot;R$ &quot;* #,##0.00_-;&quot;-R$ &quot;* #,##0.00_-;_-&quot;R$ &quot;* \-??_-;_-@_-"/>
    <numFmt numFmtId="177" formatCode="0.000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4"/>
      <color theme="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  <charset val="1"/>
    </font>
    <font>
      <sz val="10"/>
      <name val="Arial"/>
      <family val="2"/>
    </font>
    <font>
      <b/>
      <sz val="10"/>
      <name val="Arial"/>
      <family val="2"/>
      <charset val="1"/>
    </font>
    <font>
      <sz val="12"/>
      <name val="Arial"/>
      <family val="2"/>
    </font>
    <font>
      <sz val="10"/>
      <name val="Arial"/>
      <charset val="1"/>
    </font>
    <font>
      <sz val="10"/>
      <color rgb="FF000000"/>
      <name val="Calibri"/>
      <scheme val="minor"/>
    </font>
    <font>
      <sz val="10"/>
      <color rgb="FF000000"/>
      <name val="Arial"/>
    </font>
    <font>
      <sz val="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C0C0"/>
        <bgColor rgb="FFBFBFBF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5" fillId="0" borderId="0"/>
    <xf numFmtId="0" fontId="5" fillId="0" borderId="0"/>
    <xf numFmtId="44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/>
    <xf numFmtId="169" fontId="6" fillId="0" borderId="0" applyBorder="0" applyProtection="0"/>
    <xf numFmtId="9" fontId="6" fillId="0" borderId="0" applyBorder="0" applyProtection="0"/>
    <xf numFmtId="164" fontId="6" fillId="0" borderId="0" applyBorder="0" applyProtection="0"/>
    <xf numFmtId="164" fontId="6" fillId="0" borderId="0" applyBorder="0" applyProtection="0"/>
    <xf numFmtId="43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31" fillId="0" borderId="0"/>
    <xf numFmtId="174" fontId="6" fillId="0" borderId="0" applyBorder="0" applyProtection="0"/>
    <xf numFmtId="176" fontId="6" fillId="0" borderId="0" applyBorder="0" applyProtection="0"/>
    <xf numFmtId="176" fontId="6" fillId="0" borderId="0" applyBorder="0" applyProtection="0"/>
    <xf numFmtId="0" fontId="32" fillId="0" borderId="0"/>
    <xf numFmtId="0" fontId="33" fillId="0" borderId="0"/>
    <xf numFmtId="43" fontId="20" fillId="0" borderId="0" applyFont="0" applyFill="0" applyBorder="0" applyAlignment="0" applyProtection="0"/>
  </cellStyleXfs>
  <cellXfs count="300">
    <xf numFmtId="0" fontId="0" fillId="0" borderId="0" xfId="0"/>
    <xf numFmtId="0" fontId="11" fillId="0" borderId="0" xfId="0" applyFont="1"/>
    <xf numFmtId="0" fontId="0" fillId="0" borderId="0" xfId="0" applyAlignment="1">
      <alignment vertical="center"/>
    </xf>
    <xf numFmtId="167" fontId="0" fillId="0" borderId="0" xfId="3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67" fontId="11" fillId="0" borderId="0" xfId="3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167" fontId="8" fillId="0" borderId="0" xfId="3" applyFont="1" applyFill="1" applyBorder="1" applyAlignment="1">
      <alignment vertical="center"/>
    </xf>
    <xf numFmtId="0" fontId="8" fillId="0" borderId="5" xfId="0" applyFont="1" applyBorder="1" applyAlignment="1">
      <alignment vertical="center"/>
    </xf>
    <xf numFmtId="167" fontId="8" fillId="0" borderId="6" xfId="3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167" fontId="11" fillId="0" borderId="6" xfId="3" applyFont="1" applyBorder="1" applyAlignment="1">
      <alignment vertical="center"/>
    </xf>
    <xf numFmtId="167" fontId="11" fillId="0" borderId="7" xfId="3" applyFont="1" applyBorder="1" applyAlignment="1">
      <alignment vertical="center"/>
    </xf>
    <xf numFmtId="167" fontId="8" fillId="0" borderId="0" xfId="3" applyFont="1" applyFill="1" applyBorder="1" applyAlignment="1">
      <alignment horizontal="center" vertical="center"/>
    </xf>
    <xf numFmtId="167" fontId="8" fillId="0" borderId="0" xfId="3" applyFont="1" applyBorder="1" applyAlignment="1">
      <alignment vertical="center"/>
    </xf>
    <xf numFmtId="167" fontId="10" fillId="0" borderId="0" xfId="3" applyFont="1" applyAlignment="1">
      <alignment vertical="center"/>
    </xf>
    <xf numFmtId="167" fontId="0" fillId="0" borderId="9" xfId="3" applyFont="1" applyBorder="1" applyAlignment="1">
      <alignment vertical="center"/>
    </xf>
    <xf numFmtId="167" fontId="8" fillId="0" borderId="10" xfId="3" applyFont="1" applyBorder="1" applyAlignment="1">
      <alignment horizontal="center" vertical="center"/>
    </xf>
    <xf numFmtId="167" fontId="8" fillId="0" borderId="5" xfId="3" applyFont="1" applyBorder="1" applyAlignment="1">
      <alignment horizontal="left" vertical="center"/>
    </xf>
    <xf numFmtId="4" fontId="8" fillId="0" borderId="6" xfId="0" applyNumberFormat="1" applyFont="1" applyBorder="1" applyAlignment="1">
      <alignment horizontal="centerContinuous" vertical="center"/>
    </xf>
    <xf numFmtId="167" fontId="8" fillId="0" borderId="0" xfId="3" applyFont="1" applyAlignment="1">
      <alignment vertical="center"/>
    </xf>
    <xf numFmtId="167" fontId="0" fillId="0" borderId="8" xfId="0" applyNumberFormat="1" applyBorder="1" applyAlignment="1">
      <alignment vertical="center"/>
    </xf>
    <xf numFmtId="167" fontId="0" fillId="0" borderId="8" xfId="3" applyFont="1" applyBorder="1" applyAlignment="1">
      <alignment vertical="center"/>
    </xf>
    <xf numFmtId="167" fontId="0" fillId="0" borderId="11" xfId="3" applyFont="1" applyBorder="1" applyAlignment="1">
      <alignment vertical="center"/>
    </xf>
    <xf numFmtId="167" fontId="11" fillId="0" borderId="1" xfId="3" applyFont="1" applyBorder="1" applyAlignment="1">
      <alignment vertical="center"/>
    </xf>
    <xf numFmtId="0" fontId="9" fillId="0" borderId="0" xfId="0" applyFont="1" applyAlignment="1">
      <alignment vertical="center"/>
    </xf>
    <xf numFmtId="167" fontId="9" fillId="0" borderId="0" xfId="3" applyFont="1" applyBorder="1" applyAlignment="1">
      <alignment vertical="center"/>
    </xf>
    <xf numFmtId="167" fontId="11" fillId="0" borderId="0" xfId="3" applyFont="1" applyBorder="1" applyAlignment="1">
      <alignment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167" fontId="14" fillId="2" borderId="14" xfId="3" applyFont="1" applyFill="1" applyBorder="1" applyAlignment="1">
      <alignment horizontal="center" vertical="center"/>
    </xf>
    <xf numFmtId="167" fontId="14" fillId="2" borderId="15" xfId="3" applyFont="1" applyFill="1" applyBorder="1" applyAlignment="1">
      <alignment horizontal="center" vertical="center"/>
    </xf>
    <xf numFmtId="167" fontId="8" fillId="0" borderId="16" xfId="3" applyFont="1" applyBorder="1" applyAlignment="1">
      <alignment horizontal="center" vertical="center"/>
    </xf>
    <xf numFmtId="167" fontId="6" fillId="0" borderId="11" xfId="3" applyFont="1" applyBorder="1" applyAlignment="1">
      <alignment horizontal="left" vertical="center"/>
    </xf>
    <xf numFmtId="168" fontId="11" fillId="0" borderId="0" xfId="3" applyNumberFormat="1" applyFont="1" applyBorder="1" applyAlignment="1">
      <alignment horizontal="center" vertical="center"/>
    </xf>
    <xf numFmtId="0" fontId="14" fillId="2" borderId="28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167" fontId="14" fillId="2" borderId="29" xfId="3" applyFont="1" applyFill="1" applyBorder="1" applyAlignment="1">
      <alignment horizontal="center" vertical="center"/>
    </xf>
    <xf numFmtId="166" fontId="8" fillId="0" borderId="30" xfId="0" applyNumberFormat="1" applyFont="1" applyBorder="1" applyAlignment="1">
      <alignment vertical="center"/>
    </xf>
    <xf numFmtId="167" fontId="8" fillId="0" borderId="31" xfId="3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7" fontId="11" fillId="0" borderId="0" xfId="3" applyFont="1" applyAlignment="1">
      <alignment horizontal="right" vertical="center"/>
    </xf>
    <xf numFmtId="167" fontId="8" fillId="0" borderId="11" xfId="3" applyFont="1" applyBorder="1" applyAlignment="1">
      <alignment vertical="center"/>
    </xf>
    <xf numFmtId="167" fontId="8" fillId="0" borderId="8" xfId="0" applyNumberFormat="1" applyFont="1" applyBorder="1" applyAlignment="1">
      <alignment vertical="center"/>
    </xf>
    <xf numFmtId="167" fontId="8" fillId="0" borderId="8" xfId="3" applyFont="1" applyBorder="1" applyAlignment="1">
      <alignment vertical="center"/>
    </xf>
    <xf numFmtId="4" fontId="8" fillId="0" borderId="8" xfId="0" applyNumberFormat="1" applyFont="1" applyBorder="1" applyAlignment="1">
      <alignment horizontal="centerContinuous" vertical="center"/>
    </xf>
    <xf numFmtId="4" fontId="11" fillId="0" borderId="0" xfId="0" applyNumberFormat="1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0" fillId="0" borderId="34" xfId="0" applyBorder="1" applyAlignment="1">
      <alignment vertical="center"/>
    </xf>
    <xf numFmtId="4" fontId="0" fillId="0" borderId="0" xfId="0" applyNumberFormat="1" applyAlignment="1">
      <alignment vertical="center"/>
    </xf>
    <xf numFmtId="167" fontId="0" fillId="0" borderId="0" xfId="3" applyFont="1" applyFill="1" applyBorder="1" applyAlignment="1">
      <alignment vertical="center"/>
    </xf>
    <xf numFmtId="167" fontId="0" fillId="0" borderId="35" xfId="3" applyFont="1" applyFill="1" applyBorder="1" applyAlignment="1">
      <alignment vertical="center"/>
    </xf>
    <xf numFmtId="168" fontId="8" fillId="0" borderId="0" xfId="3" applyNumberFormat="1" applyFont="1" applyBorder="1" applyAlignment="1">
      <alignment horizontal="center" vertical="center"/>
    </xf>
    <xf numFmtId="0" fontId="17" fillId="0" borderId="20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10" fontId="17" fillId="0" borderId="17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left" vertical="center"/>
    </xf>
    <xf numFmtId="10" fontId="18" fillId="0" borderId="17" xfId="0" applyNumberFormat="1" applyFont="1" applyBorder="1" applyAlignment="1">
      <alignment horizontal="right" vertical="center"/>
    </xf>
    <xf numFmtId="0" fontId="17" fillId="5" borderId="20" xfId="0" applyFont="1" applyFill="1" applyBorder="1" applyAlignment="1">
      <alignment horizontal="left" vertical="center"/>
    </xf>
    <xf numFmtId="0" fontId="18" fillId="5" borderId="1" xfId="0" applyFont="1" applyFill="1" applyBorder="1" applyAlignment="1">
      <alignment horizontal="left" vertical="center"/>
    </xf>
    <xf numFmtId="10" fontId="18" fillId="5" borderId="17" xfId="0" applyNumberFormat="1" applyFont="1" applyFill="1" applyBorder="1" applyAlignment="1">
      <alignment horizontal="right" vertical="center"/>
    </xf>
    <xf numFmtId="0" fontId="19" fillId="0" borderId="1" xfId="0" applyFont="1" applyBorder="1" applyAlignment="1">
      <alignment horizontal="left" vertical="center"/>
    </xf>
    <xf numFmtId="10" fontId="11" fillId="0" borderId="0" xfId="0" applyNumberFormat="1" applyFont="1"/>
    <xf numFmtId="9" fontId="17" fillId="0" borderId="0" xfId="2" applyFont="1" applyBorder="1" applyAlignment="1">
      <alignment horizontal="right" vertical="center"/>
    </xf>
    <xf numFmtId="0" fontId="17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17" fillId="8" borderId="21" xfId="0" applyFont="1" applyFill="1" applyBorder="1" applyAlignment="1">
      <alignment horizontal="left" vertical="center"/>
    </xf>
    <xf numFmtId="0" fontId="18" fillId="8" borderId="32" xfId="0" applyFont="1" applyFill="1" applyBorder="1" applyAlignment="1">
      <alignment horizontal="left" vertical="center"/>
    </xf>
    <xf numFmtId="10" fontId="18" fillId="8" borderId="33" xfId="0" applyNumberFormat="1" applyFont="1" applyFill="1" applyBorder="1" applyAlignment="1">
      <alignment horizontal="right" vertical="center"/>
    </xf>
    <xf numFmtId="0" fontId="18" fillId="0" borderId="0" xfId="0" applyFont="1" applyAlignment="1">
      <alignment horizontal="left" vertical="center"/>
    </xf>
    <xf numFmtId="10" fontId="18" fillId="0" borderId="0" xfId="0" applyNumberFormat="1" applyFont="1" applyAlignment="1">
      <alignment horizontal="right" vertical="center"/>
    </xf>
    <xf numFmtId="10" fontId="17" fillId="0" borderId="0" xfId="0" applyNumberFormat="1" applyFont="1" applyAlignment="1">
      <alignment horizontal="right" vertical="center"/>
    </xf>
    <xf numFmtId="0" fontId="21" fillId="0" borderId="0" xfId="0" applyFont="1" applyAlignment="1">
      <alignment horizontal="justify" vertical="center"/>
    </xf>
    <xf numFmtId="0" fontId="13" fillId="0" borderId="0" xfId="1" applyBorder="1" applyAlignment="1" applyProtection="1">
      <alignment horizontal="left" vertical="center"/>
    </xf>
    <xf numFmtId="0" fontId="22" fillId="0" borderId="0" xfId="0" applyFont="1"/>
    <xf numFmtId="0" fontId="17" fillId="0" borderId="0" xfId="0" applyFont="1" applyAlignment="1">
      <alignment horizontal="right" vertical="center"/>
    </xf>
    <xf numFmtId="0" fontId="13" fillId="0" borderId="0" xfId="1" applyBorder="1" applyAlignment="1" applyProtection="1">
      <alignment vertical="center"/>
    </xf>
    <xf numFmtId="0" fontId="10" fillId="0" borderId="20" xfId="0" applyFont="1" applyBorder="1"/>
    <xf numFmtId="0" fontId="10" fillId="0" borderId="34" xfId="0" applyFont="1" applyBorder="1"/>
    <xf numFmtId="0" fontId="12" fillId="0" borderId="34" xfId="0" applyFont="1" applyBorder="1" applyAlignment="1">
      <alignment horizontal="left" vertical="center"/>
    </xf>
    <xf numFmtId="9" fontId="10" fillId="0" borderId="20" xfId="2" applyFont="1" applyBorder="1"/>
    <xf numFmtId="9" fontId="10" fillId="0" borderId="1" xfId="2" applyFont="1" applyBorder="1" applyAlignment="1">
      <alignment horizontal="center"/>
    </xf>
    <xf numFmtId="9" fontId="10" fillId="0" borderId="17" xfId="2" applyFont="1" applyBorder="1"/>
    <xf numFmtId="0" fontId="10" fillId="0" borderId="18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10" fontId="10" fillId="3" borderId="10" xfId="0" applyNumberFormat="1" applyFont="1" applyFill="1" applyBorder="1" applyAlignment="1">
      <alignment horizontal="center" vertical="center"/>
    </xf>
    <xf numFmtId="10" fontId="10" fillId="0" borderId="17" xfId="2" applyNumberFormat="1" applyFont="1" applyBorder="1"/>
    <xf numFmtId="0" fontId="10" fillId="0" borderId="20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10" fontId="10" fillId="3" borderId="17" xfId="0" applyNumberFormat="1" applyFont="1" applyFill="1" applyBorder="1" applyAlignment="1">
      <alignment horizontal="center" vertical="center"/>
    </xf>
    <xf numFmtId="10" fontId="10" fillId="3" borderId="1" xfId="2" applyNumberFormat="1" applyFont="1" applyFill="1" applyBorder="1" applyAlignment="1">
      <alignment horizontal="center"/>
    </xf>
    <xf numFmtId="0" fontId="10" fillId="0" borderId="17" xfId="0" applyFont="1" applyBorder="1"/>
    <xf numFmtId="0" fontId="10" fillId="0" borderId="21" xfId="0" applyFont="1" applyBorder="1" applyAlignment="1">
      <alignment horizontal="left" vertical="center"/>
    </xf>
    <xf numFmtId="10" fontId="10" fillId="3" borderId="33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22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10" fontId="10" fillId="0" borderId="24" xfId="0" applyNumberFormat="1" applyFont="1" applyBorder="1" applyAlignment="1">
      <alignment vertical="center"/>
    </xf>
    <xf numFmtId="0" fontId="10" fillId="0" borderId="25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10" fillId="0" borderId="27" xfId="0" applyFont="1" applyBorder="1" applyAlignment="1">
      <alignment vertical="center"/>
    </xf>
    <xf numFmtId="0" fontId="12" fillId="5" borderId="5" xfId="0" applyFont="1" applyFill="1" applyBorder="1" applyAlignment="1">
      <alignment vertical="center" wrapText="1"/>
    </xf>
    <xf numFmtId="0" fontId="10" fillId="5" borderId="6" xfId="0" applyFont="1" applyFill="1" applyBorder="1" applyAlignment="1">
      <alignment vertical="center"/>
    </xf>
    <xf numFmtId="10" fontId="10" fillId="0" borderId="20" xfId="2" applyNumberFormat="1" applyFont="1" applyBorder="1" applyAlignment="1">
      <alignment horizontal="right"/>
    </xf>
    <xf numFmtId="10" fontId="10" fillId="0" borderId="1" xfId="2" applyNumberFormat="1" applyFont="1" applyBorder="1" applyAlignment="1">
      <alignment horizontal="right"/>
    </xf>
    <xf numFmtId="10" fontId="10" fillId="0" borderId="17" xfId="2" applyNumberFormat="1" applyFont="1" applyBorder="1" applyAlignment="1">
      <alignment horizontal="right"/>
    </xf>
    <xf numFmtId="10" fontId="10" fillId="0" borderId="21" xfId="2" applyNumberFormat="1" applyFont="1" applyBorder="1" applyAlignment="1">
      <alignment horizontal="right"/>
    </xf>
    <xf numFmtId="10" fontId="10" fillId="0" borderId="32" xfId="2" applyNumberFormat="1" applyFont="1" applyBorder="1" applyAlignment="1">
      <alignment horizontal="right"/>
    </xf>
    <xf numFmtId="10" fontId="10" fillId="0" borderId="33" xfId="2" applyNumberFormat="1" applyFont="1" applyBorder="1" applyAlignment="1">
      <alignment horizontal="right"/>
    </xf>
    <xf numFmtId="167" fontId="8" fillId="0" borderId="9" xfId="3" applyFont="1" applyBorder="1" applyAlignment="1">
      <alignment vertical="center"/>
    </xf>
    <xf numFmtId="167" fontId="8" fillId="0" borderId="5" xfId="3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right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167" fontId="6" fillId="0" borderId="0" xfId="3" applyFont="1" applyAlignment="1">
      <alignment vertical="center"/>
    </xf>
    <xf numFmtId="0" fontId="25" fillId="10" borderId="5" xfId="0" applyFont="1" applyFill="1" applyBorder="1" applyAlignment="1">
      <alignment vertical="center"/>
    </xf>
    <xf numFmtId="0" fontId="25" fillId="10" borderId="6" xfId="0" applyFont="1" applyFill="1" applyBorder="1" applyAlignment="1">
      <alignment vertical="center"/>
    </xf>
    <xf numFmtId="167" fontId="25" fillId="10" borderId="6" xfId="3" applyFont="1" applyFill="1" applyBorder="1" applyAlignment="1">
      <alignment vertical="center"/>
    </xf>
    <xf numFmtId="167" fontId="25" fillId="10" borderId="7" xfId="3" applyFont="1" applyFill="1" applyBorder="1" applyAlignment="1">
      <alignment vertical="center"/>
    </xf>
    <xf numFmtId="0" fontId="26" fillId="10" borderId="6" xfId="0" applyFont="1" applyFill="1" applyBorder="1" applyAlignment="1">
      <alignment vertical="center"/>
    </xf>
    <xf numFmtId="167" fontId="26" fillId="10" borderId="6" xfId="3" applyFont="1" applyFill="1" applyBorder="1" applyAlignment="1">
      <alignment vertical="center"/>
    </xf>
    <xf numFmtId="167" fontId="26" fillId="10" borderId="7" xfId="3" applyFont="1" applyFill="1" applyBorder="1" applyAlignment="1">
      <alignment vertical="center"/>
    </xf>
    <xf numFmtId="44" fontId="25" fillId="10" borderId="4" xfId="4" applyFont="1" applyFill="1" applyBorder="1" applyAlignment="1">
      <alignment horizontal="center" vertical="center"/>
    </xf>
    <xf numFmtId="44" fontId="25" fillId="10" borderId="4" xfId="4" applyFont="1" applyFill="1" applyBorder="1" applyAlignment="1">
      <alignment vertical="center"/>
    </xf>
    <xf numFmtId="44" fontId="8" fillId="2" borderId="4" xfId="4" applyFont="1" applyFill="1" applyBorder="1" applyAlignment="1">
      <alignment vertical="center"/>
    </xf>
    <xf numFmtId="165" fontId="11" fillId="0" borderId="0" xfId="0" applyNumberFormat="1" applyFont="1" applyAlignment="1">
      <alignment vertical="center"/>
    </xf>
    <xf numFmtId="170" fontId="11" fillId="0" borderId="1" xfId="3" applyNumberFormat="1" applyFont="1" applyBorder="1" applyAlignment="1">
      <alignment vertical="center"/>
    </xf>
    <xf numFmtId="170" fontId="11" fillId="0" borderId="0" xfId="3" applyNumberFormat="1" applyFont="1" applyBorder="1" applyAlignment="1">
      <alignment vertical="center"/>
    </xf>
    <xf numFmtId="10" fontId="10" fillId="0" borderId="1" xfId="0" applyNumberFormat="1" applyFont="1" applyBorder="1" applyAlignment="1">
      <alignment horizontal="center"/>
    </xf>
    <xf numFmtId="170" fontId="11" fillId="0" borderId="0" xfId="3" applyNumberFormat="1" applyFont="1" applyAlignment="1">
      <alignment vertical="center"/>
    </xf>
    <xf numFmtId="167" fontId="8" fillId="4" borderId="0" xfId="3" applyFont="1" applyFill="1" applyBorder="1" applyAlignment="1">
      <alignment horizontal="center" vertical="center"/>
    </xf>
    <xf numFmtId="0" fontId="25" fillId="4" borderId="0" xfId="0" applyFont="1" applyFill="1" applyAlignment="1">
      <alignment horizontal="left" vertical="center"/>
    </xf>
    <xf numFmtId="44" fontId="25" fillId="4" borderId="0" xfId="4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44" fontId="6" fillId="4" borderId="1" xfId="0" applyNumberFormat="1" applyFont="1" applyFill="1" applyBorder="1" applyAlignment="1">
      <alignment vertical="center"/>
    </xf>
    <xf numFmtId="44" fontId="6" fillId="4" borderId="0" xfId="4" applyFont="1" applyFill="1" applyBorder="1" applyAlignment="1">
      <alignment vertical="center"/>
    </xf>
    <xf numFmtId="167" fontId="14" fillId="2" borderId="10" xfId="3" applyFont="1" applyFill="1" applyBorder="1" applyAlignment="1">
      <alignment horizontal="center" vertical="center"/>
    </xf>
    <xf numFmtId="10" fontId="8" fillId="0" borderId="12" xfId="2" applyNumberFormat="1" applyFont="1" applyBorder="1" applyAlignment="1">
      <alignment horizontal="center" vertical="center"/>
    </xf>
    <xf numFmtId="10" fontId="0" fillId="0" borderId="12" xfId="2" applyNumberFormat="1" applyFont="1" applyBorder="1" applyAlignment="1">
      <alignment horizontal="center" vertical="center"/>
    </xf>
    <xf numFmtId="9" fontId="8" fillId="0" borderId="15" xfId="2" applyFont="1" applyBorder="1" applyAlignment="1">
      <alignment horizontal="center" vertical="center"/>
    </xf>
    <xf numFmtId="1" fontId="11" fillId="4" borderId="1" xfId="0" applyNumberFormat="1" applyFont="1" applyFill="1" applyBorder="1" applyAlignment="1">
      <alignment horizontal="center" vertical="center"/>
    </xf>
    <xf numFmtId="1" fontId="11" fillId="0" borderId="1" xfId="3" applyNumberFormat="1" applyFont="1" applyFill="1" applyBorder="1" applyAlignment="1">
      <alignment horizontal="center" vertical="center"/>
    </xf>
    <xf numFmtId="171" fontId="11" fillId="0" borderId="2" xfId="3" applyNumberFormat="1" applyFont="1" applyBorder="1" applyAlignment="1">
      <alignment horizontal="center" vertical="center"/>
    </xf>
    <xf numFmtId="171" fontId="11" fillId="0" borderId="1" xfId="3" applyNumberFormat="1" applyFont="1" applyFill="1" applyBorder="1" applyAlignment="1">
      <alignment horizontal="center" vertical="center"/>
    </xf>
    <xf numFmtId="171" fontId="11" fillId="0" borderId="1" xfId="3" applyNumberFormat="1" applyFont="1" applyBorder="1" applyAlignment="1">
      <alignment horizontal="center" vertical="center"/>
    </xf>
    <xf numFmtId="171" fontId="8" fillId="0" borderId="0" xfId="3" applyNumberFormat="1" applyFont="1" applyAlignment="1">
      <alignment horizontal="center" vertical="center"/>
    </xf>
    <xf numFmtId="44" fontId="8" fillId="2" borderId="7" xfId="4" applyFont="1" applyFill="1" applyBorder="1" applyAlignment="1">
      <alignment horizontal="center" vertical="center"/>
    </xf>
    <xf numFmtId="44" fontId="11" fillId="0" borderId="2" xfId="4" applyFont="1" applyBorder="1" applyAlignment="1">
      <alignment horizontal="center" vertical="center"/>
    </xf>
    <xf numFmtId="44" fontId="11" fillId="0" borderId="1" xfId="4" applyFont="1" applyBorder="1" applyAlignment="1">
      <alignment horizontal="center" vertical="center"/>
    </xf>
    <xf numFmtId="44" fontId="11" fillId="0" borderId="1" xfId="4" applyFont="1" applyFill="1" applyBorder="1" applyAlignment="1">
      <alignment horizontal="center" vertical="center"/>
    </xf>
    <xf numFmtId="44" fontId="8" fillId="0" borderId="0" xfId="4" applyFont="1" applyAlignment="1">
      <alignment horizontal="center" vertical="center"/>
    </xf>
    <xf numFmtId="44" fontId="8" fillId="0" borderId="8" xfId="4" applyFont="1" applyBorder="1" applyAlignment="1">
      <alignment horizontal="center" vertical="center"/>
    </xf>
    <xf numFmtId="44" fontId="11" fillId="3" borderId="1" xfId="4" applyFont="1" applyFill="1" applyBorder="1" applyAlignment="1">
      <alignment horizontal="center" vertical="center"/>
    </xf>
    <xf numFmtId="44" fontId="6" fillId="3" borderId="2" xfId="4" applyFont="1" applyFill="1" applyBorder="1" applyAlignment="1">
      <alignment horizontal="center" vertical="center"/>
    </xf>
    <xf numFmtId="44" fontId="6" fillId="0" borderId="1" xfId="4" applyFont="1" applyBorder="1" applyAlignment="1">
      <alignment horizontal="center" vertical="center"/>
    </xf>
    <xf numFmtId="171" fontId="6" fillId="0" borderId="3" xfId="3" applyNumberFormat="1" applyFont="1" applyBorder="1" applyAlignment="1">
      <alignment horizontal="center" vertical="center"/>
    </xf>
    <xf numFmtId="171" fontId="6" fillId="0" borderId="1" xfId="3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0" fontId="8" fillId="4" borderId="4" xfId="2" applyNumberFormat="1" applyFont="1" applyFill="1" applyBorder="1" applyAlignment="1">
      <alignment vertical="center"/>
    </xf>
    <xf numFmtId="0" fontId="8" fillId="0" borderId="3" xfId="0" applyFont="1" applyBorder="1" applyAlignment="1">
      <alignment vertical="center"/>
    </xf>
    <xf numFmtId="167" fontId="8" fillId="0" borderId="0" xfId="3" applyFont="1" applyBorder="1" applyAlignment="1">
      <alignment horizontal="left" vertical="center"/>
    </xf>
    <xf numFmtId="4" fontId="8" fillId="0" borderId="0" xfId="0" applyNumberFormat="1" applyFont="1" applyAlignment="1">
      <alignment horizontal="centerContinuous" vertical="center"/>
    </xf>
    <xf numFmtId="166" fontId="8" fillId="0" borderId="0" xfId="0" applyNumberFormat="1" applyFont="1" applyAlignment="1">
      <alignment vertical="center"/>
    </xf>
    <xf numFmtId="9" fontId="8" fillId="0" borderId="0" xfId="2" applyFont="1" applyBorder="1" applyAlignment="1">
      <alignment horizontal="center" vertical="center"/>
    </xf>
    <xf numFmtId="9" fontId="11" fillId="0" borderId="0" xfId="2" applyFont="1" applyAlignment="1">
      <alignment vertical="center"/>
    </xf>
    <xf numFmtId="44" fontId="11" fillId="0" borderId="0" xfId="0" applyNumberFormat="1" applyFont="1" applyAlignment="1">
      <alignment vertical="center"/>
    </xf>
    <xf numFmtId="171" fontId="11" fillId="0" borderId="0" xfId="0" applyNumberFormat="1" applyFont="1" applyAlignment="1">
      <alignment vertical="center"/>
    </xf>
    <xf numFmtId="171" fontId="8" fillId="0" borderId="3" xfId="3" applyNumberFormat="1" applyFont="1" applyBorder="1" applyAlignment="1">
      <alignment horizontal="center" vertical="center"/>
    </xf>
    <xf numFmtId="2" fontId="11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44" fontId="8" fillId="0" borderId="0" xfId="4" applyFont="1" applyFill="1" applyBorder="1" applyAlignment="1">
      <alignment vertical="center"/>
    </xf>
    <xf numFmtId="0" fontId="7" fillId="0" borderId="39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7" fontId="6" fillId="0" borderId="6" xfId="3" applyFont="1" applyBorder="1" applyAlignment="1">
      <alignment vertical="center"/>
    </xf>
    <xf numFmtId="167" fontId="6" fillId="0" borderId="7" xfId="3" applyFont="1" applyBorder="1" applyAlignment="1">
      <alignment vertical="center"/>
    </xf>
    <xf numFmtId="44" fontId="8" fillId="2" borderId="0" xfId="4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3" fontId="6" fillId="3" borderId="1" xfId="0" applyNumberFormat="1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67" fontId="6" fillId="3" borderId="2" xfId="3" applyFont="1" applyFill="1" applyBorder="1" applyAlignment="1">
      <alignment horizontal="center" vertical="center"/>
    </xf>
    <xf numFmtId="167" fontId="6" fillId="0" borderId="1" xfId="3" applyFont="1" applyBorder="1" applyAlignment="1">
      <alignment horizontal="center" vertical="center"/>
    </xf>
    <xf numFmtId="167" fontId="6" fillId="3" borderId="1" xfId="3" applyFont="1" applyFill="1" applyBorder="1" applyAlignment="1">
      <alignment horizontal="center" vertical="center"/>
    </xf>
    <xf numFmtId="167" fontId="8" fillId="2" borderId="4" xfId="3" applyFont="1" applyFill="1" applyBorder="1" applyAlignment="1">
      <alignment horizontal="center" vertical="center"/>
    </xf>
    <xf numFmtId="167" fontId="8" fillId="2" borderId="4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167" fontId="6" fillId="0" borderId="0" xfId="0" applyNumberFormat="1" applyFont="1" applyAlignment="1">
      <alignment vertical="center"/>
    </xf>
    <xf numFmtId="168" fontId="6" fillId="0" borderId="1" xfId="3" applyNumberFormat="1" applyFont="1" applyBorder="1" applyAlignment="1">
      <alignment horizontal="center" vertical="center"/>
    </xf>
    <xf numFmtId="167" fontId="6" fillId="3" borderId="0" xfId="3" applyFont="1" applyFill="1" applyAlignment="1">
      <alignment vertical="center"/>
    </xf>
    <xf numFmtId="0" fontId="6" fillId="3" borderId="0" xfId="0" applyFont="1" applyFill="1" applyAlignment="1">
      <alignment vertical="center"/>
    </xf>
    <xf numFmtId="168" fontId="6" fillId="0" borderId="1" xfId="3" applyNumberFormat="1" applyFont="1" applyBorder="1" applyAlignment="1">
      <alignment vertical="center"/>
    </xf>
    <xf numFmtId="167" fontId="6" fillId="0" borderId="2" xfId="3" applyFont="1" applyBorder="1" applyAlignment="1">
      <alignment horizontal="center" vertical="center"/>
    </xf>
    <xf numFmtId="169" fontId="8" fillId="0" borderId="1" xfId="0" applyNumberFormat="1" applyFont="1" applyBorder="1" applyAlignment="1">
      <alignment horizontal="right" vertical="center"/>
    </xf>
    <xf numFmtId="169" fontId="0" fillId="0" borderId="1" xfId="0" applyNumberFormat="1" applyBorder="1" applyAlignment="1">
      <alignment horizontal="right" vertical="center"/>
    </xf>
    <xf numFmtId="169" fontId="6" fillId="0" borderId="1" xfId="0" applyNumberFormat="1" applyFont="1" applyBorder="1" applyAlignment="1">
      <alignment horizontal="right" vertical="center"/>
    </xf>
    <xf numFmtId="169" fontId="8" fillId="0" borderId="32" xfId="0" applyNumberFormat="1" applyFont="1" applyBorder="1" applyAlignment="1">
      <alignment horizontal="right" vertical="center"/>
    </xf>
    <xf numFmtId="10" fontId="6" fillId="0" borderId="12" xfId="2" applyNumberFormat="1" applyFont="1" applyBorder="1" applyAlignment="1">
      <alignment horizontal="center" vertical="center"/>
    </xf>
    <xf numFmtId="44" fontId="6" fillId="0" borderId="2" xfId="4" applyFont="1" applyBorder="1" applyAlignment="1">
      <alignment horizontal="center" vertical="center"/>
    </xf>
    <xf numFmtId="167" fontId="6" fillId="0" borderId="0" xfId="3" applyFont="1" applyAlignment="1">
      <alignment horizontal="right" vertical="center"/>
    </xf>
    <xf numFmtId="167" fontId="6" fillId="0" borderId="1" xfId="3" applyFont="1" applyBorder="1" applyAlignment="1">
      <alignment vertical="center"/>
    </xf>
    <xf numFmtId="169" fontId="8" fillId="0" borderId="3" xfId="0" applyNumberFormat="1" applyFont="1" applyBorder="1" applyAlignment="1">
      <alignment horizontal="right" vertical="center"/>
    </xf>
    <xf numFmtId="2" fontId="11" fillId="6" borderId="1" xfId="3" applyNumberFormat="1" applyFont="1" applyFill="1" applyBorder="1" applyAlignment="1">
      <alignment horizontal="center" vertical="center"/>
    </xf>
    <xf numFmtId="167" fontId="6" fillId="0" borderId="0" xfId="3" applyFont="1" applyFill="1" applyAlignment="1">
      <alignment vertical="center"/>
    </xf>
    <xf numFmtId="10" fontId="11" fillId="0" borderId="0" xfId="2" applyNumberFormat="1" applyFont="1" applyFill="1" applyAlignment="1">
      <alignment vertical="center"/>
    </xf>
    <xf numFmtId="167" fontId="11" fillId="0" borderId="0" xfId="3" applyFont="1" applyFill="1" applyAlignment="1">
      <alignment vertical="center"/>
    </xf>
    <xf numFmtId="10" fontId="12" fillId="5" borderId="7" xfId="2" applyNumberFormat="1" applyFont="1" applyFill="1" applyBorder="1" applyAlignment="1">
      <alignment horizontal="center" vertical="center" wrapText="1"/>
    </xf>
    <xf numFmtId="10" fontId="6" fillId="6" borderId="1" xfId="0" applyNumberFormat="1" applyFont="1" applyFill="1" applyBorder="1" applyAlignment="1">
      <alignment horizontal="center" vertical="center"/>
    </xf>
    <xf numFmtId="171" fontId="11" fillId="3" borderId="2" xfId="3" applyNumberFormat="1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176" fontId="27" fillId="3" borderId="2" xfId="4" applyNumberFormat="1" applyFont="1" applyFill="1" applyBorder="1" applyAlignment="1" applyProtection="1">
      <alignment horizontal="center" vertical="center"/>
    </xf>
    <xf numFmtId="176" fontId="27" fillId="0" borderId="2" xfId="4" applyNumberFormat="1" applyFont="1" applyBorder="1" applyAlignment="1" applyProtection="1">
      <alignment horizontal="center" vertical="center"/>
    </xf>
    <xf numFmtId="0" fontId="27" fillId="0" borderId="2" xfId="0" applyFont="1" applyBorder="1" applyAlignment="1">
      <alignment horizontal="center" vertical="center"/>
    </xf>
    <xf numFmtId="175" fontId="27" fillId="0" borderId="1" xfId="3" applyNumberFormat="1" applyFont="1" applyFill="1" applyBorder="1" applyAlignment="1" applyProtection="1">
      <alignment horizontal="center" vertical="center"/>
    </xf>
    <xf numFmtId="174" fontId="27" fillId="3" borderId="2" xfId="3" applyNumberFormat="1" applyFont="1" applyFill="1" applyBorder="1" applyAlignment="1" applyProtection="1">
      <alignment horizontal="center" vertical="center"/>
    </xf>
    <xf numFmtId="174" fontId="8" fillId="0" borderId="2" xfId="3" applyNumberFormat="1" applyFont="1" applyFill="1" applyBorder="1" applyAlignment="1" applyProtection="1">
      <alignment horizontal="center" vertical="center"/>
    </xf>
    <xf numFmtId="44" fontId="11" fillId="0" borderId="1" xfId="4" applyFont="1" applyFill="1" applyBorder="1" applyAlignment="1">
      <alignment vertical="center"/>
    </xf>
    <xf numFmtId="168" fontId="11" fillId="0" borderId="1" xfId="3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8" fillId="0" borderId="1" xfId="0" applyFont="1" applyBorder="1" applyAlignment="1">
      <alignment horizontal="center"/>
    </xf>
    <xf numFmtId="0" fontId="0" fillId="0" borderId="1" xfId="0" applyBorder="1"/>
    <xf numFmtId="167" fontId="0" fillId="0" borderId="1" xfId="3" applyFont="1" applyBorder="1"/>
    <xf numFmtId="0" fontId="8" fillId="0" borderId="1" xfId="0" applyFont="1" applyBorder="1"/>
    <xf numFmtId="167" fontId="8" fillId="0" borderId="1" xfId="0" applyNumberFormat="1" applyFont="1" applyBorder="1"/>
    <xf numFmtId="167" fontId="0" fillId="0" borderId="0" xfId="3" applyFont="1"/>
    <xf numFmtId="174" fontId="29" fillId="0" borderId="6" xfId="66" applyNumberFormat="1" applyFont="1" applyBorder="1" applyAlignment="1" applyProtection="1">
      <alignment vertical="center"/>
    </xf>
    <xf numFmtId="176" fontId="29" fillId="11" borderId="4" xfId="68" applyNumberFormat="1" applyFont="1" applyFill="1" applyBorder="1" applyAlignment="1" applyProtection="1">
      <alignment vertical="center"/>
    </xf>
    <xf numFmtId="0" fontId="29" fillId="0" borderId="5" xfId="65" applyFont="1" applyBorder="1" applyAlignment="1">
      <alignment vertical="center"/>
    </xf>
    <xf numFmtId="174" fontId="27" fillId="0" borderId="6" xfId="66" applyNumberFormat="1" applyFont="1" applyBorder="1" applyAlignment="1" applyProtection="1">
      <alignment vertical="center"/>
    </xf>
    <xf numFmtId="174" fontId="27" fillId="0" borderId="7" xfId="66" applyNumberFormat="1" applyFont="1" applyBorder="1" applyAlignment="1" applyProtection="1">
      <alignment vertical="center"/>
    </xf>
    <xf numFmtId="0" fontId="29" fillId="0" borderId="6" xfId="65" applyFont="1" applyBorder="1" applyAlignment="1">
      <alignment vertical="center"/>
    </xf>
    <xf numFmtId="0" fontId="8" fillId="0" borderId="1" xfId="0" applyFont="1" applyBorder="1" applyAlignment="1">
      <alignment horizontal="center" wrapText="1"/>
    </xf>
    <xf numFmtId="1" fontId="0" fillId="0" borderId="1" xfId="0" applyNumberFormat="1" applyBorder="1"/>
    <xf numFmtId="167" fontId="0" fillId="0" borderId="1" xfId="0" applyNumberFormat="1" applyBorder="1"/>
    <xf numFmtId="43" fontId="0" fillId="0" borderId="0" xfId="0" applyNumberFormat="1"/>
    <xf numFmtId="0" fontId="9" fillId="0" borderId="0" xfId="14" applyFont="1"/>
    <xf numFmtId="0" fontId="30" fillId="0" borderId="0" xfId="14" applyFont="1"/>
    <xf numFmtId="10" fontId="0" fillId="0" borderId="0" xfId="2" applyNumberFormat="1" applyFont="1"/>
    <xf numFmtId="0" fontId="8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43" fontId="11" fillId="0" borderId="0" xfId="0" applyNumberFormat="1" applyFont="1" applyAlignment="1">
      <alignment vertical="center"/>
    </xf>
    <xf numFmtId="167" fontId="8" fillId="0" borderId="11" xfId="3" applyFont="1" applyBorder="1" applyAlignment="1">
      <alignment horizontal="left" vertical="center"/>
    </xf>
    <xf numFmtId="167" fontId="8" fillId="0" borderId="8" xfId="3" applyFont="1" applyBorder="1" applyAlignment="1">
      <alignment horizontal="left" vertical="center"/>
    </xf>
    <xf numFmtId="0" fontId="34" fillId="0" borderId="0" xfId="130" applyFont="1" applyAlignment="1">
      <alignment vertical="center"/>
    </xf>
    <xf numFmtId="177" fontId="11" fillId="0" borderId="0" xfId="0" applyNumberFormat="1" applyFont="1" applyAlignment="1">
      <alignment vertical="center"/>
    </xf>
    <xf numFmtId="168" fontId="8" fillId="0" borderId="1" xfId="0" applyNumberFormat="1" applyFont="1" applyBorder="1"/>
    <xf numFmtId="0" fontId="0" fillId="0" borderId="1" xfId="0" applyBorder="1" applyAlignment="1">
      <alignment wrapText="1"/>
    </xf>
    <xf numFmtId="0" fontId="7" fillId="0" borderId="0" xfId="0" applyFont="1" applyAlignment="1">
      <alignment horizontal="left" vertical="justify" wrapText="1"/>
    </xf>
    <xf numFmtId="0" fontId="7" fillId="0" borderId="0" xfId="0" applyFont="1" applyAlignment="1">
      <alignment horizontal="left" vertical="justify"/>
    </xf>
    <xf numFmtId="0" fontId="6" fillId="0" borderId="40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25" fillId="10" borderId="5" xfId="0" applyFont="1" applyFill="1" applyBorder="1" applyAlignment="1">
      <alignment horizontal="left" vertical="center"/>
    </xf>
    <xf numFmtId="0" fontId="25" fillId="10" borderId="6" xfId="0" applyFont="1" applyFill="1" applyBorder="1" applyAlignment="1">
      <alignment horizontal="left" vertical="center"/>
    </xf>
    <xf numFmtId="0" fontId="25" fillId="10" borderId="7" xfId="0" applyFont="1" applyFill="1" applyBorder="1" applyAlignment="1">
      <alignment horizontal="left" vertical="center"/>
    </xf>
    <xf numFmtId="0" fontId="23" fillId="10" borderId="0" xfId="0" applyFont="1" applyFill="1" applyAlignment="1">
      <alignment horizontal="center" vertical="center"/>
    </xf>
    <xf numFmtId="0" fontId="16" fillId="7" borderId="22" xfId="0" applyFont="1" applyFill="1" applyBorder="1" applyAlignment="1">
      <alignment horizontal="center" vertical="justify"/>
    </xf>
    <xf numFmtId="0" fontId="16" fillId="7" borderId="23" xfId="0" applyFont="1" applyFill="1" applyBorder="1" applyAlignment="1">
      <alignment horizontal="center" vertical="justify"/>
    </xf>
    <xf numFmtId="0" fontId="16" fillId="7" borderId="24" xfId="0" applyFont="1" applyFill="1" applyBorder="1" applyAlignment="1">
      <alignment horizontal="center" vertical="justify"/>
    </xf>
    <xf numFmtId="0" fontId="16" fillId="7" borderId="34" xfId="0" applyFont="1" applyFill="1" applyBorder="1" applyAlignment="1">
      <alignment horizontal="center" vertical="justify"/>
    </xf>
    <xf numFmtId="0" fontId="16" fillId="7" borderId="0" xfId="0" applyFont="1" applyFill="1" applyAlignment="1">
      <alignment horizontal="center" vertical="justify"/>
    </xf>
    <xf numFmtId="0" fontId="16" fillId="7" borderId="35" xfId="0" applyFont="1" applyFill="1" applyBorder="1" applyAlignment="1">
      <alignment horizontal="center" vertical="justify"/>
    </xf>
    <xf numFmtId="0" fontId="12" fillId="7" borderId="37" xfId="0" applyFont="1" applyFill="1" applyBorder="1" applyAlignment="1">
      <alignment horizontal="center" vertical="center"/>
    </xf>
    <xf numFmtId="0" fontId="12" fillId="7" borderId="36" xfId="0" applyFont="1" applyFill="1" applyBorder="1" applyAlignment="1">
      <alignment horizontal="center" vertical="center"/>
    </xf>
    <xf numFmtId="0" fontId="12" fillId="7" borderId="38" xfId="0" applyFont="1" applyFill="1" applyBorder="1" applyAlignment="1">
      <alignment horizontal="center" vertical="center"/>
    </xf>
    <xf numFmtId="167" fontId="9" fillId="7" borderId="5" xfId="3" applyFont="1" applyFill="1" applyBorder="1" applyAlignment="1">
      <alignment horizontal="center" vertical="center"/>
    </xf>
    <xf numFmtId="167" fontId="9" fillId="7" borderId="6" xfId="3" applyFont="1" applyFill="1" applyBorder="1" applyAlignment="1">
      <alignment horizontal="center" vertical="center"/>
    </xf>
    <xf numFmtId="167" fontId="9" fillId="7" borderId="7" xfId="3" applyFont="1" applyFill="1" applyBorder="1" applyAlignment="1">
      <alignment horizontal="center" vertical="center"/>
    </xf>
    <xf numFmtId="167" fontId="8" fillId="0" borderId="11" xfId="3" applyFont="1" applyBorder="1" applyAlignment="1">
      <alignment horizontal="left" vertical="center"/>
    </xf>
    <xf numFmtId="167" fontId="8" fillId="0" borderId="8" xfId="3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16" fillId="7" borderId="18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9" fontId="12" fillId="0" borderId="18" xfId="2" applyFont="1" applyBorder="1" applyAlignment="1">
      <alignment horizontal="center"/>
    </xf>
    <xf numFmtId="9" fontId="12" fillId="0" borderId="19" xfId="2" applyFont="1" applyBorder="1" applyAlignment="1">
      <alignment horizontal="center"/>
    </xf>
    <xf numFmtId="9" fontId="12" fillId="0" borderId="10" xfId="2" applyFont="1" applyBorder="1" applyAlignment="1">
      <alignment horizontal="center"/>
    </xf>
    <xf numFmtId="0" fontId="9" fillId="9" borderId="22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</cellXfs>
  <cellStyles count="132">
    <cellStyle name="Hiperlink" xfId="1" builtinId="8"/>
    <cellStyle name="Moeda" xfId="4" builtinId="4"/>
    <cellStyle name="Moeda 2" xfId="7" xr:uid="{00000000-0005-0000-0000-000002000000}"/>
    <cellStyle name="Moeda 2 2" xfId="69" xr:uid="{00000000-0005-0000-0000-000003000000}"/>
    <cellStyle name="Moeda 2 3" xfId="73" xr:uid="{00000000-0005-0000-0000-000004000000}"/>
    <cellStyle name="Moeda 2 4" xfId="128" xr:uid="{00000000-0005-0000-0000-000005000000}"/>
    <cellStyle name="Moeda 3" xfId="8" xr:uid="{00000000-0005-0000-0000-000006000000}"/>
    <cellStyle name="Moeda 4" xfId="42" xr:uid="{00000000-0005-0000-0000-000007000000}"/>
    <cellStyle name="Moeda 4 2" xfId="98" xr:uid="{00000000-0005-0000-0000-000008000000}"/>
    <cellStyle name="Moeda 5" xfId="43" xr:uid="{00000000-0005-0000-0000-000009000000}"/>
    <cellStyle name="Moeda 5 2" xfId="103" xr:uid="{00000000-0005-0000-0000-00000A000000}"/>
    <cellStyle name="Moeda 6" xfId="68" xr:uid="{00000000-0005-0000-0000-00000B000000}"/>
    <cellStyle name="Moeda 7" xfId="127" xr:uid="{00000000-0005-0000-0000-00000C000000}"/>
    <cellStyle name="Normal" xfId="0" builtinId="0"/>
    <cellStyle name="Normal 10" xfId="9" xr:uid="{00000000-0005-0000-0000-00000E000000}"/>
    <cellStyle name="Normal 10 2" xfId="86" xr:uid="{00000000-0005-0000-0000-00000F000000}"/>
    <cellStyle name="Normal 11" xfId="10" xr:uid="{00000000-0005-0000-0000-000010000000}"/>
    <cellStyle name="Normal 11 2" xfId="87" xr:uid="{00000000-0005-0000-0000-000011000000}"/>
    <cellStyle name="Normal 12" xfId="11" xr:uid="{00000000-0005-0000-0000-000012000000}"/>
    <cellStyle name="Normal 12 2" xfId="90" xr:uid="{00000000-0005-0000-0000-000013000000}"/>
    <cellStyle name="Normal 13" xfId="12" xr:uid="{00000000-0005-0000-0000-000014000000}"/>
    <cellStyle name="Normal 13 2" xfId="92" xr:uid="{00000000-0005-0000-0000-000015000000}"/>
    <cellStyle name="Normal 14" xfId="13" xr:uid="{00000000-0005-0000-0000-000016000000}"/>
    <cellStyle name="Normal 14 2" xfId="94" xr:uid="{00000000-0005-0000-0000-000017000000}"/>
    <cellStyle name="Normal 15" xfId="14" xr:uid="{00000000-0005-0000-0000-000018000000}"/>
    <cellStyle name="Normal 15 2" xfId="97" xr:uid="{00000000-0005-0000-0000-000019000000}"/>
    <cellStyle name="Normal 16" xfId="39" xr:uid="{00000000-0005-0000-0000-00001A000000}"/>
    <cellStyle name="Normal 16 2" xfId="41" xr:uid="{00000000-0005-0000-0000-00001B000000}"/>
    <cellStyle name="Normal 16 3" xfId="99" xr:uid="{00000000-0005-0000-0000-00001C000000}"/>
    <cellStyle name="Normal 17" xfId="44" xr:uid="{00000000-0005-0000-0000-00001D000000}"/>
    <cellStyle name="Normal 17 2" xfId="101" xr:uid="{00000000-0005-0000-0000-00001E000000}"/>
    <cellStyle name="Normal 18" xfId="45" xr:uid="{00000000-0005-0000-0000-00001F000000}"/>
    <cellStyle name="Normal 18 2" xfId="104" xr:uid="{00000000-0005-0000-0000-000020000000}"/>
    <cellStyle name="Normal 19" xfId="46" xr:uid="{00000000-0005-0000-0000-000021000000}"/>
    <cellStyle name="Normal 19 2" xfId="106" xr:uid="{00000000-0005-0000-0000-000022000000}"/>
    <cellStyle name="Normal 2" xfId="15" xr:uid="{00000000-0005-0000-0000-000023000000}"/>
    <cellStyle name="Normal 2 2" xfId="16" xr:uid="{00000000-0005-0000-0000-000024000000}"/>
    <cellStyle name="Normal 2 3" xfId="6" xr:uid="{00000000-0005-0000-0000-000025000000}"/>
    <cellStyle name="Normal 2 3 2" xfId="47" xr:uid="{00000000-0005-0000-0000-000026000000}"/>
    <cellStyle name="Normal 2 3 2 2" xfId="118" xr:uid="{00000000-0005-0000-0000-000027000000}"/>
    <cellStyle name="Normal 2 3 3" xfId="85" xr:uid="{00000000-0005-0000-0000-000028000000}"/>
    <cellStyle name="Normal 2 4" xfId="74" xr:uid="{00000000-0005-0000-0000-000029000000}"/>
    <cellStyle name="Normal 20" xfId="48" xr:uid="{00000000-0005-0000-0000-00002A000000}"/>
    <cellStyle name="Normal 20 2" xfId="108" xr:uid="{00000000-0005-0000-0000-00002B000000}"/>
    <cellStyle name="Normal 21" xfId="49" xr:uid="{00000000-0005-0000-0000-00002C000000}"/>
    <cellStyle name="Normal 21 2" xfId="110" xr:uid="{00000000-0005-0000-0000-00002D000000}"/>
    <cellStyle name="Normal 22" xfId="50" xr:uid="{00000000-0005-0000-0000-00002E000000}"/>
    <cellStyle name="Normal 22 2" xfId="113" xr:uid="{00000000-0005-0000-0000-00002F000000}"/>
    <cellStyle name="Normal 23" xfId="51" xr:uid="{00000000-0005-0000-0000-000030000000}"/>
    <cellStyle name="Normal 23 2" xfId="115" xr:uid="{00000000-0005-0000-0000-000031000000}"/>
    <cellStyle name="Normal 24" xfId="52" xr:uid="{00000000-0005-0000-0000-000032000000}"/>
    <cellStyle name="Normal 24 2" xfId="119" xr:uid="{00000000-0005-0000-0000-000033000000}"/>
    <cellStyle name="Normal 25" xfId="53" xr:uid="{00000000-0005-0000-0000-000034000000}"/>
    <cellStyle name="Normal 25 2" xfId="121" xr:uid="{00000000-0005-0000-0000-000035000000}"/>
    <cellStyle name="Normal 26" xfId="54" xr:uid="{00000000-0005-0000-0000-000036000000}"/>
    <cellStyle name="Normal 26 2" xfId="122" xr:uid="{00000000-0005-0000-0000-000037000000}"/>
    <cellStyle name="Normal 27" xfId="65" xr:uid="{00000000-0005-0000-0000-000038000000}"/>
    <cellStyle name="Normal 28" xfId="125" xr:uid="{00000000-0005-0000-0000-000039000000}"/>
    <cellStyle name="Normal 29" xfId="129" xr:uid="{00000000-0005-0000-0000-00003A000000}"/>
    <cellStyle name="Normal 3" xfId="17" xr:uid="{00000000-0005-0000-0000-00003B000000}"/>
    <cellStyle name="Normal 30" xfId="130" xr:uid="{00000000-0005-0000-0000-00003C000000}"/>
    <cellStyle name="Normal 4" xfId="18" xr:uid="{00000000-0005-0000-0000-00003D000000}"/>
    <cellStyle name="Normal 5" xfId="19" xr:uid="{00000000-0005-0000-0000-00003E000000}"/>
    <cellStyle name="Normal 5 2" xfId="75" xr:uid="{00000000-0005-0000-0000-00003F000000}"/>
    <cellStyle name="Normal 6" xfId="5" xr:uid="{00000000-0005-0000-0000-000040000000}"/>
    <cellStyle name="Normal 6 2" xfId="40" xr:uid="{00000000-0005-0000-0000-000041000000}"/>
    <cellStyle name="Normal 6 2 2" xfId="123" xr:uid="{00000000-0005-0000-0000-000042000000}"/>
    <cellStyle name="Normal 6 2 3" xfId="111" xr:uid="{00000000-0005-0000-0000-000043000000}"/>
    <cellStyle name="Normal 6 3" xfId="55" xr:uid="{00000000-0005-0000-0000-000044000000}"/>
    <cellStyle name="Normal 6 3 2" xfId="117" xr:uid="{00000000-0005-0000-0000-000045000000}"/>
    <cellStyle name="Normal 6 4" xfId="71" xr:uid="{00000000-0005-0000-0000-000046000000}"/>
    <cellStyle name="Normal 7" xfId="20" xr:uid="{00000000-0005-0000-0000-000047000000}"/>
    <cellStyle name="Normal 7 2" xfId="76" xr:uid="{00000000-0005-0000-0000-000048000000}"/>
    <cellStyle name="Normal 8" xfId="21" xr:uid="{00000000-0005-0000-0000-000049000000}"/>
    <cellStyle name="Normal 8 2" xfId="77" xr:uid="{00000000-0005-0000-0000-00004A000000}"/>
    <cellStyle name="Normal 9" xfId="22" xr:uid="{00000000-0005-0000-0000-00004B000000}"/>
    <cellStyle name="Normal 9 2" xfId="78" xr:uid="{00000000-0005-0000-0000-00004C000000}"/>
    <cellStyle name="Porcentagem" xfId="2" builtinId="5"/>
    <cellStyle name="Porcentagem 2" xfId="23" xr:uid="{00000000-0005-0000-0000-00004E000000}"/>
    <cellStyle name="Porcentagem 3" xfId="24" xr:uid="{00000000-0005-0000-0000-00004F000000}"/>
    <cellStyle name="Porcentagem 4" xfId="67" xr:uid="{00000000-0005-0000-0000-000050000000}"/>
    <cellStyle name="Separador de milhares 10" xfId="25" xr:uid="{00000000-0005-0000-0000-000051000000}"/>
    <cellStyle name="Separador de milhares 10 2" xfId="88" xr:uid="{00000000-0005-0000-0000-000052000000}"/>
    <cellStyle name="Separador de milhares 11" xfId="26" xr:uid="{00000000-0005-0000-0000-000053000000}"/>
    <cellStyle name="Separador de milhares 11 2" xfId="91" xr:uid="{00000000-0005-0000-0000-000054000000}"/>
    <cellStyle name="Separador de milhares 12" xfId="27" xr:uid="{00000000-0005-0000-0000-000055000000}"/>
    <cellStyle name="Separador de milhares 12 2" xfId="93" xr:uid="{00000000-0005-0000-0000-000056000000}"/>
    <cellStyle name="Separador de milhares 13" xfId="28" xr:uid="{00000000-0005-0000-0000-000057000000}"/>
    <cellStyle name="Separador de milhares 13 2" xfId="95" xr:uid="{00000000-0005-0000-0000-000058000000}"/>
    <cellStyle name="Separador de milhares 14" xfId="29" xr:uid="{00000000-0005-0000-0000-000059000000}"/>
    <cellStyle name="Separador de milhares 14 2" xfId="96" xr:uid="{00000000-0005-0000-0000-00005A000000}"/>
    <cellStyle name="Separador de milhares 15" xfId="56" xr:uid="{00000000-0005-0000-0000-00005B000000}"/>
    <cellStyle name="Separador de milhares 15 2" xfId="100" xr:uid="{00000000-0005-0000-0000-00005C000000}"/>
    <cellStyle name="Separador de milhares 16" xfId="57" xr:uid="{00000000-0005-0000-0000-00005D000000}"/>
    <cellStyle name="Separador de milhares 16 2" xfId="102" xr:uid="{00000000-0005-0000-0000-00005E000000}"/>
    <cellStyle name="Separador de milhares 17" xfId="58" xr:uid="{00000000-0005-0000-0000-00005F000000}"/>
    <cellStyle name="Separador de milhares 17 2" xfId="105" xr:uid="{00000000-0005-0000-0000-000060000000}"/>
    <cellStyle name="Separador de milhares 18" xfId="59" xr:uid="{00000000-0005-0000-0000-000061000000}"/>
    <cellStyle name="Separador de milhares 18 2" xfId="107" xr:uid="{00000000-0005-0000-0000-000062000000}"/>
    <cellStyle name="Separador de milhares 19" xfId="60" xr:uid="{00000000-0005-0000-0000-000063000000}"/>
    <cellStyle name="Separador de milhares 19 2" xfId="109" xr:uid="{00000000-0005-0000-0000-000064000000}"/>
    <cellStyle name="Separador de milhares 2" xfId="30" xr:uid="{00000000-0005-0000-0000-000065000000}"/>
    <cellStyle name="Separador de milhares 2 2" xfId="79" xr:uid="{00000000-0005-0000-0000-000066000000}"/>
    <cellStyle name="Separador de milhares 20" xfId="61" xr:uid="{00000000-0005-0000-0000-000067000000}"/>
    <cellStyle name="Separador de milhares 20 2" xfId="114" xr:uid="{00000000-0005-0000-0000-000068000000}"/>
    <cellStyle name="Separador de milhares 21" xfId="62" xr:uid="{00000000-0005-0000-0000-000069000000}"/>
    <cellStyle name="Separador de milhares 21 2" xfId="116" xr:uid="{00000000-0005-0000-0000-00006A000000}"/>
    <cellStyle name="Separador de milhares 22" xfId="63" xr:uid="{00000000-0005-0000-0000-00006B000000}"/>
    <cellStyle name="Separador de milhares 22 2" xfId="120" xr:uid="{00000000-0005-0000-0000-00006C000000}"/>
    <cellStyle name="Separador de milhares 23" xfId="66" xr:uid="{00000000-0005-0000-0000-00006D000000}"/>
    <cellStyle name="Separador de milhares 3" xfId="31" xr:uid="{00000000-0005-0000-0000-00006E000000}"/>
    <cellStyle name="Separador de milhares 3 2" xfId="80" xr:uid="{00000000-0005-0000-0000-00006F000000}"/>
    <cellStyle name="Separador de milhares 4" xfId="32" xr:uid="{00000000-0005-0000-0000-000070000000}"/>
    <cellStyle name="Separador de milhares 4 2" xfId="81" xr:uid="{00000000-0005-0000-0000-000071000000}"/>
    <cellStyle name="Separador de milhares 5" xfId="33" xr:uid="{00000000-0005-0000-0000-000072000000}"/>
    <cellStyle name="Separador de milhares 5 2" xfId="64" xr:uid="{00000000-0005-0000-0000-000073000000}"/>
    <cellStyle name="Separador de milhares 5 2 2" xfId="124" xr:uid="{00000000-0005-0000-0000-000074000000}"/>
    <cellStyle name="Separador de milhares 5 2 3" xfId="112" xr:uid="{00000000-0005-0000-0000-000075000000}"/>
    <cellStyle name="Separador de milhares 5 3" xfId="72" xr:uid="{00000000-0005-0000-0000-000076000000}"/>
    <cellStyle name="Separador de milhares 6" xfId="34" xr:uid="{00000000-0005-0000-0000-000077000000}"/>
    <cellStyle name="Separador de milhares 6 2" xfId="82" xr:uid="{00000000-0005-0000-0000-000078000000}"/>
    <cellStyle name="Separador de milhares 7" xfId="35" xr:uid="{00000000-0005-0000-0000-000079000000}"/>
    <cellStyle name="Separador de milhares 7 2" xfId="83" xr:uid="{00000000-0005-0000-0000-00007A000000}"/>
    <cellStyle name="Separador de milhares 8" xfId="36" xr:uid="{00000000-0005-0000-0000-00007B000000}"/>
    <cellStyle name="Separador de milhares 8 2" xfId="84" xr:uid="{00000000-0005-0000-0000-00007C000000}"/>
    <cellStyle name="Separador de milhares 9" xfId="37" xr:uid="{00000000-0005-0000-0000-00007D000000}"/>
    <cellStyle name="Separador de milhares 9 2" xfId="89" xr:uid="{00000000-0005-0000-0000-00007E000000}"/>
    <cellStyle name="Vírgula" xfId="3" builtinId="3"/>
    <cellStyle name="Vírgula 2" xfId="38" xr:uid="{00000000-0005-0000-0000-000080000000}"/>
    <cellStyle name="Vírgula 3" xfId="70" xr:uid="{00000000-0005-0000-0000-000081000000}"/>
    <cellStyle name="Vírgula 4" xfId="126" xr:uid="{00000000-0005-0000-0000-000082000000}"/>
    <cellStyle name="Vírgula 5" xfId="131" xr:uid="{00000000-0005-0000-0000-000083000000}"/>
  </cellStyles>
  <dxfs count="0"/>
  <tableStyles count="0" defaultTableStyle="TableStyleMedium2" defaultPivotStyle="PivotStyleLight16"/>
  <colors>
    <mruColors>
      <color rgb="FFD438C1"/>
      <color rgb="FFFD11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"/>
  <sheetViews>
    <sheetView tabSelected="1" topLeftCell="A16" zoomScale="130" zoomScaleNormal="130" workbookViewId="0">
      <selection activeCell="B13" sqref="B13"/>
    </sheetView>
  </sheetViews>
  <sheetFormatPr defaultRowHeight="12.75" x14ac:dyDescent="0.2"/>
  <cols>
    <col min="1" max="1" width="5.5703125" customWidth="1"/>
    <col min="2" max="2" width="20.85546875" customWidth="1"/>
    <col min="3" max="3" width="11.28515625" bestFit="1" customWidth="1"/>
    <col min="4" max="5" width="8.140625" bestFit="1" customWidth="1"/>
    <col min="6" max="6" width="12.140625" customWidth="1"/>
    <col min="7" max="7" width="7.85546875" bestFit="1" customWidth="1"/>
    <col min="8" max="8" width="14" bestFit="1" customWidth="1"/>
    <col min="11" max="11" width="12.85546875" bestFit="1" customWidth="1"/>
  </cols>
  <sheetData>
    <row r="1" spans="1:11" ht="18" x14ac:dyDescent="0.2">
      <c r="A1" s="57" t="s">
        <v>168</v>
      </c>
    </row>
    <row r="2" spans="1:11" x14ac:dyDescent="0.2">
      <c r="A2" s="254" t="s">
        <v>169</v>
      </c>
    </row>
    <row r="3" spans="1:11" ht="38.25" x14ac:dyDescent="0.2">
      <c r="A3" s="235" t="s">
        <v>148</v>
      </c>
      <c r="B3" s="235" t="s">
        <v>143</v>
      </c>
      <c r="C3" s="247" t="s">
        <v>154</v>
      </c>
      <c r="D3" s="247" t="s">
        <v>145</v>
      </c>
      <c r="E3" s="247" t="s">
        <v>149</v>
      </c>
      <c r="F3" s="247" t="s">
        <v>153</v>
      </c>
      <c r="G3" s="247" t="s">
        <v>152</v>
      </c>
      <c r="H3" s="247" t="s">
        <v>147</v>
      </c>
    </row>
    <row r="4" spans="1:11" x14ac:dyDescent="0.2">
      <c r="A4" s="255" t="s">
        <v>164</v>
      </c>
      <c r="B4" s="262" t="s">
        <v>166</v>
      </c>
      <c r="C4" s="237">
        <f>'1.1 Cuidador 40hr'!E16</f>
        <v>193819.22755844999</v>
      </c>
      <c r="D4" s="248">
        <f>'1.1 Cuidador 40hr'!C28</f>
        <v>30</v>
      </c>
      <c r="E4" s="237">
        <f>'1.1 Cuidador 40hr'!B76</f>
        <v>165.43</v>
      </c>
      <c r="F4" s="237">
        <f>C4/D4</f>
        <v>6460.6409186149995</v>
      </c>
      <c r="G4" s="237">
        <f>F4/E4</f>
        <v>39.053623397297947</v>
      </c>
      <c r="H4" s="237">
        <f t="shared" ref="H4" si="0">C4*12</f>
        <v>2325830.7307014</v>
      </c>
      <c r="K4" s="240"/>
    </row>
    <row r="5" spans="1:11" x14ac:dyDescent="0.2">
      <c r="A5" s="255" t="s">
        <v>165</v>
      </c>
      <c r="B5" s="262" t="s">
        <v>167</v>
      </c>
      <c r="C5" s="237">
        <f>'1.2 Cuidador 20hr'!E16</f>
        <v>73499.764630291378</v>
      </c>
      <c r="D5" s="248">
        <f>'1.2 Cuidador 20hr'!C28</f>
        <v>20</v>
      </c>
      <c r="E5" s="237">
        <f>'1.2 Cuidador 20hr'!B76</f>
        <v>82.715000000000003</v>
      </c>
      <c r="F5" s="237">
        <f t="shared" ref="F5" si="1">C5/D5</f>
        <v>3674.9882315145687</v>
      </c>
      <c r="G5" s="237">
        <f t="shared" ref="G5" si="2">F5/E5</f>
        <v>44.429525860056444</v>
      </c>
      <c r="H5" s="237">
        <f t="shared" ref="H5" si="3">C5*12</f>
        <v>881997.17556349654</v>
      </c>
      <c r="K5" s="240"/>
    </row>
    <row r="6" spans="1:11" x14ac:dyDescent="0.2">
      <c r="A6" s="255">
        <v>2</v>
      </c>
      <c r="B6" s="236" t="s">
        <v>162</v>
      </c>
      <c r="C6" s="237">
        <f>'2. Administração Local'!E18</f>
        <v>10439.200645683335</v>
      </c>
      <c r="D6" s="248">
        <f>'2. Administração Local'!C30+'2. Administração Local'!C40</f>
        <v>1</v>
      </c>
      <c r="E6" s="237">
        <f>'2. Administração Local'!B96</f>
        <v>181.97299999999998</v>
      </c>
      <c r="F6" s="237"/>
      <c r="G6" s="237"/>
      <c r="H6" s="237">
        <f t="shared" ref="H6" si="4">C6*12</f>
        <v>125270.40774820003</v>
      </c>
      <c r="K6" s="240"/>
    </row>
    <row r="7" spans="1:11" x14ac:dyDescent="0.2">
      <c r="A7" s="255"/>
      <c r="B7" s="236"/>
      <c r="C7" s="237"/>
      <c r="D7" s="248"/>
      <c r="E7" s="237"/>
      <c r="F7" s="237"/>
      <c r="G7" s="237"/>
      <c r="H7" s="237"/>
      <c r="K7" s="240"/>
    </row>
    <row r="8" spans="1:11" x14ac:dyDescent="0.2">
      <c r="A8" s="238" t="s">
        <v>163</v>
      </c>
      <c r="B8" s="238"/>
      <c r="C8" s="239">
        <f>SUM(C4:C6)</f>
        <v>277758.19283442467</v>
      </c>
      <c r="D8" s="261">
        <f>SUM(D4:D6)</f>
        <v>51</v>
      </c>
      <c r="E8" s="237"/>
      <c r="F8" s="237"/>
      <c r="G8" s="249"/>
      <c r="H8" s="239">
        <f>SUM(H4:H6)</f>
        <v>3333098.3140130965</v>
      </c>
    </row>
    <row r="9" spans="1:11" x14ac:dyDescent="0.2">
      <c r="A9" s="255"/>
      <c r="B9" s="236"/>
      <c r="C9" s="236"/>
      <c r="D9" s="236"/>
      <c r="E9" s="236"/>
      <c r="F9" s="237"/>
      <c r="G9" s="236"/>
      <c r="H9" s="236"/>
    </row>
    <row r="11" spans="1:11" ht="15.75" x14ac:dyDescent="0.25">
      <c r="A11" s="251" t="s">
        <v>187</v>
      </c>
      <c r="C11" s="240"/>
      <c r="H11" s="250"/>
    </row>
    <row r="12" spans="1:11" ht="15" x14ac:dyDescent="0.2">
      <c r="A12" s="252"/>
      <c r="C12" s="240"/>
    </row>
    <row r="13" spans="1:11" ht="15" x14ac:dyDescent="0.2">
      <c r="A13" s="252"/>
      <c r="C13" s="240"/>
    </row>
    <row r="14" spans="1:11" ht="15" x14ac:dyDescent="0.2">
      <c r="A14" s="252"/>
      <c r="C14" s="240"/>
    </row>
    <row r="15" spans="1:11" ht="15" x14ac:dyDescent="0.2">
      <c r="A15" s="252"/>
      <c r="C15" s="240"/>
    </row>
    <row r="16" spans="1:11" ht="15" x14ac:dyDescent="0.2">
      <c r="A16" s="252"/>
      <c r="C16" s="253"/>
    </row>
    <row r="17" spans="1:8" ht="15" x14ac:dyDescent="0.2">
      <c r="A17" s="252"/>
      <c r="C17" s="240"/>
    </row>
    <row r="18" spans="1:8" ht="15.75" x14ac:dyDescent="0.25">
      <c r="A18" s="251" t="s">
        <v>150</v>
      </c>
      <c r="C18" s="250"/>
      <c r="H18" s="240"/>
    </row>
  </sheetData>
  <pageMargins left="0.70866141732283472" right="0.51181102362204722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05"/>
  <sheetViews>
    <sheetView zoomScale="130" zoomScaleNormal="130" zoomScaleSheetLayoutView="100" workbookViewId="0">
      <pane ySplit="1" topLeftCell="A52" activePane="bottomLeft" state="frozen"/>
      <selection activeCell="A2" sqref="A2"/>
      <selection pane="bottomLeft" activeCell="A2" sqref="A2:F3"/>
    </sheetView>
  </sheetViews>
  <sheetFormatPr defaultColWidth="9.140625" defaultRowHeight="12.75" x14ac:dyDescent="0.2"/>
  <cols>
    <col min="1" max="1" width="49.42578125" style="6" customWidth="1"/>
    <col min="2" max="2" width="16" style="6" bestFit="1" customWidth="1"/>
    <col min="3" max="3" width="14.5703125" style="6" customWidth="1"/>
    <col min="4" max="4" width="14.7109375" style="7" customWidth="1"/>
    <col min="5" max="5" width="15.42578125" style="7" customWidth="1"/>
    <col min="6" max="6" width="15" style="7" customWidth="1"/>
    <col min="7" max="7" width="28.140625" style="7" customWidth="1"/>
    <col min="8" max="8" width="23.85546875" style="6" hidden="1" customWidth="1"/>
    <col min="9" max="9" width="14.5703125" style="6" customWidth="1"/>
    <col min="10" max="10" width="13.42578125" style="6" customWidth="1"/>
    <col min="11" max="11" width="10.5703125" style="6" bestFit="1" customWidth="1"/>
    <col min="12" max="16384" width="9.140625" style="6"/>
  </cols>
  <sheetData>
    <row r="1" spans="1:7" s="2" customFormat="1" ht="21.75" customHeight="1" thickBot="1" x14ac:dyDescent="0.25">
      <c r="A1" s="270" t="s">
        <v>98</v>
      </c>
      <c r="B1" s="270"/>
      <c r="C1" s="270"/>
      <c r="D1" s="270"/>
      <c r="E1" s="270"/>
      <c r="F1" s="270"/>
      <c r="G1" s="3"/>
    </row>
    <row r="2" spans="1:7" s="5" customFormat="1" ht="15" customHeight="1" x14ac:dyDescent="0.2">
      <c r="A2" s="271" t="s">
        <v>171</v>
      </c>
      <c r="B2" s="272"/>
      <c r="C2" s="272"/>
      <c r="D2" s="272"/>
      <c r="E2" s="272"/>
      <c r="F2" s="273"/>
      <c r="G2" s="21"/>
    </row>
    <row r="3" spans="1:7" s="5" customFormat="1" ht="11.45" customHeight="1" x14ac:dyDescent="0.2">
      <c r="A3" s="274"/>
      <c r="B3" s="275"/>
      <c r="C3" s="275"/>
      <c r="D3" s="275"/>
      <c r="E3" s="275"/>
      <c r="F3" s="276"/>
      <c r="G3" s="21"/>
    </row>
    <row r="4" spans="1:7" s="5" customFormat="1" ht="21.75" customHeight="1" x14ac:dyDescent="0.2">
      <c r="A4" s="277" t="s">
        <v>14</v>
      </c>
      <c r="B4" s="278"/>
      <c r="C4" s="278"/>
      <c r="D4" s="278"/>
      <c r="E4" s="278"/>
      <c r="F4" s="279"/>
      <c r="G4" s="21"/>
    </row>
    <row r="5" spans="1:7" s="2" customFormat="1" ht="10.9" customHeight="1" thickBot="1" x14ac:dyDescent="0.25">
      <c r="A5" s="58"/>
      <c r="B5" s="59"/>
      <c r="C5" s="59"/>
      <c r="D5" s="60"/>
      <c r="E5" s="60"/>
      <c r="F5" s="61"/>
      <c r="G5" s="3"/>
    </row>
    <row r="6" spans="1:7" s="2" customFormat="1" ht="15.75" customHeight="1" thickBot="1" x14ac:dyDescent="0.25">
      <c r="A6" s="280" t="s">
        <v>88</v>
      </c>
      <c r="B6" s="281"/>
      <c r="C6" s="281"/>
      <c r="D6" s="281"/>
      <c r="E6" s="281"/>
      <c r="F6" s="282"/>
      <c r="G6" s="3"/>
    </row>
    <row r="7" spans="1:7" s="2" customFormat="1" ht="15.75" customHeight="1" x14ac:dyDescent="0.2">
      <c r="A7" s="38" t="s">
        <v>87</v>
      </c>
      <c r="B7" s="22"/>
      <c r="C7" s="22"/>
      <c r="D7" s="121"/>
      <c r="E7" s="45" t="s">
        <v>10</v>
      </c>
      <c r="F7" s="23" t="s">
        <v>1</v>
      </c>
      <c r="G7" s="3"/>
    </row>
    <row r="8" spans="1:7" s="8" customFormat="1" ht="15.75" customHeight="1" x14ac:dyDescent="0.2">
      <c r="A8" s="50" t="str">
        <f>A20</f>
        <v>1. Mão-de-obra</v>
      </c>
      <c r="B8" s="51"/>
      <c r="C8" s="52"/>
      <c r="D8" s="52"/>
      <c r="E8" s="208">
        <f>+F48</f>
        <v>157596.37808181817</v>
      </c>
      <c r="F8" s="151">
        <f t="shared" ref="F8:F15" si="0">IFERROR(E8/$E$16,0)</f>
        <v>0.81311013394835607</v>
      </c>
      <c r="G8" s="26"/>
    </row>
    <row r="9" spans="1:7" s="2" customFormat="1" ht="15.75" customHeight="1" x14ac:dyDescent="0.2">
      <c r="A9" s="29" t="str">
        <f>A21</f>
        <v>1.1. Categoria Profissional de Cuidador CBO 5162</v>
      </c>
      <c r="B9" s="27"/>
      <c r="C9" s="28"/>
      <c r="D9" s="28"/>
      <c r="E9" s="209">
        <f>F29</f>
        <v>142456.02308181819</v>
      </c>
      <c r="F9" s="152">
        <f t="shared" si="0"/>
        <v>0.7349942772775615</v>
      </c>
      <c r="G9" s="3"/>
    </row>
    <row r="10" spans="1:7" s="2" customFormat="1" ht="15.75" customHeight="1" x14ac:dyDescent="0.2">
      <c r="A10" s="29" t="str">
        <f>A31</f>
        <v>1.2. Vale Transporte</v>
      </c>
      <c r="B10" s="27"/>
      <c r="C10" s="28"/>
      <c r="D10" s="28"/>
      <c r="E10" s="209">
        <f>F36</f>
        <v>520.10999999999967</v>
      </c>
      <c r="F10" s="152">
        <f t="shared" si="0"/>
        <v>2.683479892845772E-3</v>
      </c>
      <c r="G10" s="3"/>
    </row>
    <row r="11" spans="1:7" s="2" customFormat="1" ht="15.75" customHeight="1" x14ac:dyDescent="0.2">
      <c r="A11" s="29" t="str">
        <f>A38</f>
        <v xml:space="preserve">1.3. Auxílio Alimentação </v>
      </c>
      <c r="B11" s="27"/>
      <c r="C11" s="28"/>
      <c r="D11" s="28"/>
      <c r="E11" s="209">
        <f>F41</f>
        <v>13854.645</v>
      </c>
      <c r="F11" s="152">
        <f t="shared" si="0"/>
        <v>7.148230428181776E-2</v>
      </c>
      <c r="G11" s="3"/>
    </row>
    <row r="12" spans="1:7" s="2" customFormat="1" ht="15.75" customHeight="1" x14ac:dyDescent="0.2">
      <c r="A12" s="29" t="str">
        <f>A43</f>
        <v xml:space="preserve">1.4. Plano de Benefício Social  </v>
      </c>
      <c r="B12" s="27"/>
      <c r="C12" s="28"/>
      <c r="D12" s="28"/>
      <c r="E12" s="209">
        <f>F46</f>
        <v>765.6</v>
      </c>
      <c r="F12" s="152">
        <f t="shared" si="0"/>
        <v>3.9500724961310579E-3</v>
      </c>
      <c r="G12" s="3"/>
    </row>
    <row r="13" spans="1:7" s="8" customFormat="1" ht="15.75" customHeight="1" x14ac:dyDescent="0.2">
      <c r="A13" s="283" t="str">
        <f>A50</f>
        <v>2. Uniformes e Equipamentos de Proteção Individual</v>
      </c>
      <c r="B13" s="284"/>
      <c r="C13" s="284"/>
      <c r="D13" s="52"/>
      <c r="E13" s="208">
        <f>+F62</f>
        <v>1860</v>
      </c>
      <c r="F13" s="151">
        <f t="shared" si="0"/>
        <v>9.5965711112901871E-3</v>
      </c>
      <c r="G13" s="26"/>
    </row>
    <row r="14" spans="1:7" s="8" customFormat="1" ht="15.75" customHeight="1" x14ac:dyDescent="0.2">
      <c r="A14" s="39" t="str">
        <f>A51</f>
        <v>2.1. Uniformes e EPIs</v>
      </c>
      <c r="B14" s="258"/>
      <c r="C14" s="258"/>
      <c r="D14" s="52"/>
      <c r="E14" s="210">
        <f>F60</f>
        <v>1860</v>
      </c>
      <c r="F14" s="212">
        <f t="shared" si="0"/>
        <v>9.5965711112901871E-3</v>
      </c>
      <c r="G14" s="26"/>
    </row>
    <row r="15" spans="1:7" s="8" customFormat="1" ht="15.75" customHeight="1" thickBot="1" x14ac:dyDescent="0.25">
      <c r="A15" s="257" t="str">
        <f>A66</f>
        <v>3. Benefícios e Despesas Indiretas</v>
      </c>
      <c r="B15" s="53"/>
      <c r="C15" s="52"/>
      <c r="D15" s="52"/>
      <c r="E15" s="211">
        <f>F70</f>
        <v>34362.849476631818</v>
      </c>
      <c r="F15" s="151">
        <f t="shared" si="0"/>
        <v>0.17729329494035379</v>
      </c>
      <c r="G15" s="26"/>
    </row>
    <row r="16" spans="1:7" s="2" customFormat="1" ht="15.75" customHeight="1" thickBot="1" x14ac:dyDescent="0.25">
      <c r="A16" s="24" t="s">
        <v>110</v>
      </c>
      <c r="B16" s="25"/>
      <c r="C16" s="15"/>
      <c r="D16" s="15"/>
      <c r="E16" s="44">
        <f>E8+E13+E15</f>
        <v>193819.22755844999</v>
      </c>
      <c r="F16" s="153">
        <f>F8+F13+F15</f>
        <v>1</v>
      </c>
      <c r="G16" s="3"/>
    </row>
    <row r="17" spans="1:10" s="2" customFormat="1" ht="15.75" customHeight="1" thickBot="1" x14ac:dyDescent="0.25">
      <c r="A17" s="175"/>
      <c r="B17" s="176"/>
      <c r="C17" s="20"/>
      <c r="D17" s="20"/>
      <c r="E17" s="177"/>
      <c r="F17" s="178"/>
      <c r="G17" s="3"/>
    </row>
    <row r="18" spans="1:10" s="8" customFormat="1" ht="15.75" customHeight="1" thickBot="1" x14ac:dyDescent="0.25">
      <c r="A18" s="122" t="s">
        <v>86</v>
      </c>
      <c r="B18" s="173">
        <f>40/44</f>
        <v>0.90909090909090906</v>
      </c>
      <c r="C18" s="20"/>
      <c r="E18" s="62"/>
      <c r="G18" s="26"/>
    </row>
    <row r="19" spans="1:10" s="2" customFormat="1" ht="15.75" customHeight="1" x14ac:dyDescent="0.2">
      <c r="A19" s="33"/>
      <c r="B19" s="33"/>
      <c r="C19" s="33"/>
      <c r="D19" s="6"/>
      <c r="E19" s="40"/>
      <c r="F19" s="6"/>
      <c r="G19" s="3"/>
    </row>
    <row r="20" spans="1:10" ht="13.15" customHeight="1" x14ac:dyDescent="0.2">
      <c r="A20" s="8" t="s">
        <v>16</v>
      </c>
    </row>
    <row r="21" spans="1:10" ht="13.9" customHeight="1" thickBot="1" x14ac:dyDescent="0.25">
      <c r="A21" s="285" t="s">
        <v>170</v>
      </c>
      <c r="B21" s="285"/>
      <c r="C21" s="285"/>
      <c r="D21" s="285"/>
      <c r="E21" s="285"/>
      <c r="F21" s="285"/>
    </row>
    <row r="22" spans="1:10" ht="13.9" customHeight="1" thickBot="1" x14ac:dyDescent="0.25">
      <c r="A22" s="34" t="s">
        <v>18</v>
      </c>
      <c r="B22" s="35" t="s">
        <v>19</v>
      </c>
      <c r="C22" s="35" t="s">
        <v>11</v>
      </c>
      <c r="D22" s="36" t="s">
        <v>94</v>
      </c>
      <c r="E22" s="36" t="s">
        <v>20</v>
      </c>
      <c r="F22" s="37" t="s">
        <v>21</v>
      </c>
    </row>
    <row r="23" spans="1:10" ht="13.15" customHeight="1" x14ac:dyDescent="0.2">
      <c r="A23" s="127" t="s">
        <v>91</v>
      </c>
      <c r="B23" s="10" t="s">
        <v>6</v>
      </c>
      <c r="C23" s="10">
        <v>1</v>
      </c>
      <c r="D23" s="223">
        <v>2161.0500000000002</v>
      </c>
      <c r="E23" s="156">
        <f>C23*D23</f>
        <v>2161.0500000000002</v>
      </c>
    </row>
    <row r="24" spans="1:10" x14ac:dyDescent="0.2">
      <c r="A24" s="126" t="s">
        <v>0</v>
      </c>
      <c r="B24" s="12" t="s">
        <v>1</v>
      </c>
      <c r="C24" s="47">
        <v>40</v>
      </c>
      <c r="D24" s="157">
        <f>SUM(E23:E23)</f>
        <v>2161.0500000000002</v>
      </c>
      <c r="E24" s="158">
        <f>C24*D24/100</f>
        <v>864.42</v>
      </c>
      <c r="H24" s="127" t="s">
        <v>91</v>
      </c>
    </row>
    <row r="25" spans="1:10" x14ac:dyDescent="0.2">
      <c r="A25" s="171" t="s">
        <v>2</v>
      </c>
      <c r="B25" s="46"/>
      <c r="C25" s="46"/>
      <c r="D25" s="159"/>
      <c r="E25" s="182">
        <f>SUM(E23:E24)</f>
        <v>3025.4700000000003</v>
      </c>
      <c r="H25" s="174" t="s">
        <v>2</v>
      </c>
    </row>
    <row r="26" spans="1:10" x14ac:dyDescent="0.2">
      <c r="A26" s="126" t="s">
        <v>3</v>
      </c>
      <c r="B26" s="12" t="s">
        <v>1</v>
      </c>
      <c r="C26" s="217">
        <f>'3. Encargos Sociais'!$C$33*100</f>
        <v>69.789999999999992</v>
      </c>
      <c r="D26" s="158">
        <f>E23+E24</f>
        <v>3025.4700000000003</v>
      </c>
      <c r="E26" s="170">
        <f>D26*C26/100</f>
        <v>2111.4755129999999</v>
      </c>
      <c r="H26" s="126" t="s">
        <v>3</v>
      </c>
      <c r="I26" s="183"/>
    </row>
    <row r="27" spans="1:10" x14ac:dyDescent="0.2">
      <c r="A27" s="171" t="s">
        <v>116</v>
      </c>
      <c r="B27" s="46"/>
      <c r="C27" s="46"/>
      <c r="D27" s="159"/>
      <c r="E27" s="169">
        <f>E23+E24+E26</f>
        <v>5136.9455130000006</v>
      </c>
      <c r="H27" s="174"/>
    </row>
    <row r="28" spans="1:10" ht="13.5" thickBot="1" x14ac:dyDescent="0.25">
      <c r="A28" s="11" t="s">
        <v>4</v>
      </c>
      <c r="B28" s="12" t="s">
        <v>5</v>
      </c>
      <c r="C28" s="154">
        <v>30</v>
      </c>
      <c r="D28" s="158">
        <f>E27</f>
        <v>5136.9455130000006</v>
      </c>
      <c r="E28" s="158">
        <f>C28*D28</f>
        <v>154108.36539000002</v>
      </c>
      <c r="G28" s="3"/>
      <c r="H28" s="126"/>
    </row>
    <row r="29" spans="1:10" ht="13.9" customHeight="1" thickBot="1" x14ac:dyDescent="0.25">
      <c r="A29" s="259"/>
      <c r="D29" s="49" t="s">
        <v>99</v>
      </c>
      <c r="E29" s="140">
        <f>B18</f>
        <v>0.90909090909090906</v>
      </c>
      <c r="F29" s="160">
        <f>(((E23+E26)*E29)+E24)*C28</f>
        <v>142456.02308181819</v>
      </c>
      <c r="G29" s="3"/>
      <c r="I29" s="256"/>
      <c r="J29" s="4"/>
    </row>
    <row r="30" spans="1:10" ht="13.9" customHeight="1" x14ac:dyDescent="0.2">
      <c r="A30" s="263"/>
      <c r="B30" s="264"/>
      <c r="C30" s="264"/>
      <c r="D30" s="264"/>
      <c r="E30" s="141"/>
      <c r="F30" s="144"/>
      <c r="G30" s="3"/>
      <c r="I30" s="183"/>
      <c r="J30" s="4"/>
    </row>
    <row r="31" spans="1:10" ht="11.25" customHeight="1" thickBot="1" x14ac:dyDescent="0.25">
      <c r="A31" s="4" t="s">
        <v>157</v>
      </c>
      <c r="B31" s="201"/>
      <c r="C31" s="4"/>
      <c r="D31" s="4"/>
      <c r="E31" s="202"/>
      <c r="F31" s="128"/>
      <c r="G31" s="128"/>
    </row>
    <row r="32" spans="1:10" ht="14.45" customHeight="1" thickBot="1" x14ac:dyDescent="0.25">
      <c r="A32" s="34" t="s">
        <v>18</v>
      </c>
      <c r="B32" s="35" t="s">
        <v>19</v>
      </c>
      <c r="C32" s="35" t="s">
        <v>11</v>
      </c>
      <c r="D32" s="36" t="s">
        <v>94</v>
      </c>
      <c r="E32" s="36" t="s">
        <v>20</v>
      </c>
      <c r="F32" s="37" t="s">
        <v>21</v>
      </c>
      <c r="G32" s="128"/>
    </row>
    <row r="33" spans="1:11" ht="15" customHeight="1" x14ac:dyDescent="0.2">
      <c r="A33" s="126" t="s">
        <v>120</v>
      </c>
      <c r="B33" s="191" t="s">
        <v>121</v>
      </c>
      <c r="C33" s="203">
        <v>1</v>
      </c>
      <c r="D33" s="204">
        <v>3.5</v>
      </c>
      <c r="E33" s="197"/>
      <c r="F33" s="128"/>
      <c r="G33" s="128"/>
      <c r="I33" s="179"/>
    </row>
    <row r="34" spans="1:11" ht="13.9" customHeight="1" x14ac:dyDescent="0.2">
      <c r="A34" s="126" t="s">
        <v>122</v>
      </c>
      <c r="B34" s="191" t="s">
        <v>123</v>
      </c>
      <c r="C34" s="205">
        <v>21</v>
      </c>
      <c r="D34" s="197"/>
      <c r="E34" s="197"/>
      <c r="F34" s="128"/>
      <c r="G34" s="128"/>
      <c r="I34" s="179"/>
    </row>
    <row r="35" spans="1:11" ht="14.45" customHeight="1" thickBot="1" x14ac:dyDescent="0.25">
      <c r="A35" s="126" t="s">
        <v>172</v>
      </c>
      <c r="B35" s="191" t="s">
        <v>124</v>
      </c>
      <c r="C35" s="206">
        <f>$C$34*2*(C28)</f>
        <v>1260</v>
      </c>
      <c r="D35" s="207">
        <f>IFERROR((($C$34*2*$D$33)-(E23*0.06*C34/C34))/($C$34*2),"-")</f>
        <v>0.41278571428571403</v>
      </c>
      <c r="E35" s="197">
        <f>IFERROR(C35*D35,"-")</f>
        <v>520.10999999999967</v>
      </c>
      <c r="F35" s="128"/>
      <c r="G35" s="128"/>
      <c r="I35" s="179"/>
    </row>
    <row r="36" spans="1:11" ht="14.45" customHeight="1" thickBot="1" x14ac:dyDescent="0.25">
      <c r="A36" s="4"/>
      <c r="B36" s="4"/>
      <c r="C36" s="4"/>
      <c r="D36" s="128"/>
      <c r="E36" s="128"/>
      <c r="F36" s="200">
        <f>SUM(E35:E35)</f>
        <v>520.10999999999967</v>
      </c>
      <c r="G36" s="128"/>
      <c r="I36" s="179"/>
    </row>
    <row r="37" spans="1:11" ht="11.25" customHeight="1" x14ac:dyDescent="0.2">
      <c r="G37" s="128"/>
      <c r="I37" s="179"/>
    </row>
    <row r="38" spans="1:11" ht="13.5" thickBot="1" x14ac:dyDescent="0.25">
      <c r="A38" s="4" t="s">
        <v>159</v>
      </c>
      <c r="F38" s="13"/>
      <c r="I38" s="179"/>
    </row>
    <row r="39" spans="1:11" ht="13.5" thickBot="1" x14ac:dyDescent="0.25">
      <c r="A39" s="34" t="s">
        <v>18</v>
      </c>
      <c r="B39" s="35" t="s">
        <v>19</v>
      </c>
      <c r="C39" s="35" t="s">
        <v>11</v>
      </c>
      <c r="D39" s="36" t="s">
        <v>94</v>
      </c>
      <c r="E39" s="36" t="s">
        <v>20</v>
      </c>
      <c r="F39" s="37" t="s">
        <v>21</v>
      </c>
      <c r="G39" s="128"/>
      <c r="I39" s="179"/>
      <c r="K39" s="180"/>
    </row>
    <row r="40" spans="1:11" ht="13.5" thickBot="1" x14ac:dyDescent="0.25">
      <c r="A40" s="126" t="s">
        <v>173</v>
      </c>
      <c r="B40" s="12" t="s">
        <v>7</v>
      </c>
      <c r="C40" s="233">
        <f>C34*C28</f>
        <v>630</v>
      </c>
      <c r="D40" s="166">
        <f>27.15*0.81</f>
        <v>21.991500000000002</v>
      </c>
      <c r="E40" s="232">
        <f>(D40*C40)</f>
        <v>13854.645</v>
      </c>
      <c r="F40" s="13"/>
      <c r="I40" s="181"/>
    </row>
    <row r="41" spans="1:11" ht="13.5" thickBot="1" x14ac:dyDescent="0.25">
      <c r="A41" s="259"/>
      <c r="B41" s="186"/>
      <c r="D41" s="49" t="s">
        <v>99</v>
      </c>
      <c r="E41" s="30">
        <v>1</v>
      </c>
      <c r="F41" s="138">
        <f>SUM(E40:E40)*E41</f>
        <v>13854.645</v>
      </c>
      <c r="G41" s="180"/>
      <c r="I41" s="181"/>
    </row>
    <row r="42" spans="1:11" x14ac:dyDescent="0.2">
      <c r="A42" s="184"/>
      <c r="B42" s="184"/>
      <c r="D42" s="49"/>
      <c r="E42" s="33"/>
      <c r="F42" s="185"/>
      <c r="G42" s="6"/>
      <c r="I42" s="181"/>
    </row>
    <row r="43" spans="1:11" ht="13.5" thickBot="1" x14ac:dyDescent="0.25">
      <c r="A43" s="4" t="s">
        <v>158</v>
      </c>
      <c r="F43" s="13"/>
      <c r="G43" s="6"/>
    </row>
    <row r="44" spans="1:11" ht="13.5" thickBot="1" x14ac:dyDescent="0.25">
      <c r="A44" s="34" t="s">
        <v>18</v>
      </c>
      <c r="B44" s="35" t="s">
        <v>19</v>
      </c>
      <c r="C44" s="35" t="s">
        <v>11</v>
      </c>
      <c r="D44" s="36" t="s">
        <v>94</v>
      </c>
      <c r="E44" s="36" t="s">
        <v>20</v>
      </c>
      <c r="F44" s="37" t="s">
        <v>21</v>
      </c>
      <c r="G44" s="6"/>
    </row>
    <row r="45" spans="1:11" ht="13.5" thickBot="1" x14ac:dyDescent="0.25">
      <c r="A45" s="126" t="s">
        <v>133</v>
      </c>
      <c r="B45" s="12" t="s">
        <v>7</v>
      </c>
      <c r="C45" s="155">
        <f>C28</f>
        <v>30</v>
      </c>
      <c r="D45" s="166">
        <v>25.52</v>
      </c>
      <c r="E45" s="232">
        <f>C45*D45</f>
        <v>765.6</v>
      </c>
      <c r="F45" s="13"/>
      <c r="G45" s="6"/>
    </row>
    <row r="46" spans="1:11" ht="13.5" thickBot="1" x14ac:dyDescent="0.25">
      <c r="A46" s="259"/>
      <c r="B46" s="186"/>
      <c r="D46" s="49" t="s">
        <v>99</v>
      </c>
      <c r="E46" s="30">
        <v>1</v>
      </c>
      <c r="F46" s="138">
        <f>SUM(E45:E45)*E46</f>
        <v>765.6</v>
      </c>
      <c r="G46" s="6"/>
    </row>
    <row r="47" spans="1:11" ht="13.5" thickBot="1" x14ac:dyDescent="0.25">
      <c r="A47" s="184"/>
      <c r="B47" s="184"/>
      <c r="D47" s="49"/>
      <c r="E47" s="33"/>
      <c r="F47" s="185"/>
      <c r="G47" s="6"/>
    </row>
    <row r="48" spans="1:11" ht="13.5" thickBot="1" x14ac:dyDescent="0.25">
      <c r="A48" s="129" t="s">
        <v>100</v>
      </c>
      <c r="B48" s="130"/>
      <c r="C48" s="130"/>
      <c r="D48" s="131"/>
      <c r="E48" s="132"/>
      <c r="F48" s="137">
        <f>F29+F36+F41+F46</f>
        <v>157596.37808181817</v>
      </c>
      <c r="G48" s="6"/>
      <c r="H48" s="139"/>
    </row>
    <row r="49" spans="1:9" ht="15" customHeight="1" x14ac:dyDescent="0.2"/>
    <row r="50" spans="1:9" x14ac:dyDescent="0.2">
      <c r="A50" s="8" t="s">
        <v>15</v>
      </c>
      <c r="G50" s="6"/>
    </row>
    <row r="51" spans="1:9" ht="13.9" customHeight="1" thickBot="1" x14ac:dyDescent="0.25">
      <c r="A51" s="4" t="s">
        <v>111</v>
      </c>
      <c r="G51" s="6"/>
    </row>
    <row r="52" spans="1:9" ht="27.75" customHeight="1" thickBot="1" x14ac:dyDescent="0.25">
      <c r="A52" s="34" t="s">
        <v>18</v>
      </c>
      <c r="B52" s="35" t="s">
        <v>19</v>
      </c>
      <c r="C52" s="124" t="s">
        <v>97</v>
      </c>
      <c r="D52" s="36" t="s">
        <v>94</v>
      </c>
      <c r="E52" s="36" t="s">
        <v>20</v>
      </c>
      <c r="F52" s="37" t="s">
        <v>21</v>
      </c>
      <c r="G52" s="6"/>
    </row>
    <row r="53" spans="1:9" ht="13.15" customHeight="1" x14ac:dyDescent="0.2">
      <c r="A53" s="127" t="s">
        <v>180</v>
      </c>
      <c r="B53" s="193" t="s">
        <v>7</v>
      </c>
      <c r="C53" s="192">
        <v>2</v>
      </c>
      <c r="D53" s="167">
        <v>25</v>
      </c>
      <c r="E53" s="161">
        <f>IFERROR(D53/C53,0)</f>
        <v>12.5</v>
      </c>
      <c r="G53" s="6"/>
    </row>
    <row r="54" spans="1:9" ht="13.15" customHeight="1" x14ac:dyDescent="0.2">
      <c r="A54" s="194" t="s">
        <v>181</v>
      </c>
      <c r="B54" s="195" t="s">
        <v>7</v>
      </c>
      <c r="C54" s="192">
        <v>6</v>
      </c>
      <c r="D54" s="167">
        <v>50</v>
      </c>
      <c r="E54" s="161">
        <f t="shared" ref="E54" si="1">IFERROR(D54/C54,0)</f>
        <v>8.3333333333333339</v>
      </c>
      <c r="G54" s="6"/>
    </row>
    <row r="55" spans="1:9" ht="13.15" customHeight="1" x14ac:dyDescent="0.2">
      <c r="A55" s="126" t="s">
        <v>182</v>
      </c>
      <c r="B55" s="12" t="s">
        <v>7</v>
      </c>
      <c r="C55" s="192">
        <v>1</v>
      </c>
      <c r="D55" s="167">
        <v>10</v>
      </c>
      <c r="E55" s="161">
        <f t="shared" ref="E55:E58" si="2">IFERROR(D55/C55,0)</f>
        <v>10</v>
      </c>
      <c r="G55" s="6"/>
    </row>
    <row r="56" spans="1:9" x14ac:dyDescent="0.2">
      <c r="A56" s="224" t="s">
        <v>183</v>
      </c>
      <c r="B56" s="225" t="s">
        <v>7</v>
      </c>
      <c r="C56" s="192">
        <v>1</v>
      </c>
      <c r="D56" s="226">
        <v>20</v>
      </c>
      <c r="E56" s="227">
        <f t="shared" si="2"/>
        <v>20</v>
      </c>
      <c r="G56" s="6"/>
    </row>
    <row r="57" spans="1:9" x14ac:dyDescent="0.2">
      <c r="A57" s="224" t="s">
        <v>184</v>
      </c>
      <c r="B57" s="225" t="s">
        <v>7</v>
      </c>
      <c r="C57" s="192">
        <v>1</v>
      </c>
      <c r="D57" s="226">
        <v>16.533000000000001</v>
      </c>
      <c r="E57" s="227">
        <f t="shared" si="2"/>
        <v>16.533000000000001</v>
      </c>
      <c r="G57" s="6"/>
    </row>
    <row r="58" spans="1:9" ht="13.9" customHeight="1" x14ac:dyDescent="0.2">
      <c r="A58" s="126" t="s">
        <v>185</v>
      </c>
      <c r="B58" s="225" t="s">
        <v>7</v>
      </c>
      <c r="C58" s="192">
        <v>12</v>
      </c>
      <c r="D58" s="167">
        <v>10.004</v>
      </c>
      <c r="E58" s="161">
        <f t="shared" si="2"/>
        <v>0.83366666666666667</v>
      </c>
      <c r="G58" s="6"/>
    </row>
    <row r="59" spans="1:9" ht="13.5" thickBot="1" x14ac:dyDescent="0.25">
      <c r="A59" s="265" t="s">
        <v>118</v>
      </c>
      <c r="B59" s="266"/>
      <c r="C59" s="47">
        <f>C28</f>
        <v>30</v>
      </c>
      <c r="D59" s="163">
        <f>+SUM(E53:E58)</f>
        <v>68.2</v>
      </c>
      <c r="E59" s="162">
        <f t="shared" ref="E59" si="3">C59*D59</f>
        <v>2046</v>
      </c>
    </row>
    <row r="60" spans="1:9" ht="13.5" thickBot="1" x14ac:dyDescent="0.25">
      <c r="D60" s="49" t="s">
        <v>99</v>
      </c>
      <c r="E60" s="140">
        <f>B18</f>
        <v>0.90909090909090906</v>
      </c>
      <c r="F60" s="160">
        <f>E59*E60</f>
        <v>1860</v>
      </c>
    </row>
    <row r="61" spans="1:9" ht="11.25" customHeight="1" thickBot="1" x14ac:dyDescent="0.25">
      <c r="G61" s="6"/>
    </row>
    <row r="62" spans="1:9" ht="13.5" thickBot="1" x14ac:dyDescent="0.25">
      <c r="A62" s="129" t="s">
        <v>101</v>
      </c>
      <c r="B62" s="133"/>
      <c r="C62" s="133"/>
      <c r="D62" s="134"/>
      <c r="E62" s="135"/>
      <c r="F62" s="136">
        <f>+F60</f>
        <v>1860</v>
      </c>
      <c r="G62" s="6"/>
      <c r="I62" s="180"/>
    </row>
    <row r="63" spans="1:9" ht="11.25" customHeight="1" thickBot="1" x14ac:dyDescent="0.25">
      <c r="G63" s="6"/>
    </row>
    <row r="64" spans="1:9" ht="11.25" customHeight="1" thickBot="1" x14ac:dyDescent="0.25">
      <c r="A64" s="14" t="s">
        <v>119</v>
      </c>
      <c r="B64" s="187"/>
      <c r="C64" s="187"/>
      <c r="D64" s="188"/>
      <c r="E64" s="189"/>
      <c r="F64" s="200">
        <f>F48+F62</f>
        <v>159456.37808181817</v>
      </c>
      <c r="G64" s="6"/>
    </row>
    <row r="65" spans="1:7" ht="11.25" customHeight="1" x14ac:dyDescent="0.2">
      <c r="G65" s="6"/>
    </row>
    <row r="66" spans="1:7" ht="13.5" thickBot="1" x14ac:dyDescent="0.25">
      <c r="A66" s="8" t="s">
        <v>160</v>
      </c>
      <c r="B66" s="8"/>
      <c r="C66" s="8"/>
      <c r="D66" s="20"/>
      <c r="E66" s="20"/>
      <c r="F66" s="19"/>
    </row>
    <row r="67" spans="1:7" x14ac:dyDescent="0.2">
      <c r="A67" s="41" t="s">
        <v>18</v>
      </c>
      <c r="B67" s="42" t="s">
        <v>19</v>
      </c>
      <c r="C67" s="42" t="s">
        <v>11</v>
      </c>
      <c r="D67" s="43" t="s">
        <v>94</v>
      </c>
      <c r="E67" s="43" t="s">
        <v>20</v>
      </c>
      <c r="F67" s="150" t="s">
        <v>21</v>
      </c>
    </row>
    <row r="68" spans="1:7" x14ac:dyDescent="0.2">
      <c r="A68" s="147" t="s">
        <v>9</v>
      </c>
      <c r="B68" s="172" t="s">
        <v>1</v>
      </c>
      <c r="C68" s="222">
        <f>'4. BDI'!C17</f>
        <v>0.2155</v>
      </c>
      <c r="D68" s="148">
        <f>F64</f>
        <v>159456.37808181817</v>
      </c>
      <c r="E68" s="148">
        <f>D68*C68</f>
        <v>34362.849476631818</v>
      </c>
      <c r="F68" s="149"/>
    </row>
    <row r="69" spans="1:7" ht="13.5" thickBot="1" x14ac:dyDescent="0.25">
      <c r="A69" s="145"/>
      <c r="B69" s="145"/>
      <c r="C69" s="145"/>
      <c r="D69" s="145"/>
      <c r="E69" s="145"/>
      <c r="F69" s="146"/>
    </row>
    <row r="70" spans="1:7" ht="13.5" thickBot="1" x14ac:dyDescent="0.25">
      <c r="A70" s="267" t="s">
        <v>161</v>
      </c>
      <c r="B70" s="268"/>
      <c r="C70" s="268"/>
      <c r="D70" s="268"/>
      <c r="E70" s="269"/>
      <c r="F70" s="136">
        <f>E68</f>
        <v>34362.849476631818</v>
      </c>
    </row>
    <row r="71" spans="1:7" ht="11.25" customHeight="1" thickBot="1" x14ac:dyDescent="0.25"/>
    <row r="72" spans="1:7" ht="24.75" customHeight="1" thickBot="1" x14ac:dyDescent="0.25">
      <c r="A72" s="14" t="s">
        <v>102</v>
      </c>
      <c r="B72" s="16"/>
      <c r="C72" s="16"/>
      <c r="D72" s="17"/>
      <c r="E72" s="18"/>
      <c r="F72" s="138">
        <f>F48+F62+F70</f>
        <v>193819.22755844999</v>
      </c>
    </row>
    <row r="73" spans="1:7" ht="13.5" customHeight="1" thickBot="1" x14ac:dyDescent="0.25">
      <c r="A73" s="8"/>
      <c r="D73" s="33"/>
      <c r="E73" s="33"/>
      <c r="F73" s="190"/>
    </row>
    <row r="74" spans="1:7" ht="13.5" customHeight="1" thickBot="1" x14ac:dyDescent="0.25">
      <c r="A74" s="14" t="s">
        <v>115</v>
      </c>
      <c r="B74" s="187"/>
      <c r="C74" s="187"/>
      <c r="D74" s="188"/>
      <c r="E74" s="189"/>
      <c r="F74" s="138">
        <f>F72/C59</f>
        <v>6460.6409186149995</v>
      </c>
    </row>
    <row r="75" spans="1:7" ht="12.6" customHeight="1" thickBot="1" x14ac:dyDescent="0.25">
      <c r="A75" s="31"/>
      <c r="B75" s="31"/>
      <c r="C75" s="31"/>
      <c r="D75" s="32"/>
      <c r="E75" s="32"/>
      <c r="F75" s="32"/>
      <c r="G75" s="179"/>
    </row>
    <row r="76" spans="1:7" ht="12.6" customHeight="1" thickBot="1" x14ac:dyDescent="0.25">
      <c r="A76" s="243" t="s">
        <v>144</v>
      </c>
      <c r="B76" s="241">
        <v>165.43</v>
      </c>
      <c r="C76" s="246" t="s">
        <v>146</v>
      </c>
      <c r="D76" s="244"/>
      <c r="E76" s="245"/>
      <c r="F76" s="242">
        <f>F74/B76</f>
        <v>39.053623397297947</v>
      </c>
      <c r="G76" s="179"/>
    </row>
    <row r="77" spans="1:7" ht="12.6" customHeight="1" x14ac:dyDescent="0.2">
      <c r="A77" s="31"/>
      <c r="B77" s="31"/>
      <c r="C77" s="31"/>
      <c r="D77" s="32"/>
      <c r="E77" s="32"/>
      <c r="F77" s="32"/>
      <c r="G77" s="179"/>
    </row>
    <row r="78" spans="1:7" x14ac:dyDescent="0.2">
      <c r="A78" s="8" t="s">
        <v>131</v>
      </c>
      <c r="B78" s="4"/>
      <c r="C78" s="4"/>
      <c r="D78" s="128"/>
      <c r="E78" s="128"/>
      <c r="F78" s="218"/>
    </row>
    <row r="79" spans="1:7" x14ac:dyDescent="0.2">
      <c r="F79" s="219"/>
    </row>
    <row r="80" spans="1:7" x14ac:dyDescent="0.2">
      <c r="B80" s="260"/>
      <c r="F80" s="220"/>
    </row>
    <row r="81" spans="6:6" x14ac:dyDescent="0.2">
      <c r="F81" s="143"/>
    </row>
    <row r="105" s="6" customFormat="1" ht="9" customHeight="1" x14ac:dyDescent="0.2"/>
  </sheetData>
  <mergeCells count="9">
    <mergeCell ref="A30:D30"/>
    <mergeCell ref="A59:B59"/>
    <mergeCell ref="A70:E70"/>
    <mergeCell ref="A1:F1"/>
    <mergeCell ref="A2:F3"/>
    <mergeCell ref="A4:F4"/>
    <mergeCell ref="A6:F6"/>
    <mergeCell ref="A13:C13"/>
    <mergeCell ref="A21:F21"/>
  </mergeCells>
  <printOptions horizontalCentered="1"/>
  <pageMargins left="0.9055118110236221" right="0.70866141732283472" top="0.74803149606299213" bottom="0.55118110236220474" header="0.31496062992125984" footer="0.31496062992125984"/>
  <pageSetup paperSize="9" scale="68" fitToHeight="2" orientation="portrait" r:id="rId1"/>
  <headerFooter alignWithMargins="0">
    <oddFooter>&amp;R&amp;P de &amp;N</oddFooter>
  </headerFooter>
  <rowBreaks count="1" manualBreakCount="1">
    <brk id="18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05"/>
  <sheetViews>
    <sheetView zoomScale="130" zoomScaleNormal="130" zoomScaleSheetLayoutView="100" workbookViewId="0">
      <pane ySplit="1" topLeftCell="A72" activePane="bottomLeft" state="frozen"/>
      <selection activeCell="A2" sqref="A2"/>
      <selection pane="bottomLeft" activeCell="A2" sqref="A2"/>
    </sheetView>
  </sheetViews>
  <sheetFormatPr defaultColWidth="9.140625" defaultRowHeight="12.75" x14ac:dyDescent="0.2"/>
  <cols>
    <col min="1" max="1" width="49.42578125" style="6" customWidth="1"/>
    <col min="2" max="2" width="16" style="6" bestFit="1" customWidth="1"/>
    <col min="3" max="3" width="14.5703125" style="6" customWidth="1"/>
    <col min="4" max="4" width="14.7109375" style="7" customWidth="1"/>
    <col min="5" max="5" width="15.42578125" style="7" customWidth="1"/>
    <col min="6" max="6" width="15" style="7" customWidth="1"/>
    <col min="7" max="7" width="28.140625" style="7" customWidth="1"/>
    <col min="8" max="8" width="23.85546875" style="6" hidden="1" customWidth="1"/>
    <col min="9" max="9" width="14.5703125" style="6" customWidth="1"/>
    <col min="10" max="10" width="13.42578125" style="6" customWidth="1"/>
    <col min="11" max="11" width="10.5703125" style="6" bestFit="1" customWidth="1"/>
    <col min="12" max="16384" width="9.140625" style="6"/>
  </cols>
  <sheetData>
    <row r="1" spans="1:7" s="2" customFormat="1" ht="21.75" customHeight="1" thickBot="1" x14ac:dyDescent="0.25">
      <c r="A1" s="270" t="s">
        <v>98</v>
      </c>
      <c r="B1" s="270"/>
      <c r="C1" s="270"/>
      <c r="D1" s="270"/>
      <c r="E1" s="270"/>
      <c r="F1" s="270"/>
      <c r="G1" s="3"/>
    </row>
    <row r="2" spans="1:7" s="5" customFormat="1" ht="15" customHeight="1" x14ac:dyDescent="0.2">
      <c r="A2" s="271" t="s">
        <v>174</v>
      </c>
      <c r="B2" s="272"/>
      <c r="C2" s="272"/>
      <c r="D2" s="272"/>
      <c r="E2" s="272"/>
      <c r="F2" s="273"/>
      <c r="G2" s="21"/>
    </row>
    <row r="3" spans="1:7" s="5" customFormat="1" ht="11.45" customHeight="1" x14ac:dyDescent="0.2">
      <c r="A3" s="274"/>
      <c r="B3" s="275"/>
      <c r="C3" s="275"/>
      <c r="D3" s="275"/>
      <c r="E3" s="275"/>
      <c r="F3" s="276"/>
      <c r="G3" s="21"/>
    </row>
    <row r="4" spans="1:7" s="5" customFormat="1" ht="21.75" customHeight="1" x14ac:dyDescent="0.2">
      <c r="A4" s="277" t="s">
        <v>14</v>
      </c>
      <c r="B4" s="278"/>
      <c r="C4" s="278"/>
      <c r="D4" s="278"/>
      <c r="E4" s="278"/>
      <c r="F4" s="279"/>
      <c r="G4" s="21"/>
    </row>
    <row r="5" spans="1:7" s="2" customFormat="1" ht="10.9" customHeight="1" thickBot="1" x14ac:dyDescent="0.25">
      <c r="A5" s="58"/>
      <c r="B5" s="59"/>
      <c r="C5" s="59"/>
      <c r="D5" s="60"/>
      <c r="E5" s="60"/>
      <c r="F5" s="61"/>
      <c r="G5" s="3"/>
    </row>
    <row r="6" spans="1:7" s="2" customFormat="1" ht="15.75" customHeight="1" thickBot="1" x14ac:dyDescent="0.25">
      <c r="A6" s="280" t="s">
        <v>88</v>
      </c>
      <c r="B6" s="281"/>
      <c r="C6" s="281"/>
      <c r="D6" s="281"/>
      <c r="E6" s="281"/>
      <c r="F6" s="282"/>
      <c r="G6" s="3"/>
    </row>
    <row r="7" spans="1:7" s="2" customFormat="1" ht="15.75" customHeight="1" x14ac:dyDescent="0.2">
      <c r="A7" s="38" t="s">
        <v>87</v>
      </c>
      <c r="B7" s="22"/>
      <c r="C7" s="22"/>
      <c r="D7" s="121"/>
      <c r="E7" s="45" t="s">
        <v>10</v>
      </c>
      <c r="F7" s="23" t="s">
        <v>1</v>
      </c>
      <c r="G7" s="3"/>
    </row>
    <row r="8" spans="1:7" s="8" customFormat="1" ht="15.75" customHeight="1" x14ac:dyDescent="0.2">
      <c r="A8" s="50" t="str">
        <f>A20</f>
        <v>1. Mão-de-obra</v>
      </c>
      <c r="B8" s="51"/>
      <c r="C8" s="52"/>
      <c r="D8" s="52"/>
      <c r="E8" s="208">
        <f>+F48</f>
        <v>59848.749181646548</v>
      </c>
      <c r="F8" s="151">
        <f t="shared" ref="F8:F15" si="0">IFERROR(E8/$E$16,0)</f>
        <v>0.81427130389722568</v>
      </c>
      <c r="G8" s="26"/>
    </row>
    <row r="9" spans="1:7" s="2" customFormat="1" ht="15.75" customHeight="1" x14ac:dyDescent="0.2">
      <c r="A9" s="29" t="str">
        <f>A21</f>
        <v>1.1. Categoria Profissional de Cuidador CBO 5162</v>
      </c>
      <c r="B9" s="27"/>
      <c r="C9" s="28"/>
      <c r="D9" s="28"/>
      <c r="E9" s="209">
        <f>F29</f>
        <v>55020.387531319277</v>
      </c>
      <c r="F9" s="152">
        <f t="shared" si="0"/>
        <v>0.74857909828793912</v>
      </c>
      <c r="G9" s="3"/>
    </row>
    <row r="10" spans="1:7" s="2" customFormat="1" ht="15.75" customHeight="1" x14ac:dyDescent="0.2">
      <c r="A10" s="29" t="str">
        <f>A31</f>
        <v>1.2. Vale Transporte</v>
      </c>
      <c r="B10" s="27"/>
      <c r="C10" s="28"/>
      <c r="D10" s="28"/>
      <c r="E10" s="209">
        <f>F36</f>
        <v>397.98437760000013</v>
      </c>
      <c r="F10" s="152">
        <f t="shared" si="0"/>
        <v>5.414770776503674E-3</v>
      </c>
      <c r="G10" s="3"/>
    </row>
    <row r="11" spans="1:7" s="2" customFormat="1" ht="15.75" customHeight="1" x14ac:dyDescent="0.2">
      <c r="A11" s="29" t="str">
        <f>A38</f>
        <v xml:space="preserve">1.3. Auxílio Alimentação </v>
      </c>
      <c r="B11" s="27"/>
      <c r="C11" s="28"/>
      <c r="D11" s="28"/>
      <c r="E11" s="209">
        <f>F41</f>
        <v>4198.3772727272726</v>
      </c>
      <c r="F11" s="152">
        <f t="shared" si="0"/>
        <v>5.7120962139748134E-2</v>
      </c>
      <c r="G11" s="3"/>
    </row>
    <row r="12" spans="1:7" s="2" customFormat="1" ht="15.75" customHeight="1" x14ac:dyDescent="0.2">
      <c r="A12" s="29" t="str">
        <f>A43</f>
        <v xml:space="preserve">1.4. Plano de Benefício Social  </v>
      </c>
      <c r="B12" s="27"/>
      <c r="C12" s="28"/>
      <c r="D12" s="28"/>
      <c r="E12" s="209">
        <f>F46</f>
        <v>231.99999999999997</v>
      </c>
      <c r="F12" s="152">
        <f t="shared" si="0"/>
        <v>3.1564726930348027E-3</v>
      </c>
      <c r="G12" s="3"/>
    </row>
    <row r="13" spans="1:7" s="8" customFormat="1" ht="15.75" customHeight="1" x14ac:dyDescent="0.2">
      <c r="A13" s="283" t="str">
        <f>A50</f>
        <v>2. Uniformes e Equipamentos de Proteção Individual</v>
      </c>
      <c r="B13" s="284"/>
      <c r="C13" s="284"/>
      <c r="D13" s="52"/>
      <c r="E13" s="208">
        <f>+F62</f>
        <v>620</v>
      </c>
      <c r="F13" s="151">
        <f t="shared" si="0"/>
        <v>8.4354011624205947E-3</v>
      </c>
      <c r="G13" s="26"/>
    </row>
    <row r="14" spans="1:7" s="8" customFormat="1" ht="15.75" customHeight="1" x14ac:dyDescent="0.2">
      <c r="A14" s="39" t="str">
        <f>A51</f>
        <v>2.1. Uniformes e EPIs</v>
      </c>
      <c r="B14" s="258"/>
      <c r="C14" s="258"/>
      <c r="D14" s="52"/>
      <c r="E14" s="210">
        <f>F60</f>
        <v>620</v>
      </c>
      <c r="F14" s="212">
        <f t="shared" si="0"/>
        <v>8.4354011624205947E-3</v>
      </c>
      <c r="G14" s="26"/>
    </row>
    <row r="15" spans="1:7" s="8" customFormat="1" ht="15.75" customHeight="1" thickBot="1" x14ac:dyDescent="0.25">
      <c r="A15" s="257" t="str">
        <f>A66</f>
        <v>3. Benefícios e Despesas Indiretas</v>
      </c>
      <c r="B15" s="53"/>
      <c r="C15" s="52"/>
      <c r="D15" s="52"/>
      <c r="E15" s="211">
        <f>F70</f>
        <v>13031.01544864483</v>
      </c>
      <c r="F15" s="151">
        <f t="shared" si="0"/>
        <v>0.17729329494035376</v>
      </c>
      <c r="G15" s="26"/>
    </row>
    <row r="16" spans="1:7" s="2" customFormat="1" ht="15.75" customHeight="1" thickBot="1" x14ac:dyDescent="0.25">
      <c r="A16" s="24" t="s">
        <v>110</v>
      </c>
      <c r="B16" s="25"/>
      <c r="C16" s="15"/>
      <c r="D16" s="15"/>
      <c r="E16" s="44">
        <f>E8+E13+E15</f>
        <v>73499.764630291378</v>
      </c>
      <c r="F16" s="153">
        <f>F8+F13+F15</f>
        <v>1</v>
      </c>
      <c r="G16" s="3"/>
    </row>
    <row r="17" spans="1:10" s="2" customFormat="1" ht="15.75" customHeight="1" thickBot="1" x14ac:dyDescent="0.25">
      <c r="A17" s="175"/>
      <c r="B17" s="176"/>
      <c r="C17" s="20"/>
      <c r="D17" s="20"/>
      <c r="E17" s="177"/>
      <c r="F17" s="178"/>
      <c r="G17" s="3"/>
    </row>
    <row r="18" spans="1:10" s="8" customFormat="1" ht="15.75" customHeight="1" thickBot="1" x14ac:dyDescent="0.25">
      <c r="A18" s="122" t="s">
        <v>86</v>
      </c>
      <c r="B18" s="173">
        <f>20/44</f>
        <v>0.45454545454545453</v>
      </c>
      <c r="C18" s="20"/>
      <c r="E18" s="62"/>
      <c r="G18" s="26"/>
    </row>
    <row r="19" spans="1:10" s="2" customFormat="1" ht="15.75" customHeight="1" x14ac:dyDescent="0.2">
      <c r="A19" s="33"/>
      <c r="B19" s="33"/>
      <c r="C19" s="33"/>
      <c r="D19" s="6"/>
      <c r="E19" s="40"/>
      <c r="F19" s="6"/>
      <c r="G19" s="3"/>
    </row>
    <row r="20" spans="1:10" ht="13.15" customHeight="1" x14ac:dyDescent="0.2">
      <c r="A20" s="8" t="s">
        <v>16</v>
      </c>
    </row>
    <row r="21" spans="1:10" ht="13.9" customHeight="1" thickBot="1" x14ac:dyDescent="0.25">
      <c r="A21" s="285" t="s">
        <v>170</v>
      </c>
      <c r="B21" s="285"/>
      <c r="C21" s="285"/>
      <c r="D21" s="285"/>
      <c r="E21" s="285"/>
      <c r="F21" s="285"/>
    </row>
    <row r="22" spans="1:10" ht="13.9" customHeight="1" thickBot="1" x14ac:dyDescent="0.25">
      <c r="A22" s="34" t="s">
        <v>18</v>
      </c>
      <c r="B22" s="35" t="s">
        <v>19</v>
      </c>
      <c r="C22" s="35" t="s">
        <v>11</v>
      </c>
      <c r="D22" s="36" t="s">
        <v>94</v>
      </c>
      <c r="E22" s="36" t="s">
        <v>20</v>
      </c>
      <c r="F22" s="37" t="s">
        <v>21</v>
      </c>
    </row>
    <row r="23" spans="1:10" ht="13.15" customHeight="1" x14ac:dyDescent="0.2">
      <c r="A23" s="127" t="s">
        <v>91</v>
      </c>
      <c r="B23" s="10" t="s">
        <v>6</v>
      </c>
      <c r="C23" s="10">
        <v>1</v>
      </c>
      <c r="D23" s="223">
        <f>2023.64*1.0468</f>
        <v>2118.346352</v>
      </c>
      <c r="E23" s="156">
        <f>C23*D23</f>
        <v>2118.346352</v>
      </c>
    </row>
    <row r="24" spans="1:10" x14ac:dyDescent="0.2">
      <c r="A24" s="126" t="s">
        <v>0</v>
      </c>
      <c r="B24" s="12" t="s">
        <v>1</v>
      </c>
      <c r="C24" s="47">
        <v>40</v>
      </c>
      <c r="D24" s="157">
        <f>SUM(E23:E23)</f>
        <v>2118.346352</v>
      </c>
      <c r="E24" s="158">
        <f>C24*D24/100</f>
        <v>847.33854080000003</v>
      </c>
      <c r="H24" s="127" t="s">
        <v>91</v>
      </c>
    </row>
    <row r="25" spans="1:10" x14ac:dyDescent="0.2">
      <c r="A25" s="171" t="s">
        <v>2</v>
      </c>
      <c r="B25" s="46"/>
      <c r="C25" s="46"/>
      <c r="D25" s="159"/>
      <c r="E25" s="182">
        <f>SUM(E23:E24)</f>
        <v>2965.6848927999999</v>
      </c>
      <c r="H25" s="174" t="s">
        <v>2</v>
      </c>
    </row>
    <row r="26" spans="1:10" x14ac:dyDescent="0.2">
      <c r="A26" s="126" t="s">
        <v>3</v>
      </c>
      <c r="B26" s="12" t="s">
        <v>1</v>
      </c>
      <c r="C26" s="217">
        <f>'3. Encargos Sociais'!$C$33*100</f>
        <v>69.789999999999992</v>
      </c>
      <c r="D26" s="158">
        <f>E23+E24</f>
        <v>2965.6848927999999</v>
      </c>
      <c r="E26" s="170">
        <f>D26*C26/100</f>
        <v>2069.7514866851197</v>
      </c>
      <c r="H26" s="126" t="s">
        <v>3</v>
      </c>
      <c r="I26" s="183"/>
    </row>
    <row r="27" spans="1:10" x14ac:dyDescent="0.2">
      <c r="A27" s="171" t="s">
        <v>116</v>
      </c>
      <c r="B27" s="46"/>
      <c r="C27" s="46"/>
      <c r="D27" s="159"/>
      <c r="E27" s="169">
        <f>E23+E24+E26</f>
        <v>5035.4363794851197</v>
      </c>
      <c r="H27" s="174"/>
    </row>
    <row r="28" spans="1:10" ht="13.5" thickBot="1" x14ac:dyDescent="0.25">
      <c r="A28" s="11" t="s">
        <v>4</v>
      </c>
      <c r="B28" s="12" t="s">
        <v>5</v>
      </c>
      <c r="C28" s="154">
        <v>20</v>
      </c>
      <c r="D28" s="158">
        <f>E27</f>
        <v>5035.4363794851197</v>
      </c>
      <c r="E28" s="158">
        <f>C28*D28</f>
        <v>100708.72758970239</v>
      </c>
      <c r="G28" s="3"/>
      <c r="H28" s="126"/>
    </row>
    <row r="29" spans="1:10" ht="13.9" customHeight="1" thickBot="1" x14ac:dyDescent="0.25">
      <c r="A29" s="259"/>
      <c r="D29" s="49" t="s">
        <v>99</v>
      </c>
      <c r="E29" s="140">
        <f>B18</f>
        <v>0.45454545454545453</v>
      </c>
      <c r="F29" s="160">
        <f>(((E23+E26)*E29)+E24)*C28</f>
        <v>55020.387531319277</v>
      </c>
      <c r="G29" s="3"/>
      <c r="I29" s="256"/>
      <c r="J29" s="4"/>
    </row>
    <row r="30" spans="1:10" ht="13.9" customHeight="1" x14ac:dyDescent="0.2">
      <c r="A30" s="263"/>
      <c r="B30" s="264"/>
      <c r="C30" s="264"/>
      <c r="D30" s="264"/>
      <c r="E30" s="141"/>
      <c r="F30" s="144"/>
      <c r="G30" s="3"/>
      <c r="I30" s="183"/>
      <c r="J30" s="4"/>
    </row>
    <row r="31" spans="1:10" ht="11.25" customHeight="1" thickBot="1" x14ac:dyDescent="0.25">
      <c r="A31" s="4" t="s">
        <v>157</v>
      </c>
      <c r="B31" s="201"/>
      <c r="C31" s="4"/>
      <c r="D31" s="4"/>
      <c r="E31" s="202"/>
      <c r="F31" s="128"/>
      <c r="G31" s="128"/>
    </row>
    <row r="32" spans="1:10" ht="14.45" customHeight="1" thickBot="1" x14ac:dyDescent="0.25">
      <c r="A32" s="34" t="s">
        <v>18</v>
      </c>
      <c r="B32" s="35" t="s">
        <v>19</v>
      </c>
      <c r="C32" s="35" t="s">
        <v>11</v>
      </c>
      <c r="D32" s="36" t="s">
        <v>94</v>
      </c>
      <c r="E32" s="36" t="s">
        <v>20</v>
      </c>
      <c r="F32" s="37" t="s">
        <v>21</v>
      </c>
      <c r="G32" s="128"/>
    </row>
    <row r="33" spans="1:11" ht="15" customHeight="1" x14ac:dyDescent="0.2">
      <c r="A33" s="126" t="s">
        <v>120</v>
      </c>
      <c r="B33" s="191" t="s">
        <v>121</v>
      </c>
      <c r="C33" s="203">
        <v>1</v>
      </c>
      <c r="D33" s="204">
        <v>3.5</v>
      </c>
      <c r="E33" s="197"/>
      <c r="F33" s="128"/>
      <c r="G33" s="128"/>
      <c r="I33" s="179"/>
    </row>
    <row r="34" spans="1:11" ht="13.9" customHeight="1" x14ac:dyDescent="0.2">
      <c r="A34" s="126" t="s">
        <v>122</v>
      </c>
      <c r="B34" s="191" t="s">
        <v>123</v>
      </c>
      <c r="C34" s="205">
        <v>21</v>
      </c>
      <c r="D34" s="197"/>
      <c r="E34" s="197"/>
      <c r="F34" s="128"/>
      <c r="G34" s="128"/>
      <c r="I34" s="179"/>
    </row>
    <row r="35" spans="1:11" ht="14.45" customHeight="1" thickBot="1" x14ac:dyDescent="0.25">
      <c r="A35" s="126" t="s">
        <v>173</v>
      </c>
      <c r="B35" s="191" t="s">
        <v>124</v>
      </c>
      <c r="C35" s="206">
        <f>$C$34*2*(C28)</f>
        <v>840</v>
      </c>
      <c r="D35" s="207">
        <f>IFERROR((($C$34*2*$D$33)-(E23*0.06*C34/C34))/($C$34*2),"-")</f>
        <v>0.47379092571428588</v>
      </c>
      <c r="E35" s="197">
        <f>IFERROR(C35*D35,"-")</f>
        <v>397.98437760000013</v>
      </c>
      <c r="F35" s="128"/>
      <c r="G35" s="128"/>
      <c r="I35" s="179"/>
    </row>
    <row r="36" spans="1:11" ht="14.45" customHeight="1" thickBot="1" x14ac:dyDescent="0.25">
      <c r="A36" s="4"/>
      <c r="B36" s="4"/>
      <c r="C36" s="4"/>
      <c r="D36" s="128"/>
      <c r="E36" s="128"/>
      <c r="F36" s="200">
        <f>SUM(E35:E35)</f>
        <v>397.98437760000013</v>
      </c>
      <c r="G36" s="128"/>
      <c r="I36" s="179"/>
    </row>
    <row r="37" spans="1:11" ht="11.25" customHeight="1" x14ac:dyDescent="0.2">
      <c r="G37" s="128"/>
      <c r="I37" s="179"/>
    </row>
    <row r="38" spans="1:11" ht="13.5" thickBot="1" x14ac:dyDescent="0.25">
      <c r="A38" s="4" t="s">
        <v>159</v>
      </c>
      <c r="F38" s="13"/>
      <c r="I38" s="179"/>
    </row>
    <row r="39" spans="1:11" ht="13.5" thickBot="1" x14ac:dyDescent="0.25">
      <c r="A39" s="34" t="s">
        <v>18</v>
      </c>
      <c r="B39" s="35" t="s">
        <v>19</v>
      </c>
      <c r="C39" s="35" t="s">
        <v>11</v>
      </c>
      <c r="D39" s="36" t="s">
        <v>94</v>
      </c>
      <c r="E39" s="36" t="s">
        <v>20</v>
      </c>
      <c r="F39" s="37" t="s">
        <v>21</v>
      </c>
      <c r="G39" s="128"/>
      <c r="I39" s="179"/>
      <c r="K39" s="180"/>
    </row>
    <row r="40" spans="1:11" ht="13.5" thickBot="1" x14ac:dyDescent="0.25">
      <c r="A40" s="126" t="s">
        <v>173</v>
      </c>
      <c r="B40" s="12" t="s">
        <v>7</v>
      </c>
      <c r="C40" s="233">
        <f>C34*C28</f>
        <v>420</v>
      </c>
      <c r="D40" s="166">
        <f>27.15*0.81</f>
        <v>21.991500000000002</v>
      </c>
      <c r="E40" s="232">
        <f>(D40*C40)</f>
        <v>9236.43</v>
      </c>
      <c r="F40" s="13"/>
      <c r="I40" s="181"/>
    </row>
    <row r="41" spans="1:11" ht="13.5" thickBot="1" x14ac:dyDescent="0.25">
      <c r="A41" s="259"/>
      <c r="B41" s="186"/>
      <c r="D41" s="49" t="s">
        <v>99</v>
      </c>
      <c r="E41" s="215">
        <f>B18</f>
        <v>0.45454545454545453</v>
      </c>
      <c r="F41" s="138">
        <f>SUM(E40:E40)*E41</f>
        <v>4198.3772727272726</v>
      </c>
      <c r="G41" s="180"/>
      <c r="I41" s="181"/>
    </row>
    <row r="42" spans="1:11" x14ac:dyDescent="0.2">
      <c r="A42" s="184"/>
      <c r="B42" s="184"/>
      <c r="D42" s="49"/>
      <c r="E42" s="33"/>
      <c r="F42" s="185"/>
      <c r="G42" s="6"/>
      <c r="I42" s="181"/>
    </row>
    <row r="43" spans="1:11" ht="13.5" thickBot="1" x14ac:dyDescent="0.25">
      <c r="A43" s="4" t="s">
        <v>158</v>
      </c>
      <c r="F43" s="13"/>
      <c r="G43" s="6"/>
    </row>
    <row r="44" spans="1:11" ht="13.5" thickBot="1" x14ac:dyDescent="0.25">
      <c r="A44" s="34" t="s">
        <v>18</v>
      </c>
      <c r="B44" s="35" t="s">
        <v>19</v>
      </c>
      <c r="C44" s="35" t="s">
        <v>11</v>
      </c>
      <c r="D44" s="36" t="s">
        <v>94</v>
      </c>
      <c r="E44" s="36" t="s">
        <v>20</v>
      </c>
      <c r="F44" s="37" t="s">
        <v>21</v>
      </c>
      <c r="G44" s="6"/>
    </row>
    <row r="45" spans="1:11" ht="13.5" thickBot="1" x14ac:dyDescent="0.25">
      <c r="A45" s="126" t="s">
        <v>133</v>
      </c>
      <c r="B45" s="12" t="s">
        <v>7</v>
      </c>
      <c r="C45" s="155">
        <f>C28</f>
        <v>20</v>
      </c>
      <c r="D45" s="166">
        <v>25.52</v>
      </c>
      <c r="E45" s="232">
        <f>C45*D45</f>
        <v>510.4</v>
      </c>
      <c r="F45" s="13"/>
      <c r="G45" s="6"/>
    </row>
    <row r="46" spans="1:11" ht="13.5" thickBot="1" x14ac:dyDescent="0.25">
      <c r="A46" s="259"/>
      <c r="B46" s="186"/>
      <c r="D46" s="49" t="s">
        <v>99</v>
      </c>
      <c r="E46" s="140">
        <f>B18</f>
        <v>0.45454545454545453</v>
      </c>
      <c r="F46" s="138">
        <f>SUM(E45:E45)*E46</f>
        <v>231.99999999999997</v>
      </c>
      <c r="G46" s="6"/>
    </row>
    <row r="47" spans="1:11" ht="13.5" thickBot="1" x14ac:dyDescent="0.25">
      <c r="A47" s="184"/>
      <c r="B47" s="184"/>
      <c r="D47" s="49"/>
      <c r="E47" s="33"/>
      <c r="F47" s="185"/>
      <c r="G47" s="6"/>
    </row>
    <row r="48" spans="1:11" ht="13.5" thickBot="1" x14ac:dyDescent="0.25">
      <c r="A48" s="129" t="s">
        <v>100</v>
      </c>
      <c r="B48" s="130"/>
      <c r="C48" s="130"/>
      <c r="D48" s="131"/>
      <c r="E48" s="132"/>
      <c r="F48" s="137">
        <f>F29+F36+F41+F46</f>
        <v>59848.749181646548</v>
      </c>
      <c r="G48" s="6"/>
      <c r="H48" s="139"/>
    </row>
    <row r="49" spans="1:7" ht="15" customHeight="1" x14ac:dyDescent="0.2"/>
    <row r="50" spans="1:7" x14ac:dyDescent="0.2">
      <c r="A50" s="8" t="s">
        <v>15</v>
      </c>
      <c r="G50" s="6"/>
    </row>
    <row r="51" spans="1:7" ht="13.9" customHeight="1" thickBot="1" x14ac:dyDescent="0.25">
      <c r="A51" s="4" t="s">
        <v>111</v>
      </c>
      <c r="G51" s="6"/>
    </row>
    <row r="52" spans="1:7" ht="27.75" customHeight="1" thickBot="1" x14ac:dyDescent="0.25">
      <c r="A52" s="34" t="s">
        <v>18</v>
      </c>
      <c r="B52" s="35" t="s">
        <v>19</v>
      </c>
      <c r="C52" s="124" t="s">
        <v>97</v>
      </c>
      <c r="D52" s="36" t="s">
        <v>94</v>
      </c>
      <c r="E52" s="36" t="s">
        <v>20</v>
      </c>
      <c r="F52" s="37" t="s">
        <v>21</v>
      </c>
      <c r="G52" s="6"/>
    </row>
    <row r="53" spans="1:7" ht="13.15" customHeight="1" x14ac:dyDescent="0.2">
      <c r="A53" s="127" t="s">
        <v>180</v>
      </c>
      <c r="B53" s="193" t="s">
        <v>7</v>
      </c>
      <c r="C53" s="192">
        <v>2</v>
      </c>
      <c r="D53" s="167">
        <v>25</v>
      </c>
      <c r="E53" s="161">
        <f>IFERROR(D53/C53,0)</f>
        <v>12.5</v>
      </c>
      <c r="G53" s="6"/>
    </row>
    <row r="54" spans="1:7" ht="13.15" customHeight="1" x14ac:dyDescent="0.2">
      <c r="A54" s="194" t="s">
        <v>181</v>
      </c>
      <c r="B54" s="195" t="s">
        <v>7</v>
      </c>
      <c r="C54" s="192">
        <v>6</v>
      </c>
      <c r="D54" s="167">
        <v>50</v>
      </c>
      <c r="E54" s="161">
        <f t="shared" ref="E54:E58" si="1">IFERROR(D54/C54,0)</f>
        <v>8.3333333333333339</v>
      </c>
      <c r="G54" s="6"/>
    </row>
    <row r="55" spans="1:7" x14ac:dyDescent="0.2">
      <c r="A55" s="126" t="s">
        <v>182</v>
      </c>
      <c r="B55" s="12" t="s">
        <v>7</v>
      </c>
      <c r="C55" s="192">
        <v>1</v>
      </c>
      <c r="D55" s="167">
        <v>10</v>
      </c>
      <c r="E55" s="161">
        <f t="shared" si="1"/>
        <v>10</v>
      </c>
      <c r="G55" s="6"/>
    </row>
    <row r="56" spans="1:7" x14ac:dyDescent="0.2">
      <c r="A56" s="224" t="s">
        <v>183</v>
      </c>
      <c r="B56" s="225" t="s">
        <v>7</v>
      </c>
      <c r="C56" s="192">
        <v>1</v>
      </c>
      <c r="D56" s="226">
        <v>20</v>
      </c>
      <c r="E56" s="227">
        <f t="shared" si="1"/>
        <v>20</v>
      </c>
      <c r="G56" s="6"/>
    </row>
    <row r="57" spans="1:7" ht="13.9" customHeight="1" x14ac:dyDescent="0.2">
      <c r="A57" s="224" t="s">
        <v>184</v>
      </c>
      <c r="B57" s="225" t="s">
        <v>7</v>
      </c>
      <c r="C57" s="192">
        <v>1</v>
      </c>
      <c r="D57" s="226">
        <v>16.533000000000001</v>
      </c>
      <c r="E57" s="227">
        <f t="shared" si="1"/>
        <v>16.533000000000001</v>
      </c>
      <c r="G57" s="6"/>
    </row>
    <row r="58" spans="1:7" ht="13.9" customHeight="1" x14ac:dyDescent="0.2">
      <c r="A58" s="126" t="s">
        <v>185</v>
      </c>
      <c r="B58" s="225" t="s">
        <v>7</v>
      </c>
      <c r="C58" s="192">
        <v>12</v>
      </c>
      <c r="D58" s="167">
        <v>10.004</v>
      </c>
      <c r="E58" s="161">
        <f t="shared" si="1"/>
        <v>0.83366666666666667</v>
      </c>
      <c r="G58" s="6"/>
    </row>
    <row r="59" spans="1:7" ht="13.5" thickBot="1" x14ac:dyDescent="0.25">
      <c r="A59" s="265" t="s">
        <v>118</v>
      </c>
      <c r="B59" s="266"/>
      <c r="C59" s="47">
        <f>C28</f>
        <v>20</v>
      </c>
      <c r="D59" s="163">
        <f>+SUM(E53:E58)</f>
        <v>68.2</v>
      </c>
      <c r="E59" s="162">
        <f t="shared" ref="E59" si="2">C59*D59</f>
        <v>1364</v>
      </c>
    </row>
    <row r="60" spans="1:7" ht="13.5" thickBot="1" x14ac:dyDescent="0.25">
      <c r="D60" s="49" t="s">
        <v>99</v>
      </c>
      <c r="E60" s="140">
        <f>B18</f>
        <v>0.45454545454545453</v>
      </c>
      <c r="F60" s="160">
        <f>E59*E60</f>
        <v>620</v>
      </c>
    </row>
    <row r="61" spans="1:7" ht="11.25" customHeight="1" thickBot="1" x14ac:dyDescent="0.25">
      <c r="G61" s="6"/>
    </row>
    <row r="62" spans="1:7" ht="13.5" thickBot="1" x14ac:dyDescent="0.25">
      <c r="A62" s="129" t="s">
        <v>101</v>
      </c>
      <c r="B62" s="133"/>
      <c r="C62" s="133"/>
      <c r="D62" s="134"/>
      <c r="E62" s="135"/>
      <c r="F62" s="136">
        <f>+F60</f>
        <v>620</v>
      </c>
      <c r="G62" s="6"/>
    </row>
    <row r="63" spans="1:7" ht="11.25" customHeight="1" thickBot="1" x14ac:dyDescent="0.25">
      <c r="G63" s="6"/>
    </row>
    <row r="64" spans="1:7" ht="11.25" customHeight="1" thickBot="1" x14ac:dyDescent="0.25">
      <c r="A64" s="14" t="s">
        <v>119</v>
      </c>
      <c r="B64" s="187"/>
      <c r="C64" s="187"/>
      <c r="D64" s="188"/>
      <c r="E64" s="189"/>
      <c r="F64" s="200">
        <f>F48+F62</f>
        <v>60468.749181646548</v>
      </c>
      <c r="G64" s="6"/>
    </row>
    <row r="65" spans="1:7" ht="11.25" customHeight="1" x14ac:dyDescent="0.2">
      <c r="G65" s="6"/>
    </row>
    <row r="66" spans="1:7" ht="13.5" thickBot="1" x14ac:dyDescent="0.25">
      <c r="A66" s="8" t="s">
        <v>160</v>
      </c>
      <c r="B66" s="8"/>
      <c r="C66" s="8"/>
      <c r="D66" s="20"/>
      <c r="E66" s="20"/>
      <c r="F66" s="19"/>
    </row>
    <row r="67" spans="1:7" x14ac:dyDescent="0.2">
      <c r="A67" s="41" t="s">
        <v>18</v>
      </c>
      <c r="B67" s="42" t="s">
        <v>19</v>
      </c>
      <c r="C67" s="42" t="s">
        <v>11</v>
      </c>
      <c r="D67" s="43" t="s">
        <v>94</v>
      </c>
      <c r="E67" s="43" t="s">
        <v>20</v>
      </c>
      <c r="F67" s="150" t="s">
        <v>21</v>
      </c>
    </row>
    <row r="68" spans="1:7" x14ac:dyDescent="0.2">
      <c r="A68" s="147" t="s">
        <v>9</v>
      </c>
      <c r="B68" s="172" t="s">
        <v>1</v>
      </c>
      <c r="C68" s="222">
        <f>'4. BDI'!C17</f>
        <v>0.2155</v>
      </c>
      <c r="D68" s="148">
        <f>F64</f>
        <v>60468.749181646548</v>
      </c>
      <c r="E68" s="148">
        <f>D68*C68</f>
        <v>13031.01544864483</v>
      </c>
      <c r="F68" s="149"/>
    </row>
    <row r="69" spans="1:7" ht="13.5" thickBot="1" x14ac:dyDescent="0.25">
      <c r="A69" s="145"/>
      <c r="B69" s="145"/>
      <c r="C69" s="145"/>
      <c r="D69" s="145"/>
      <c r="E69" s="145"/>
      <c r="F69" s="146"/>
    </row>
    <row r="70" spans="1:7" ht="13.5" thickBot="1" x14ac:dyDescent="0.25">
      <c r="A70" s="267" t="s">
        <v>161</v>
      </c>
      <c r="B70" s="268"/>
      <c r="C70" s="268"/>
      <c r="D70" s="268"/>
      <c r="E70" s="269"/>
      <c r="F70" s="136">
        <f>E68</f>
        <v>13031.01544864483</v>
      </c>
    </row>
    <row r="71" spans="1:7" ht="11.25" customHeight="1" thickBot="1" x14ac:dyDescent="0.25"/>
    <row r="72" spans="1:7" ht="24.75" customHeight="1" thickBot="1" x14ac:dyDescent="0.25">
      <c r="A72" s="14" t="s">
        <v>102</v>
      </c>
      <c r="B72" s="16"/>
      <c r="C72" s="16"/>
      <c r="D72" s="17"/>
      <c r="E72" s="18"/>
      <c r="F72" s="138">
        <f>F48+F62+F70</f>
        <v>73499.764630291378</v>
      </c>
    </row>
    <row r="73" spans="1:7" ht="13.5" customHeight="1" thickBot="1" x14ac:dyDescent="0.25">
      <c r="A73" s="8"/>
      <c r="D73" s="33"/>
      <c r="E73" s="33"/>
      <c r="F73" s="190"/>
    </row>
    <row r="74" spans="1:7" ht="13.5" customHeight="1" thickBot="1" x14ac:dyDescent="0.25">
      <c r="A74" s="14" t="s">
        <v>115</v>
      </c>
      <c r="B74" s="187"/>
      <c r="C74" s="187"/>
      <c r="D74" s="188"/>
      <c r="E74" s="189"/>
      <c r="F74" s="138">
        <f>F72/C59</f>
        <v>3674.9882315145687</v>
      </c>
    </row>
    <row r="75" spans="1:7" ht="12.6" customHeight="1" thickBot="1" x14ac:dyDescent="0.25">
      <c r="A75" s="31"/>
      <c r="B75" s="31"/>
      <c r="C75" s="31"/>
      <c r="D75" s="32"/>
      <c r="E75" s="32"/>
      <c r="F75" s="32"/>
      <c r="G75" s="179"/>
    </row>
    <row r="76" spans="1:7" ht="12.6" customHeight="1" thickBot="1" x14ac:dyDescent="0.25">
      <c r="A76" s="243" t="s">
        <v>144</v>
      </c>
      <c r="B76" s="241">
        <f>165.43/2</f>
        <v>82.715000000000003</v>
      </c>
      <c r="C76" s="246" t="s">
        <v>146</v>
      </c>
      <c r="D76" s="244"/>
      <c r="E76" s="245"/>
      <c r="F76" s="242">
        <f>F74/B76</f>
        <v>44.429525860056444</v>
      </c>
      <c r="G76" s="179"/>
    </row>
    <row r="77" spans="1:7" ht="12.6" customHeight="1" x14ac:dyDescent="0.2">
      <c r="A77" s="31"/>
      <c r="B77" s="31"/>
      <c r="C77" s="31"/>
      <c r="D77" s="32"/>
      <c r="E77" s="32"/>
      <c r="F77" s="32"/>
      <c r="G77" s="179"/>
    </row>
    <row r="78" spans="1:7" x14ac:dyDescent="0.2">
      <c r="A78" s="8" t="s">
        <v>131</v>
      </c>
      <c r="B78" s="4"/>
      <c r="C78" s="4"/>
      <c r="D78" s="128"/>
      <c r="E78" s="128"/>
      <c r="F78" s="218"/>
    </row>
    <row r="79" spans="1:7" x14ac:dyDescent="0.2">
      <c r="F79" s="219"/>
    </row>
    <row r="80" spans="1:7" x14ac:dyDescent="0.2">
      <c r="B80" s="260"/>
      <c r="F80" s="220"/>
    </row>
    <row r="81" spans="6:6" x14ac:dyDescent="0.2">
      <c r="F81" s="143"/>
    </row>
    <row r="105" s="6" customFormat="1" ht="9" customHeight="1" x14ac:dyDescent="0.2"/>
  </sheetData>
  <mergeCells count="9">
    <mergeCell ref="A30:D30"/>
    <mergeCell ref="A59:B59"/>
    <mergeCell ref="A70:E70"/>
    <mergeCell ref="A1:F1"/>
    <mergeCell ref="A2:F3"/>
    <mergeCell ref="A4:F4"/>
    <mergeCell ref="A6:F6"/>
    <mergeCell ref="A13:C13"/>
    <mergeCell ref="A21:F21"/>
  </mergeCells>
  <printOptions horizontalCentered="1"/>
  <pageMargins left="0.9055118110236221" right="0.70866141732283472" top="0.74803149606299213" bottom="0.55118110236220474" header="0.31496062992125984" footer="0.31496062992125984"/>
  <pageSetup paperSize="9" scale="68" fitToHeight="2" orientation="portrait" r:id="rId1"/>
  <headerFooter alignWithMargins="0">
    <oddFooter>&amp;R&amp;P de &amp;N</oddFooter>
  </headerFooter>
  <rowBreaks count="1" manualBreakCount="1">
    <brk id="18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25"/>
  <sheetViews>
    <sheetView zoomScale="120" zoomScaleNormal="120" zoomScaleSheetLayoutView="100" workbookViewId="0">
      <pane ySplit="1" topLeftCell="A80" activePane="bottomLeft" state="frozen"/>
      <selection activeCell="A2" sqref="A2"/>
      <selection pane="bottomLeft" activeCell="A2" sqref="A2"/>
    </sheetView>
  </sheetViews>
  <sheetFormatPr defaultColWidth="9.140625" defaultRowHeight="12.75" x14ac:dyDescent="0.2"/>
  <cols>
    <col min="1" max="1" width="49.42578125" style="6" customWidth="1"/>
    <col min="2" max="2" width="16" style="6" bestFit="1" customWidth="1"/>
    <col min="3" max="3" width="14.5703125" style="6" customWidth="1"/>
    <col min="4" max="4" width="14.7109375" style="7" customWidth="1"/>
    <col min="5" max="5" width="15.42578125" style="7" customWidth="1"/>
    <col min="6" max="6" width="15" style="7" customWidth="1"/>
    <col min="7" max="7" width="28.140625" style="7" customWidth="1"/>
    <col min="8" max="8" width="23.85546875" style="6" hidden="1" customWidth="1"/>
    <col min="9" max="9" width="14.5703125" style="6" customWidth="1"/>
    <col min="10" max="10" width="13.42578125" style="6" customWidth="1"/>
    <col min="11" max="11" width="10.5703125" style="6" bestFit="1" customWidth="1"/>
    <col min="12" max="16384" width="9.140625" style="6"/>
  </cols>
  <sheetData>
    <row r="1" spans="1:7" s="2" customFormat="1" ht="21.75" customHeight="1" thickBot="1" x14ac:dyDescent="0.25">
      <c r="A1" s="270" t="s">
        <v>98</v>
      </c>
      <c r="B1" s="270"/>
      <c r="C1" s="270"/>
      <c r="D1" s="270"/>
      <c r="E1" s="270"/>
      <c r="F1" s="270"/>
      <c r="G1" s="3"/>
    </row>
    <row r="2" spans="1:7" s="5" customFormat="1" ht="15" customHeight="1" x14ac:dyDescent="0.2">
      <c r="A2" s="271" t="s">
        <v>176</v>
      </c>
      <c r="B2" s="272"/>
      <c r="C2" s="272"/>
      <c r="D2" s="272"/>
      <c r="E2" s="272"/>
      <c r="F2" s="273"/>
      <c r="G2" s="21"/>
    </row>
    <row r="3" spans="1:7" s="5" customFormat="1" ht="11.45" customHeight="1" x14ac:dyDescent="0.2">
      <c r="A3" s="274"/>
      <c r="B3" s="275"/>
      <c r="C3" s="275"/>
      <c r="D3" s="275"/>
      <c r="E3" s="275"/>
      <c r="F3" s="276"/>
      <c r="G3" s="21"/>
    </row>
    <row r="4" spans="1:7" s="5" customFormat="1" ht="21.75" customHeight="1" x14ac:dyDescent="0.2">
      <c r="A4" s="277" t="s">
        <v>14</v>
      </c>
      <c r="B4" s="278"/>
      <c r="C4" s="278"/>
      <c r="D4" s="278"/>
      <c r="E4" s="278"/>
      <c r="F4" s="279"/>
      <c r="G4" s="21"/>
    </row>
    <row r="5" spans="1:7" s="2" customFormat="1" ht="10.9" customHeight="1" thickBot="1" x14ac:dyDescent="0.25">
      <c r="A5" s="58"/>
      <c r="B5" s="59"/>
      <c r="C5" s="59"/>
      <c r="D5" s="60"/>
      <c r="E5" s="60"/>
      <c r="F5" s="61"/>
      <c r="G5" s="3"/>
    </row>
    <row r="6" spans="1:7" s="2" customFormat="1" ht="15.75" customHeight="1" thickBot="1" x14ac:dyDescent="0.25">
      <c r="A6" s="280" t="s">
        <v>88</v>
      </c>
      <c r="B6" s="281"/>
      <c r="C6" s="281"/>
      <c r="D6" s="281"/>
      <c r="E6" s="281"/>
      <c r="F6" s="282"/>
      <c r="G6" s="3"/>
    </row>
    <row r="7" spans="1:7" s="2" customFormat="1" ht="15.75" customHeight="1" x14ac:dyDescent="0.2">
      <c r="A7" s="38" t="s">
        <v>87</v>
      </c>
      <c r="B7" s="22"/>
      <c r="C7" s="22"/>
      <c r="D7" s="121"/>
      <c r="E7" s="45" t="s">
        <v>10</v>
      </c>
      <c r="F7" s="23" t="s">
        <v>1</v>
      </c>
      <c r="G7" s="3"/>
    </row>
    <row r="8" spans="1:7" s="8" customFormat="1" ht="15.75" customHeight="1" x14ac:dyDescent="0.2">
      <c r="A8" s="50" t="str">
        <f>A22</f>
        <v>1. Mão-de-obra</v>
      </c>
      <c r="B8" s="51"/>
      <c r="C8" s="52"/>
      <c r="D8" s="52"/>
      <c r="E8" s="208">
        <f>+F61</f>
        <v>5102.2337000000007</v>
      </c>
      <c r="F8" s="151">
        <f t="shared" ref="F8:F17" si="0">IFERROR(E8/$E$18,0)</f>
        <v>0.48875712549023581</v>
      </c>
      <c r="G8" s="26"/>
    </row>
    <row r="9" spans="1:7" s="2" customFormat="1" ht="15.75" customHeight="1" x14ac:dyDescent="0.2">
      <c r="A9" s="29" t="str">
        <f>A23</f>
        <v>1.1. Categoria Profissional de Auxiliar de Administrativo - CBO 4110</v>
      </c>
      <c r="B9" s="27"/>
      <c r="C9" s="28"/>
      <c r="D9" s="28"/>
      <c r="E9" s="209">
        <f>F31</f>
        <v>0</v>
      </c>
      <c r="F9" s="152">
        <f t="shared" si="0"/>
        <v>0</v>
      </c>
      <c r="G9" s="3"/>
    </row>
    <row r="10" spans="1:7" s="2" customFormat="1" ht="15.75" customHeight="1" x14ac:dyDescent="0.2">
      <c r="A10" s="29" t="str">
        <f>A33</f>
        <v>1.1. Supervisor/Encarregado</v>
      </c>
      <c r="B10" s="27"/>
      <c r="C10" s="28"/>
      <c r="D10" s="28"/>
      <c r="E10" s="209">
        <f>F41</f>
        <v>4614.8922000000002</v>
      </c>
      <c r="F10" s="152">
        <f t="shared" si="0"/>
        <v>0.44207333076870042</v>
      </c>
      <c r="G10" s="3"/>
    </row>
    <row r="11" spans="1:7" s="2" customFormat="1" ht="15.75" customHeight="1" x14ac:dyDescent="0.2">
      <c r="A11" s="29" t="str">
        <f>A43</f>
        <v>1.2. Vale Transporte</v>
      </c>
      <c r="B11" s="27"/>
      <c r="C11" s="28"/>
      <c r="D11" s="28"/>
      <c r="E11" s="209">
        <f>F48</f>
        <v>0</v>
      </c>
      <c r="F11" s="152">
        <f t="shared" si="0"/>
        <v>0</v>
      </c>
      <c r="G11" s="3"/>
    </row>
    <row r="12" spans="1:7" s="2" customFormat="1" ht="15.75" customHeight="1" x14ac:dyDescent="0.2">
      <c r="A12" s="29" t="str">
        <f>A50</f>
        <v xml:space="preserve">1.2. Auxílio Alimentação </v>
      </c>
      <c r="B12" s="27"/>
      <c r="C12" s="28"/>
      <c r="D12" s="28"/>
      <c r="E12" s="209">
        <f>F54</f>
        <v>461.82150000000001</v>
      </c>
      <c r="F12" s="152">
        <f t="shared" si="0"/>
        <v>4.423916310019059E-2</v>
      </c>
      <c r="G12" s="3"/>
    </row>
    <row r="13" spans="1:7" s="2" customFormat="1" ht="15.75" customHeight="1" x14ac:dyDescent="0.2">
      <c r="A13" s="29" t="str">
        <f>A56</f>
        <v xml:space="preserve">1.3. Plano de Benefício Social  </v>
      </c>
      <c r="B13" s="27"/>
      <c r="C13" s="28"/>
      <c r="D13" s="28"/>
      <c r="E13" s="209">
        <f>F59</f>
        <v>25.52</v>
      </c>
      <c r="F13" s="152">
        <f t="shared" si="0"/>
        <v>2.4446316213447487E-3</v>
      </c>
      <c r="G13" s="3"/>
    </row>
    <row r="14" spans="1:7" s="8" customFormat="1" ht="15.75" customHeight="1" x14ac:dyDescent="0.2">
      <c r="A14" s="283" t="str">
        <f>A63</f>
        <v>2. Uniformes e Equipamentos de Proteção Individual</v>
      </c>
      <c r="B14" s="284"/>
      <c r="C14" s="284"/>
      <c r="D14" s="52"/>
      <c r="E14" s="208">
        <f>+F75</f>
        <v>62.166666666666657</v>
      </c>
      <c r="F14" s="151">
        <f t="shared" si="0"/>
        <v>5.9551175206478003E-3</v>
      </c>
      <c r="G14" s="26"/>
    </row>
    <row r="15" spans="1:7" s="8" customFormat="1" ht="15.75" customHeight="1" x14ac:dyDescent="0.2">
      <c r="A15" s="39" t="str">
        <f>A64</f>
        <v>2.1. Uniformes e EPIs</v>
      </c>
      <c r="B15" s="258"/>
      <c r="C15" s="258"/>
      <c r="D15" s="52"/>
      <c r="E15" s="210">
        <f>F73</f>
        <v>62.166666666666657</v>
      </c>
      <c r="F15" s="212">
        <f t="shared" si="0"/>
        <v>5.9551175206478003E-3</v>
      </c>
      <c r="G15" s="26"/>
    </row>
    <row r="16" spans="1:7" s="8" customFormat="1" ht="15.75" customHeight="1" x14ac:dyDescent="0.2">
      <c r="A16" s="257" t="str">
        <f>A77</f>
        <v xml:space="preserve">3. Administração Local/Veículo de Apoio </v>
      </c>
      <c r="B16" s="258"/>
      <c r="C16" s="258"/>
      <c r="D16" s="52"/>
      <c r="E16" s="216">
        <f>F81</f>
        <v>3424</v>
      </c>
      <c r="F16" s="151">
        <f t="shared" si="0"/>
        <v>0.32799446204876254</v>
      </c>
      <c r="G16" s="26"/>
    </row>
    <row r="17" spans="1:10" s="8" customFormat="1" ht="15.75" customHeight="1" thickBot="1" x14ac:dyDescent="0.25">
      <c r="A17" s="257" t="str">
        <f>A86</f>
        <v>4. Benefícios e Despesas Indiretas</v>
      </c>
      <c r="B17" s="53"/>
      <c r="C17" s="52"/>
      <c r="D17" s="52"/>
      <c r="E17" s="211">
        <f>F90</f>
        <v>1850.800279016667</v>
      </c>
      <c r="F17" s="151">
        <f t="shared" si="0"/>
        <v>0.17729329494035376</v>
      </c>
      <c r="G17" s="26"/>
    </row>
    <row r="18" spans="1:10" s="2" customFormat="1" ht="15.75" customHeight="1" thickBot="1" x14ac:dyDescent="0.25">
      <c r="A18" s="24" t="s">
        <v>110</v>
      </c>
      <c r="B18" s="25"/>
      <c r="C18" s="15"/>
      <c r="D18" s="15"/>
      <c r="E18" s="44">
        <f>E8+E14+E17+E16</f>
        <v>10439.200645683335</v>
      </c>
      <c r="F18" s="153">
        <f>F8+F14+F17+F16</f>
        <v>1</v>
      </c>
      <c r="G18" s="3"/>
    </row>
    <row r="19" spans="1:10" s="2" customFormat="1" ht="15.75" customHeight="1" thickBot="1" x14ac:dyDescent="0.25">
      <c r="A19" s="175"/>
      <c r="B19" s="176"/>
      <c r="C19" s="20"/>
      <c r="D19" s="20"/>
      <c r="E19" s="177"/>
      <c r="F19" s="178"/>
      <c r="G19" s="3"/>
    </row>
    <row r="20" spans="1:10" s="8" customFormat="1" ht="15.75" customHeight="1" thickBot="1" x14ac:dyDescent="0.25">
      <c r="A20" s="122" t="s">
        <v>86</v>
      </c>
      <c r="B20" s="173">
        <f>44/44</f>
        <v>1</v>
      </c>
      <c r="C20" s="20"/>
      <c r="E20" s="62"/>
      <c r="G20" s="26"/>
    </row>
    <row r="21" spans="1:10" s="2" customFormat="1" ht="15.75" customHeight="1" x14ac:dyDescent="0.2">
      <c r="A21" s="33"/>
      <c r="B21" s="33"/>
      <c r="C21" s="33"/>
      <c r="D21" s="6"/>
      <c r="E21" s="40"/>
      <c r="F21" s="6"/>
      <c r="G21" s="3"/>
    </row>
    <row r="22" spans="1:10" ht="13.15" customHeight="1" x14ac:dyDescent="0.2">
      <c r="A22" s="8" t="s">
        <v>16</v>
      </c>
    </row>
    <row r="23" spans="1:10" ht="13.9" hidden="1" customHeight="1" thickBot="1" x14ac:dyDescent="0.25">
      <c r="A23" s="285" t="s">
        <v>155</v>
      </c>
      <c r="B23" s="285"/>
      <c r="C23" s="285"/>
      <c r="D23" s="285"/>
      <c r="E23" s="285"/>
      <c r="F23" s="285"/>
    </row>
    <row r="24" spans="1:10" ht="13.9" hidden="1" customHeight="1" thickBot="1" x14ac:dyDescent="0.25">
      <c r="A24" s="34" t="s">
        <v>18</v>
      </c>
      <c r="B24" s="35" t="s">
        <v>19</v>
      </c>
      <c r="C24" s="35" t="s">
        <v>11</v>
      </c>
      <c r="D24" s="36" t="s">
        <v>94</v>
      </c>
      <c r="E24" s="36" t="s">
        <v>20</v>
      </c>
      <c r="F24" s="37" t="s">
        <v>21</v>
      </c>
    </row>
    <row r="25" spans="1:10" ht="13.15" hidden="1" customHeight="1" x14ac:dyDescent="0.2">
      <c r="A25" s="127" t="s">
        <v>91</v>
      </c>
      <c r="B25" s="10" t="s">
        <v>6</v>
      </c>
      <c r="C25" s="10">
        <v>1</v>
      </c>
      <c r="D25" s="223">
        <v>2307.83</v>
      </c>
      <c r="E25" s="156">
        <f>C25*D25</f>
        <v>2307.83</v>
      </c>
    </row>
    <row r="26" spans="1:10" hidden="1" x14ac:dyDescent="0.2">
      <c r="A26" s="126" t="s">
        <v>0</v>
      </c>
      <c r="B26" s="12" t="s">
        <v>1</v>
      </c>
      <c r="C26" s="47">
        <v>0</v>
      </c>
      <c r="D26" s="157">
        <f>SUM(E25:E25)</f>
        <v>2307.83</v>
      </c>
      <c r="E26" s="158">
        <f>C26*D26/100</f>
        <v>0</v>
      </c>
      <c r="H26" s="127" t="s">
        <v>91</v>
      </c>
    </row>
    <row r="27" spans="1:10" hidden="1" x14ac:dyDescent="0.2">
      <c r="A27" s="171" t="s">
        <v>2</v>
      </c>
      <c r="B27" s="46"/>
      <c r="C27" s="46"/>
      <c r="D27" s="159"/>
      <c r="E27" s="182">
        <f>SUM(E25:E26)</f>
        <v>2307.83</v>
      </c>
      <c r="H27" s="174" t="s">
        <v>2</v>
      </c>
    </row>
    <row r="28" spans="1:10" hidden="1" x14ac:dyDescent="0.2">
      <c r="A28" s="126" t="s">
        <v>3</v>
      </c>
      <c r="B28" s="12" t="s">
        <v>1</v>
      </c>
      <c r="C28" s="217">
        <f>'3. Encargos Sociais'!$C$33*100</f>
        <v>69.789999999999992</v>
      </c>
      <c r="D28" s="158">
        <f>E25+E26</f>
        <v>2307.83</v>
      </c>
      <c r="E28" s="170">
        <f>D28*C28/100</f>
        <v>1610.6345569999996</v>
      </c>
      <c r="H28" s="126" t="s">
        <v>3</v>
      </c>
      <c r="I28" s="183"/>
    </row>
    <row r="29" spans="1:10" hidden="1" x14ac:dyDescent="0.2">
      <c r="A29" s="171" t="s">
        <v>116</v>
      </c>
      <c r="B29" s="46"/>
      <c r="C29" s="46"/>
      <c r="D29" s="159"/>
      <c r="E29" s="169">
        <f>E25+E26+E28</f>
        <v>3918.4645569999993</v>
      </c>
      <c r="H29" s="174"/>
    </row>
    <row r="30" spans="1:10" ht="13.5" hidden="1" thickBot="1" x14ac:dyDescent="0.25">
      <c r="A30" s="11" t="s">
        <v>4</v>
      </c>
      <c r="B30" s="12" t="s">
        <v>5</v>
      </c>
      <c r="C30" s="154">
        <v>0</v>
      </c>
      <c r="D30" s="158">
        <f>E29</f>
        <v>3918.4645569999993</v>
      </c>
      <c r="E30" s="158">
        <f>C30*D30</f>
        <v>0</v>
      </c>
      <c r="G30" s="3"/>
      <c r="H30" s="126"/>
    </row>
    <row r="31" spans="1:10" ht="13.9" hidden="1" customHeight="1" thickBot="1" x14ac:dyDescent="0.25">
      <c r="A31" s="259"/>
      <c r="D31" s="49" t="s">
        <v>99</v>
      </c>
      <c r="E31" s="30">
        <f>B20</f>
        <v>1</v>
      </c>
      <c r="F31" s="160">
        <f>(((E25+E28)*E31)+E26)*C30</f>
        <v>0</v>
      </c>
      <c r="G31" s="3"/>
      <c r="I31" s="256"/>
      <c r="J31" s="4"/>
    </row>
    <row r="32" spans="1:10" ht="13.9" hidden="1" customHeight="1" x14ac:dyDescent="0.2">
      <c r="A32" s="263"/>
      <c r="B32" s="264"/>
      <c r="C32" s="264"/>
      <c r="D32" s="264"/>
      <c r="E32" s="141"/>
      <c r="F32" s="144"/>
      <c r="G32" s="3"/>
      <c r="I32" s="183"/>
      <c r="J32" s="4"/>
    </row>
    <row r="33" spans="1:9" ht="13.5" thickBot="1" x14ac:dyDescent="0.25">
      <c r="A33" s="4" t="s">
        <v>177</v>
      </c>
      <c r="G33" s="3"/>
      <c r="I33" s="181"/>
    </row>
    <row r="34" spans="1:9" ht="13.5" thickBot="1" x14ac:dyDescent="0.25">
      <c r="A34" s="34" t="s">
        <v>18</v>
      </c>
      <c r="B34" s="35" t="s">
        <v>19</v>
      </c>
      <c r="C34" s="35" t="s">
        <v>11</v>
      </c>
      <c r="D34" s="36" t="s">
        <v>94</v>
      </c>
      <c r="E34" s="36" t="s">
        <v>20</v>
      </c>
      <c r="F34" s="37" t="s">
        <v>21</v>
      </c>
      <c r="G34" s="3"/>
      <c r="I34" s="181"/>
    </row>
    <row r="35" spans="1:9" x14ac:dyDescent="0.2">
      <c r="A35" s="127" t="s">
        <v>91</v>
      </c>
      <c r="B35" s="10" t="s">
        <v>6</v>
      </c>
      <c r="C35" s="10">
        <v>1</v>
      </c>
      <c r="D35" s="196">
        <v>2718</v>
      </c>
      <c r="E35" s="161">
        <f>C35*D35</f>
        <v>2718</v>
      </c>
      <c r="G35" s="3"/>
      <c r="I35" s="181"/>
    </row>
    <row r="36" spans="1:9" hidden="1" x14ac:dyDescent="0.2">
      <c r="A36" s="126" t="s">
        <v>125</v>
      </c>
      <c r="B36" s="191" t="s">
        <v>6</v>
      </c>
      <c r="C36" s="12">
        <v>1</v>
      </c>
      <c r="D36" s="198">
        <v>0</v>
      </c>
      <c r="E36" s="162">
        <f>C36*D36</f>
        <v>0</v>
      </c>
      <c r="G36" s="3"/>
    </row>
    <row r="37" spans="1:9" x14ac:dyDescent="0.2">
      <c r="A37" s="127" t="s">
        <v>2</v>
      </c>
      <c r="B37" s="46"/>
      <c r="C37" s="46"/>
      <c r="D37" s="164"/>
      <c r="E37" s="213">
        <f>E35+E36</f>
        <v>2718</v>
      </c>
      <c r="F37" s="26"/>
      <c r="G37" s="3"/>
    </row>
    <row r="38" spans="1:9" x14ac:dyDescent="0.2">
      <c r="A38" s="126" t="s">
        <v>3</v>
      </c>
      <c r="B38" s="12" t="s">
        <v>1</v>
      </c>
      <c r="C38" s="217">
        <f>'3. Encargos Sociais'!$C$33*100</f>
        <v>69.789999999999992</v>
      </c>
      <c r="D38" s="162">
        <f>E37</f>
        <v>2718</v>
      </c>
      <c r="E38" s="168">
        <f>D38*C38/100</f>
        <v>1896.8921999999998</v>
      </c>
      <c r="G38" s="3"/>
    </row>
    <row r="39" spans="1:9" x14ac:dyDescent="0.2">
      <c r="A39" s="126" t="s">
        <v>129</v>
      </c>
      <c r="B39" s="123"/>
      <c r="C39" s="123"/>
      <c r="D39" s="165"/>
      <c r="E39" s="168">
        <f>E37+E38</f>
        <v>4614.8922000000002</v>
      </c>
      <c r="F39" s="26"/>
      <c r="G39" s="3"/>
    </row>
    <row r="40" spans="1:9" ht="13.5" thickBot="1" x14ac:dyDescent="0.25">
      <c r="A40" s="11" t="s">
        <v>4</v>
      </c>
      <c r="B40" s="12" t="s">
        <v>5</v>
      </c>
      <c r="C40" s="154">
        <v>1</v>
      </c>
      <c r="D40" s="162">
        <f>E39</f>
        <v>4614.8922000000002</v>
      </c>
      <c r="E40" s="162">
        <f>C40*D40</f>
        <v>4614.8922000000002</v>
      </c>
      <c r="G40" s="3"/>
    </row>
    <row r="41" spans="1:9" ht="13.5" thickBot="1" x14ac:dyDescent="0.25">
      <c r="A41" s="286"/>
      <c r="B41" s="286"/>
      <c r="C41" s="286"/>
      <c r="D41" s="49" t="s">
        <v>99</v>
      </c>
      <c r="E41" s="30">
        <v>1</v>
      </c>
      <c r="F41" s="160">
        <f>E40*E41</f>
        <v>4614.8922000000002</v>
      </c>
      <c r="G41" s="3"/>
    </row>
    <row r="42" spans="1:9" x14ac:dyDescent="0.2">
      <c r="A42" s="4"/>
      <c r="B42" s="4"/>
      <c r="C42" s="4"/>
      <c r="D42" s="4"/>
      <c r="E42" s="141"/>
      <c r="F42" s="144"/>
      <c r="G42" s="3"/>
    </row>
    <row r="43" spans="1:9" ht="11.25" hidden="1" customHeight="1" thickBot="1" x14ac:dyDescent="0.25">
      <c r="A43" s="4" t="s">
        <v>157</v>
      </c>
      <c r="B43" s="201"/>
      <c r="C43" s="4"/>
      <c r="D43" s="4"/>
      <c r="E43" s="202"/>
      <c r="F43" s="128"/>
      <c r="G43" s="128"/>
    </row>
    <row r="44" spans="1:9" ht="14.45" hidden="1" customHeight="1" thickBot="1" x14ac:dyDescent="0.25">
      <c r="A44" s="34" t="s">
        <v>18</v>
      </c>
      <c r="B44" s="35" t="s">
        <v>19</v>
      </c>
      <c r="C44" s="35" t="s">
        <v>11</v>
      </c>
      <c r="D44" s="36" t="s">
        <v>94</v>
      </c>
      <c r="E44" s="36" t="s">
        <v>20</v>
      </c>
      <c r="F44" s="37" t="s">
        <v>21</v>
      </c>
      <c r="G44" s="128"/>
    </row>
    <row r="45" spans="1:9" ht="15" hidden="1" customHeight="1" x14ac:dyDescent="0.2">
      <c r="A45" s="126" t="s">
        <v>120</v>
      </c>
      <c r="B45" s="191" t="s">
        <v>121</v>
      </c>
      <c r="C45" s="203">
        <v>1</v>
      </c>
      <c r="D45" s="204">
        <v>3.5</v>
      </c>
      <c r="E45" s="197"/>
      <c r="F45" s="128"/>
      <c r="G45" s="128"/>
      <c r="I45" s="179"/>
    </row>
    <row r="46" spans="1:9" ht="13.9" hidden="1" customHeight="1" x14ac:dyDescent="0.2">
      <c r="A46" s="126" t="s">
        <v>122</v>
      </c>
      <c r="B46" s="191" t="s">
        <v>123</v>
      </c>
      <c r="C46" s="205">
        <v>21</v>
      </c>
      <c r="D46" s="197"/>
      <c r="E46" s="197"/>
      <c r="F46" s="128"/>
      <c r="G46" s="128"/>
      <c r="I46" s="179"/>
    </row>
    <row r="47" spans="1:9" ht="14.45" hidden="1" customHeight="1" thickBot="1" x14ac:dyDescent="0.25">
      <c r="A47" s="126" t="s">
        <v>156</v>
      </c>
      <c r="B47" s="191" t="s">
        <v>124</v>
      </c>
      <c r="C47" s="206">
        <f>$C$46*2*(C30)</f>
        <v>0</v>
      </c>
      <c r="D47" s="207">
        <f>IFERROR((($C$46*2*$D$45)-(E25*0.06*C46/C46))/($C$46*2),"-")</f>
        <v>0.2031000000000002</v>
      </c>
      <c r="E47" s="197">
        <f>IFERROR(C47*D47,"-")</f>
        <v>0</v>
      </c>
      <c r="F47" s="128"/>
      <c r="G47" s="128"/>
      <c r="I47" s="179"/>
    </row>
    <row r="48" spans="1:9" ht="14.45" hidden="1" customHeight="1" thickBot="1" x14ac:dyDescent="0.25">
      <c r="A48" s="4"/>
      <c r="B48" s="4"/>
      <c r="C48" s="4"/>
      <c r="D48" s="128"/>
      <c r="E48" s="128"/>
      <c r="F48" s="200">
        <f>SUM(E47:E47)</f>
        <v>0</v>
      </c>
      <c r="G48" s="128"/>
      <c r="I48" s="179"/>
    </row>
    <row r="49" spans="1:11" ht="11.25" hidden="1" customHeight="1" x14ac:dyDescent="0.2">
      <c r="G49" s="128"/>
      <c r="I49" s="179"/>
    </row>
    <row r="50" spans="1:11" ht="13.5" thickBot="1" x14ac:dyDescent="0.25">
      <c r="A50" s="4" t="s">
        <v>178</v>
      </c>
      <c r="F50" s="13"/>
      <c r="I50" s="179"/>
    </row>
    <row r="51" spans="1:11" ht="13.5" thickBot="1" x14ac:dyDescent="0.25">
      <c r="A51" s="34" t="s">
        <v>18</v>
      </c>
      <c r="B51" s="35" t="s">
        <v>19</v>
      </c>
      <c r="C51" s="35" t="s">
        <v>11</v>
      </c>
      <c r="D51" s="36" t="s">
        <v>94</v>
      </c>
      <c r="E51" s="36" t="s">
        <v>20</v>
      </c>
      <c r="F51" s="37" t="s">
        <v>21</v>
      </c>
      <c r="G51" s="128"/>
      <c r="I51" s="179"/>
      <c r="K51" s="180"/>
    </row>
    <row r="52" spans="1:11" hidden="1" x14ac:dyDescent="0.2">
      <c r="A52" s="126" t="str">
        <f>A47</f>
        <v>Auxíliar Administrativo</v>
      </c>
      <c r="B52" s="12" t="s">
        <v>7</v>
      </c>
      <c r="C52" s="233">
        <f>C46*C30</f>
        <v>0</v>
      </c>
      <c r="D52" s="166">
        <f>25.42*0.81*1.0468</f>
        <v>21.553821360000001</v>
      </c>
      <c r="E52" s="232">
        <f>(D52*C52)</f>
        <v>0</v>
      </c>
      <c r="F52" s="13"/>
      <c r="I52" s="181"/>
    </row>
    <row r="53" spans="1:11" ht="13.5" thickBot="1" x14ac:dyDescent="0.25">
      <c r="A53" s="126" t="s">
        <v>151</v>
      </c>
      <c r="B53" s="12" t="s">
        <v>7</v>
      </c>
      <c r="C53" s="233">
        <f>C46</f>
        <v>21</v>
      </c>
      <c r="D53" s="166">
        <f>27.15*0.81</f>
        <v>21.991500000000002</v>
      </c>
      <c r="E53" s="232">
        <f>(D53*C53)</f>
        <v>461.82150000000001</v>
      </c>
      <c r="F53" s="13"/>
    </row>
    <row r="54" spans="1:11" ht="13.5" thickBot="1" x14ac:dyDescent="0.25">
      <c r="A54" s="286"/>
      <c r="B54" s="286"/>
      <c r="C54" s="286"/>
      <c r="D54" s="49" t="s">
        <v>99</v>
      </c>
      <c r="E54" s="30">
        <v>1</v>
      </c>
      <c r="F54" s="138">
        <f>SUM(E52:E53)*E54</f>
        <v>461.82150000000001</v>
      </c>
      <c r="G54" s="180"/>
      <c r="I54" s="181"/>
    </row>
    <row r="55" spans="1:11" x14ac:dyDescent="0.2">
      <c r="A55" s="184"/>
      <c r="B55" s="184"/>
      <c r="D55" s="49"/>
      <c r="E55" s="33"/>
      <c r="F55" s="185"/>
      <c r="G55" s="6"/>
      <c r="I55" s="181"/>
    </row>
    <row r="56" spans="1:11" ht="13.5" thickBot="1" x14ac:dyDescent="0.25">
      <c r="A56" s="4" t="s">
        <v>179</v>
      </c>
      <c r="F56" s="13"/>
      <c r="G56" s="6"/>
    </row>
    <row r="57" spans="1:11" ht="13.5" thickBot="1" x14ac:dyDescent="0.25">
      <c r="A57" s="34" t="s">
        <v>18</v>
      </c>
      <c r="B57" s="35" t="s">
        <v>19</v>
      </c>
      <c r="C57" s="35" t="s">
        <v>11</v>
      </c>
      <c r="D57" s="36" t="s">
        <v>94</v>
      </c>
      <c r="E57" s="36" t="s">
        <v>20</v>
      </c>
      <c r="F57" s="37" t="s">
        <v>21</v>
      </c>
      <c r="G57" s="6"/>
    </row>
    <row r="58" spans="1:11" ht="13.5" thickBot="1" x14ac:dyDescent="0.25">
      <c r="A58" s="126" t="s">
        <v>133</v>
      </c>
      <c r="B58" s="12" t="s">
        <v>7</v>
      </c>
      <c r="C58" s="155">
        <f>C30+C40</f>
        <v>1</v>
      </c>
      <c r="D58" s="166">
        <v>25.52</v>
      </c>
      <c r="E58" s="232">
        <f>C58*D58</f>
        <v>25.52</v>
      </c>
      <c r="F58" s="13"/>
      <c r="G58" s="6"/>
    </row>
    <row r="59" spans="1:11" ht="13.5" thickBot="1" x14ac:dyDescent="0.25">
      <c r="A59" s="286"/>
      <c r="B59" s="286"/>
      <c r="C59" s="286"/>
      <c r="D59" s="49" t="s">
        <v>99</v>
      </c>
      <c r="E59" s="30">
        <v>1</v>
      </c>
      <c r="F59" s="138">
        <f>SUM(E58:E58)*E59</f>
        <v>25.52</v>
      </c>
      <c r="G59" s="6"/>
    </row>
    <row r="60" spans="1:11" ht="13.5" thickBot="1" x14ac:dyDescent="0.25">
      <c r="A60" s="184"/>
      <c r="B60" s="184"/>
      <c r="D60" s="49"/>
      <c r="E60" s="33"/>
      <c r="F60" s="185"/>
      <c r="G60" s="6"/>
    </row>
    <row r="61" spans="1:11" ht="13.5" thickBot="1" x14ac:dyDescent="0.25">
      <c r="A61" s="129" t="s">
        <v>100</v>
      </c>
      <c r="B61" s="130"/>
      <c r="C61" s="130"/>
      <c r="D61" s="131"/>
      <c r="E61" s="132"/>
      <c r="F61" s="137">
        <f>F31+F48+F54+F59+F41</f>
        <v>5102.2337000000007</v>
      </c>
      <c r="G61" s="6"/>
      <c r="H61" s="139"/>
    </row>
    <row r="62" spans="1:11" ht="15" customHeight="1" x14ac:dyDescent="0.2"/>
    <row r="63" spans="1:11" x14ac:dyDescent="0.2">
      <c r="A63" s="8" t="s">
        <v>15</v>
      </c>
      <c r="G63" s="6"/>
    </row>
    <row r="64" spans="1:11" ht="13.9" customHeight="1" thickBot="1" x14ac:dyDescent="0.25">
      <c r="A64" s="4" t="s">
        <v>111</v>
      </c>
      <c r="G64" s="6"/>
    </row>
    <row r="65" spans="1:7" ht="27.75" customHeight="1" thickBot="1" x14ac:dyDescent="0.25">
      <c r="A65" s="34" t="s">
        <v>18</v>
      </c>
      <c r="B65" s="35" t="s">
        <v>19</v>
      </c>
      <c r="C65" s="124" t="s">
        <v>97</v>
      </c>
      <c r="D65" s="36" t="s">
        <v>94</v>
      </c>
      <c r="E65" s="36" t="s">
        <v>20</v>
      </c>
      <c r="F65" s="37" t="s">
        <v>21</v>
      </c>
      <c r="G65" s="6"/>
    </row>
    <row r="66" spans="1:7" ht="13.15" customHeight="1" x14ac:dyDescent="0.2">
      <c r="A66" s="127" t="s">
        <v>186</v>
      </c>
      <c r="B66" s="193" t="s">
        <v>7</v>
      </c>
      <c r="C66" s="192">
        <v>12</v>
      </c>
      <c r="D66" s="167">
        <v>170</v>
      </c>
      <c r="E66" s="161">
        <f>IFERROR(D66/C66,0)</f>
        <v>14.166666666666666</v>
      </c>
      <c r="G66" s="6"/>
    </row>
    <row r="67" spans="1:7" ht="13.15" customHeight="1" x14ac:dyDescent="0.2">
      <c r="A67" s="11" t="s">
        <v>8</v>
      </c>
      <c r="B67" s="12" t="s">
        <v>7</v>
      </c>
      <c r="C67" s="192">
        <v>6</v>
      </c>
      <c r="D67" s="167">
        <v>75</v>
      </c>
      <c r="E67" s="161">
        <f t="shared" ref="E67:E71" si="1">IFERROR(D67/C67,0)</f>
        <v>12.5</v>
      </c>
      <c r="G67" s="6"/>
    </row>
    <row r="68" spans="1:7" x14ac:dyDescent="0.2">
      <c r="A68" s="224" t="s">
        <v>134</v>
      </c>
      <c r="B68" s="225" t="s">
        <v>7</v>
      </c>
      <c r="C68" s="192">
        <v>6</v>
      </c>
      <c r="D68" s="226">
        <v>40</v>
      </c>
      <c r="E68" s="227">
        <f t="shared" si="1"/>
        <v>6.666666666666667</v>
      </c>
      <c r="G68" s="6"/>
    </row>
    <row r="69" spans="1:7" x14ac:dyDescent="0.2">
      <c r="A69" s="224" t="s">
        <v>135</v>
      </c>
      <c r="B69" s="225" t="s">
        <v>7</v>
      </c>
      <c r="C69" s="192">
        <v>6</v>
      </c>
      <c r="D69" s="226">
        <v>43</v>
      </c>
      <c r="E69" s="227">
        <f t="shared" si="1"/>
        <v>7.166666666666667</v>
      </c>
      <c r="G69" s="6"/>
    </row>
    <row r="70" spans="1:7" ht="13.9" customHeight="1" x14ac:dyDescent="0.2">
      <c r="A70" s="126" t="s">
        <v>136</v>
      </c>
      <c r="B70" s="12" t="s">
        <v>17</v>
      </c>
      <c r="C70" s="192">
        <v>6</v>
      </c>
      <c r="D70" s="167">
        <v>75</v>
      </c>
      <c r="E70" s="161">
        <f t="shared" si="1"/>
        <v>12.5</v>
      </c>
      <c r="G70" s="6"/>
    </row>
    <row r="71" spans="1:7" ht="13.9" customHeight="1" x14ac:dyDescent="0.2">
      <c r="A71" s="194" t="s">
        <v>142</v>
      </c>
      <c r="B71" s="195" t="s">
        <v>7</v>
      </c>
      <c r="C71" s="192">
        <v>6</v>
      </c>
      <c r="D71" s="167">
        <v>55</v>
      </c>
      <c r="E71" s="161">
        <f t="shared" si="1"/>
        <v>9.1666666666666661</v>
      </c>
      <c r="G71" s="6"/>
    </row>
    <row r="72" spans="1:7" ht="13.5" thickBot="1" x14ac:dyDescent="0.25">
      <c r="A72" s="265" t="s">
        <v>118</v>
      </c>
      <c r="B72" s="266"/>
      <c r="C72" s="47">
        <f>C30+C40</f>
        <v>1</v>
      </c>
      <c r="D72" s="163">
        <f>+SUM(E66:E71)</f>
        <v>62.166666666666657</v>
      </c>
      <c r="E72" s="162">
        <f t="shared" ref="E72" si="2">C72*D72</f>
        <v>62.166666666666657</v>
      </c>
    </row>
    <row r="73" spans="1:7" ht="13.5" thickBot="1" x14ac:dyDescent="0.25">
      <c r="D73" s="49" t="s">
        <v>99</v>
      </c>
      <c r="E73" s="30">
        <f>B20</f>
        <v>1</v>
      </c>
      <c r="F73" s="160">
        <f>E72*E73</f>
        <v>62.166666666666657</v>
      </c>
    </row>
    <row r="74" spans="1:7" ht="11.25" customHeight="1" thickBot="1" x14ac:dyDescent="0.25">
      <c r="G74" s="6"/>
    </row>
    <row r="75" spans="1:7" ht="13.5" thickBot="1" x14ac:dyDescent="0.25">
      <c r="A75" s="129" t="s">
        <v>101</v>
      </c>
      <c r="B75" s="133"/>
      <c r="C75" s="133"/>
      <c r="D75" s="134"/>
      <c r="E75" s="135"/>
      <c r="F75" s="136">
        <f>+F73</f>
        <v>62.166666666666657</v>
      </c>
      <c r="G75" s="6"/>
    </row>
    <row r="76" spans="1:7" ht="11.25" customHeight="1" x14ac:dyDescent="0.2">
      <c r="G76" s="6"/>
    </row>
    <row r="77" spans="1:7" ht="11.25" customHeight="1" thickBot="1" x14ac:dyDescent="0.25">
      <c r="A77" s="8" t="s">
        <v>139</v>
      </c>
      <c r="B77" s="4"/>
      <c r="C77" s="4"/>
      <c r="D77" s="128"/>
      <c r="E77" s="128"/>
      <c r="F77" s="128"/>
      <c r="G77" s="6"/>
    </row>
    <row r="78" spans="1:7" ht="11.25" customHeight="1" thickBot="1" x14ac:dyDescent="0.25">
      <c r="A78" s="34" t="s">
        <v>18</v>
      </c>
      <c r="B78" s="35" t="s">
        <v>19</v>
      </c>
      <c r="C78" s="35" t="s">
        <v>11</v>
      </c>
      <c r="D78" s="36" t="s">
        <v>94</v>
      </c>
      <c r="E78" s="36" t="s">
        <v>20</v>
      </c>
      <c r="F78" s="37" t="s">
        <v>21</v>
      </c>
      <c r="G78" s="6"/>
    </row>
    <row r="79" spans="1:7" ht="28.5" customHeight="1" x14ac:dyDescent="0.2">
      <c r="A79" s="234" t="s">
        <v>175</v>
      </c>
      <c r="B79" s="228" t="s">
        <v>140</v>
      </c>
      <c r="C79" s="229">
        <f>21*20</f>
        <v>420</v>
      </c>
      <c r="D79" s="230">
        <v>2.2000000000000002</v>
      </c>
      <c r="E79" s="231">
        <f>C79*D79</f>
        <v>924.00000000000011</v>
      </c>
      <c r="F79" s="128"/>
      <c r="G79" s="6"/>
    </row>
    <row r="80" spans="1:7" ht="26.25" thickBot="1" x14ac:dyDescent="0.25">
      <c r="A80" s="234" t="s">
        <v>141</v>
      </c>
      <c r="B80" s="228" t="s">
        <v>137</v>
      </c>
      <c r="C80" s="229">
        <v>1</v>
      </c>
      <c r="D80" s="230">
        <v>2500</v>
      </c>
      <c r="E80" s="231">
        <f>C80*D80</f>
        <v>2500</v>
      </c>
      <c r="F80" s="128"/>
      <c r="G80" s="6"/>
    </row>
    <row r="81" spans="1:7" ht="11.25" customHeight="1" thickBot="1" x14ac:dyDescent="0.25">
      <c r="A81" s="9"/>
      <c r="B81" s="9"/>
      <c r="C81" s="9"/>
      <c r="D81" s="214" t="s">
        <v>126</v>
      </c>
      <c r="E81" s="215">
        <v>1</v>
      </c>
      <c r="F81" s="199">
        <f>SUM(E79:E80)</f>
        <v>3424</v>
      </c>
      <c r="G81" s="6"/>
    </row>
    <row r="82" spans="1:7" ht="11.25" customHeight="1" x14ac:dyDescent="0.2">
      <c r="G82" s="6"/>
    </row>
    <row r="83" spans="1:7" ht="11.25" customHeight="1" thickBot="1" x14ac:dyDescent="0.25">
      <c r="G83" s="6"/>
    </row>
    <row r="84" spans="1:7" ht="11.25" customHeight="1" thickBot="1" x14ac:dyDescent="0.25">
      <c r="A84" s="14" t="s">
        <v>119</v>
      </c>
      <c r="B84" s="187"/>
      <c r="C84" s="187"/>
      <c r="D84" s="188"/>
      <c r="E84" s="189"/>
      <c r="F84" s="200">
        <f>F61+F75+F81</f>
        <v>8588.4003666666686</v>
      </c>
      <c r="G84" s="6"/>
    </row>
    <row r="85" spans="1:7" ht="11.25" customHeight="1" x14ac:dyDescent="0.2">
      <c r="G85" s="6"/>
    </row>
    <row r="86" spans="1:7" ht="13.5" thickBot="1" x14ac:dyDescent="0.25">
      <c r="A86" s="8" t="s">
        <v>130</v>
      </c>
      <c r="B86" s="8"/>
      <c r="C86" s="8"/>
      <c r="D86" s="20"/>
      <c r="E86" s="20"/>
      <c r="F86" s="19"/>
    </row>
    <row r="87" spans="1:7" x14ac:dyDescent="0.2">
      <c r="A87" s="41" t="s">
        <v>18</v>
      </c>
      <c r="B87" s="42" t="s">
        <v>19</v>
      </c>
      <c r="C87" s="42" t="s">
        <v>11</v>
      </c>
      <c r="D87" s="43" t="s">
        <v>94</v>
      </c>
      <c r="E87" s="43" t="s">
        <v>20</v>
      </c>
      <c r="F87" s="150" t="s">
        <v>21</v>
      </c>
    </row>
    <row r="88" spans="1:7" x14ac:dyDescent="0.2">
      <c r="A88" s="147" t="s">
        <v>9</v>
      </c>
      <c r="B88" s="172" t="s">
        <v>1</v>
      </c>
      <c r="C88" s="222">
        <f>'4. BDI'!C17</f>
        <v>0.2155</v>
      </c>
      <c r="D88" s="148">
        <f>F84</f>
        <v>8588.4003666666686</v>
      </c>
      <c r="E88" s="148">
        <f>D88*C88</f>
        <v>1850.800279016667</v>
      </c>
      <c r="F88" s="149"/>
    </row>
    <row r="89" spans="1:7" ht="13.5" thickBot="1" x14ac:dyDescent="0.25">
      <c r="A89" s="145"/>
      <c r="B89" s="145"/>
      <c r="C89" s="145"/>
      <c r="D89" s="145"/>
      <c r="E89" s="145"/>
      <c r="F89" s="146"/>
    </row>
    <row r="90" spans="1:7" ht="13.5" thickBot="1" x14ac:dyDescent="0.25">
      <c r="A90" s="267" t="s">
        <v>132</v>
      </c>
      <c r="B90" s="268"/>
      <c r="C90" s="268"/>
      <c r="D90" s="268"/>
      <c r="E90" s="269"/>
      <c r="F90" s="136">
        <f>E88</f>
        <v>1850.800279016667</v>
      </c>
    </row>
    <row r="91" spans="1:7" ht="11.25" customHeight="1" thickBot="1" x14ac:dyDescent="0.25"/>
    <row r="92" spans="1:7" ht="24.75" customHeight="1" thickBot="1" x14ac:dyDescent="0.25">
      <c r="A92" s="14" t="s">
        <v>102</v>
      </c>
      <c r="B92" s="16"/>
      <c r="C92" s="16"/>
      <c r="D92" s="17"/>
      <c r="E92" s="18"/>
      <c r="F92" s="138">
        <f>F61+F75+F90+F81</f>
        <v>10439.200645683335</v>
      </c>
    </row>
    <row r="93" spans="1:7" ht="13.5" customHeight="1" x14ac:dyDescent="0.2">
      <c r="A93" s="8"/>
      <c r="D93" s="33"/>
      <c r="E93" s="33"/>
      <c r="F93" s="218"/>
    </row>
    <row r="94" spans="1:7" ht="13.5" hidden="1" customHeight="1" thickBot="1" x14ac:dyDescent="0.25">
      <c r="A94" s="14" t="s">
        <v>115</v>
      </c>
      <c r="B94" s="187"/>
      <c r="C94" s="187"/>
      <c r="D94" s="188"/>
      <c r="E94" s="189"/>
      <c r="F94" s="138">
        <f>F92/C72</f>
        <v>10439.200645683335</v>
      </c>
    </row>
    <row r="95" spans="1:7" ht="12.6" hidden="1" customHeight="1" thickBot="1" x14ac:dyDescent="0.25">
      <c r="A95" s="31"/>
      <c r="B95" s="31"/>
      <c r="C95" s="31"/>
      <c r="D95" s="32"/>
      <c r="E95" s="32"/>
      <c r="F95" s="32"/>
      <c r="G95" s="179"/>
    </row>
    <row r="96" spans="1:7" ht="12.6" hidden="1" customHeight="1" thickBot="1" x14ac:dyDescent="0.25">
      <c r="A96" s="243" t="s">
        <v>144</v>
      </c>
      <c r="B96" s="241">
        <f>165.43/40*44</f>
        <v>181.97299999999998</v>
      </c>
      <c r="C96" s="246" t="s">
        <v>146</v>
      </c>
      <c r="D96" s="244"/>
      <c r="E96" s="245"/>
      <c r="F96" s="242">
        <f>F94/B96</f>
        <v>57.366755758729788</v>
      </c>
      <c r="G96" s="179"/>
    </row>
    <row r="97" spans="1:7" ht="12.6" hidden="1" customHeight="1" x14ac:dyDescent="0.2">
      <c r="A97" s="31"/>
      <c r="B97" s="31"/>
      <c r="C97" s="31"/>
      <c r="D97" s="32"/>
      <c r="E97" s="32"/>
      <c r="F97" s="32"/>
      <c r="G97" s="179"/>
    </row>
    <row r="98" spans="1:7" x14ac:dyDescent="0.2">
      <c r="A98" s="8" t="s">
        <v>131</v>
      </c>
      <c r="B98" s="4"/>
      <c r="C98" s="4"/>
      <c r="D98" s="128"/>
      <c r="E98" s="128"/>
      <c r="F98" s="218"/>
    </row>
    <row r="99" spans="1:7" x14ac:dyDescent="0.2">
      <c r="F99" s="219"/>
    </row>
    <row r="100" spans="1:7" x14ac:dyDescent="0.2">
      <c r="F100" s="220"/>
    </row>
    <row r="101" spans="1:7" x14ac:dyDescent="0.2">
      <c r="F101" s="143"/>
    </row>
    <row r="125" s="6" customFormat="1" ht="9" customHeight="1" x14ac:dyDescent="0.2"/>
  </sheetData>
  <mergeCells count="12">
    <mergeCell ref="A32:D32"/>
    <mergeCell ref="A41:C41"/>
    <mergeCell ref="A72:B72"/>
    <mergeCell ref="A90:E90"/>
    <mergeCell ref="A1:F1"/>
    <mergeCell ref="A2:F3"/>
    <mergeCell ref="A4:F4"/>
    <mergeCell ref="A6:F6"/>
    <mergeCell ref="A14:C14"/>
    <mergeCell ref="A23:F23"/>
    <mergeCell ref="A54:C54"/>
    <mergeCell ref="A59:C59"/>
  </mergeCells>
  <printOptions horizontalCentered="1"/>
  <pageMargins left="0.9055118110236221" right="0.70866141732283472" top="0.74803149606299213" bottom="0.55118110236220474" header="0.31496062992125984" footer="0.31496062992125984"/>
  <pageSetup paperSize="9" scale="68" fitToHeight="2" orientation="portrait" r:id="rId1"/>
  <headerFooter alignWithMargins="0">
    <oddFooter>&amp;R&amp;P de &amp;N</oddFooter>
  </headerFooter>
  <rowBreaks count="1" manualBreakCount="1">
    <brk id="20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55"/>
  <sheetViews>
    <sheetView topLeftCell="A11" workbookViewId="0">
      <selection activeCell="A2" sqref="A2"/>
    </sheetView>
  </sheetViews>
  <sheetFormatPr defaultColWidth="9.140625" defaultRowHeight="12.75" x14ac:dyDescent="0.2"/>
  <cols>
    <col min="1" max="1" width="13.5703125" style="1" customWidth="1"/>
    <col min="2" max="2" width="42.7109375" style="1" customWidth="1"/>
    <col min="3" max="3" width="14.5703125" style="1" customWidth="1"/>
    <col min="4" max="9" width="9.140625" style="1"/>
    <col min="10" max="10" width="11" style="1" bestFit="1" customWidth="1"/>
    <col min="11" max="16384" width="9.140625" style="1"/>
  </cols>
  <sheetData>
    <row r="1" spans="1:5" x14ac:dyDescent="0.2">
      <c r="A1" s="8" t="s">
        <v>89</v>
      </c>
    </row>
    <row r="2" spans="1:5" ht="13.5" thickBot="1" x14ac:dyDescent="0.25"/>
    <row r="3" spans="1:5" ht="18" x14ac:dyDescent="0.2">
      <c r="A3" s="287" t="s">
        <v>138</v>
      </c>
      <c r="B3" s="288"/>
      <c r="C3" s="289"/>
      <c r="D3" s="57"/>
      <c r="E3" s="57"/>
    </row>
    <row r="4" spans="1:5" ht="14.25" x14ac:dyDescent="0.2">
      <c r="A4" s="63" t="s">
        <v>36</v>
      </c>
      <c r="B4" s="64" t="s">
        <v>37</v>
      </c>
      <c r="C4" s="65" t="s">
        <v>38</v>
      </c>
    </row>
    <row r="5" spans="1:5" ht="14.25" x14ac:dyDescent="0.2">
      <c r="A5" s="63" t="s">
        <v>39</v>
      </c>
      <c r="B5" s="64" t="s">
        <v>12</v>
      </c>
      <c r="C5" s="67">
        <v>0.2</v>
      </c>
    </row>
    <row r="6" spans="1:5" ht="14.25" x14ac:dyDescent="0.2">
      <c r="A6" s="63" t="s">
        <v>40</v>
      </c>
      <c r="B6" s="64" t="s">
        <v>41</v>
      </c>
      <c r="C6" s="67">
        <v>1.4999999999999999E-2</v>
      </c>
    </row>
    <row r="7" spans="1:5" ht="14.25" x14ac:dyDescent="0.2">
      <c r="A7" s="63" t="s">
        <v>42</v>
      </c>
      <c r="B7" s="64" t="s">
        <v>43</v>
      </c>
      <c r="C7" s="67">
        <v>0.01</v>
      </c>
    </row>
    <row r="8" spans="1:5" ht="14.25" x14ac:dyDescent="0.2">
      <c r="A8" s="63" t="s">
        <v>44</v>
      </c>
      <c r="B8" s="64" t="s">
        <v>45</v>
      </c>
      <c r="C8" s="67">
        <v>2E-3</v>
      </c>
    </row>
    <row r="9" spans="1:5" ht="14.25" x14ac:dyDescent="0.2">
      <c r="A9" s="63" t="s">
        <v>46</v>
      </c>
      <c r="B9" s="64" t="s">
        <v>47</v>
      </c>
      <c r="C9" s="67">
        <v>6.0000000000000001E-3</v>
      </c>
    </row>
    <row r="10" spans="1:5" ht="14.25" x14ac:dyDescent="0.2">
      <c r="A10" s="63" t="s">
        <v>48</v>
      </c>
      <c r="B10" s="64" t="s">
        <v>49</v>
      </c>
      <c r="C10" s="67">
        <v>2.5000000000000001E-2</v>
      </c>
    </row>
    <row r="11" spans="1:5" ht="14.25" x14ac:dyDescent="0.2">
      <c r="A11" s="63" t="s">
        <v>50</v>
      </c>
      <c r="B11" s="64" t="s">
        <v>112</v>
      </c>
      <c r="C11" s="67">
        <v>0.03</v>
      </c>
    </row>
    <row r="12" spans="1:5" ht="14.25" x14ac:dyDescent="0.2">
      <c r="A12" s="63" t="s">
        <v>51</v>
      </c>
      <c r="B12" s="64" t="s">
        <v>13</v>
      </c>
      <c r="C12" s="67">
        <v>0.08</v>
      </c>
    </row>
    <row r="13" spans="1:5" ht="15" x14ac:dyDescent="0.2">
      <c r="A13" s="63" t="s">
        <v>52</v>
      </c>
      <c r="B13" s="68" t="s">
        <v>53</v>
      </c>
      <c r="C13" s="69">
        <f>SUM(C5:C12)</f>
        <v>0.36800000000000005</v>
      </c>
    </row>
    <row r="14" spans="1:5" ht="15" x14ac:dyDescent="0.2">
      <c r="A14" s="70"/>
      <c r="B14" s="71"/>
      <c r="C14" s="72"/>
    </row>
    <row r="15" spans="1:5" ht="14.25" x14ac:dyDescent="0.2">
      <c r="A15" s="63" t="s">
        <v>54</v>
      </c>
      <c r="B15" s="73" t="s">
        <v>55</v>
      </c>
      <c r="C15" s="67">
        <v>6.5000000000000002E-2</v>
      </c>
    </row>
    <row r="16" spans="1:5" ht="14.25" x14ac:dyDescent="0.2">
      <c r="A16" s="63" t="s">
        <v>56</v>
      </c>
      <c r="B16" s="73" t="s">
        <v>57</v>
      </c>
      <c r="C16" s="67">
        <v>8.3299999999999999E-2</v>
      </c>
    </row>
    <row r="17" spans="1:7" ht="14.25" x14ac:dyDescent="0.2">
      <c r="A17" s="63" t="s">
        <v>93</v>
      </c>
      <c r="B17" s="73" t="s">
        <v>117</v>
      </c>
      <c r="C17" s="67">
        <v>5.9999999999999995E-4</v>
      </c>
    </row>
    <row r="18" spans="1:7" ht="14.25" x14ac:dyDescent="0.2">
      <c r="A18" s="63" t="s">
        <v>58</v>
      </c>
      <c r="B18" s="73" t="s">
        <v>60</v>
      </c>
      <c r="C18" s="67">
        <v>5.0000000000000001E-3</v>
      </c>
    </row>
    <row r="19" spans="1:7" ht="15" customHeight="1" x14ac:dyDescent="0.2">
      <c r="A19" s="63" t="s">
        <v>59</v>
      </c>
      <c r="B19" s="73" t="s">
        <v>62</v>
      </c>
      <c r="C19" s="67">
        <v>3.0999999999999999E-3</v>
      </c>
    </row>
    <row r="20" spans="1:7" ht="14.25" x14ac:dyDescent="0.2">
      <c r="A20" s="63" t="s">
        <v>61</v>
      </c>
      <c r="B20" s="73" t="s">
        <v>63</v>
      </c>
      <c r="C20" s="67">
        <v>5.0000000000000001E-3</v>
      </c>
    </row>
    <row r="21" spans="1:7" ht="15" x14ac:dyDescent="0.2">
      <c r="A21" s="63" t="s">
        <v>64</v>
      </c>
      <c r="B21" s="68" t="s">
        <v>65</v>
      </c>
      <c r="C21" s="69">
        <f>SUM(C15:C20)</f>
        <v>0.16199999999999998</v>
      </c>
    </row>
    <row r="22" spans="1:7" ht="15" x14ac:dyDescent="0.2">
      <c r="A22" s="70"/>
      <c r="B22" s="71"/>
      <c r="C22" s="72"/>
    </row>
    <row r="23" spans="1:7" ht="14.25" x14ac:dyDescent="0.2">
      <c r="A23" s="63" t="s">
        <v>66</v>
      </c>
      <c r="B23" s="64" t="s">
        <v>67</v>
      </c>
      <c r="C23" s="67">
        <v>2.3E-2</v>
      </c>
      <c r="D23" s="74"/>
    </row>
    <row r="24" spans="1:7" ht="14.25" x14ac:dyDescent="0.2">
      <c r="A24" s="63" t="s">
        <v>92</v>
      </c>
      <c r="B24" s="64" t="s">
        <v>69</v>
      </c>
      <c r="C24" s="67">
        <v>4.6100000000000002E-2</v>
      </c>
      <c r="G24" s="75"/>
    </row>
    <row r="25" spans="1:7" ht="14.25" x14ac:dyDescent="0.2">
      <c r="A25" s="63" t="s">
        <v>68</v>
      </c>
      <c r="B25" s="64" t="s">
        <v>71</v>
      </c>
      <c r="C25" s="67">
        <v>4.1000000000000003E-3</v>
      </c>
    </row>
    <row r="26" spans="1:7" ht="14.25" x14ac:dyDescent="0.2">
      <c r="A26" s="63" t="s">
        <v>70</v>
      </c>
      <c r="B26" s="64" t="s">
        <v>73</v>
      </c>
      <c r="C26" s="67">
        <v>2.4E-2</v>
      </c>
      <c r="F26" s="74"/>
    </row>
    <row r="27" spans="1:7" ht="14.25" x14ac:dyDescent="0.2">
      <c r="A27" s="63" t="s">
        <v>72</v>
      </c>
      <c r="B27" s="64" t="s">
        <v>74</v>
      </c>
      <c r="C27" s="67">
        <v>2.5999999999999999E-3</v>
      </c>
    </row>
    <row r="28" spans="1:7" ht="15" x14ac:dyDescent="0.2">
      <c r="A28" s="63" t="s">
        <v>75</v>
      </c>
      <c r="B28" s="68" t="s">
        <v>76</v>
      </c>
      <c r="C28" s="69">
        <f>SUM(C23:C27)</f>
        <v>9.9800000000000014E-2</v>
      </c>
    </row>
    <row r="29" spans="1:7" ht="15" x14ac:dyDescent="0.2">
      <c r="A29" s="70"/>
      <c r="B29" s="71"/>
      <c r="C29" s="72"/>
    </row>
    <row r="30" spans="1:7" ht="14.25" x14ac:dyDescent="0.2">
      <c r="A30" s="63" t="s">
        <v>77</v>
      </c>
      <c r="B30" s="64" t="s">
        <v>78</v>
      </c>
      <c r="C30" s="67">
        <f>ROUND(C13*C21,4)</f>
        <v>5.96E-2</v>
      </c>
    </row>
    <row r="31" spans="1:7" ht="28.5" x14ac:dyDescent="0.2">
      <c r="A31" s="63" t="s">
        <v>79</v>
      </c>
      <c r="B31" s="76" t="s">
        <v>80</v>
      </c>
      <c r="C31" s="67">
        <f>ROUND((C23*C13),4)</f>
        <v>8.5000000000000006E-3</v>
      </c>
    </row>
    <row r="32" spans="1:7" ht="15" x14ac:dyDescent="0.2">
      <c r="A32" s="63" t="s">
        <v>81</v>
      </c>
      <c r="B32" s="68" t="s">
        <v>82</v>
      </c>
      <c r="C32" s="69">
        <f>SUM(C30:C31)</f>
        <v>6.8099999999999994E-2</v>
      </c>
    </row>
    <row r="33" spans="1:3" ht="15.75" thickBot="1" x14ac:dyDescent="0.25">
      <c r="A33" s="78"/>
      <c r="B33" s="79" t="s">
        <v>83</v>
      </c>
      <c r="C33" s="80">
        <f>C32+C28+C21+C13</f>
        <v>0.69789999999999996</v>
      </c>
    </row>
    <row r="34" spans="1:3" ht="15" x14ac:dyDescent="0.2">
      <c r="A34" s="66"/>
      <c r="B34" s="81"/>
      <c r="C34" s="82"/>
    </row>
    <row r="35" spans="1:3" ht="14.25" x14ac:dyDescent="0.2">
      <c r="A35" s="66"/>
      <c r="B35" s="66"/>
      <c r="C35" s="83"/>
    </row>
    <row r="36" spans="1:3" ht="14.25" x14ac:dyDescent="0.2">
      <c r="A36" s="66"/>
      <c r="B36" s="66"/>
      <c r="C36" s="83"/>
    </row>
    <row r="37" spans="1:3" ht="14.25" x14ac:dyDescent="0.2">
      <c r="A37" s="66"/>
      <c r="B37" s="66"/>
      <c r="C37" s="83"/>
    </row>
    <row r="38" spans="1:3" ht="14.25" x14ac:dyDescent="0.2">
      <c r="A38" s="66"/>
      <c r="B38" s="66"/>
      <c r="C38" s="83"/>
    </row>
    <row r="39" spans="1:3" ht="15" x14ac:dyDescent="0.2">
      <c r="A39" s="66"/>
      <c r="B39" s="81"/>
      <c r="C39" s="82"/>
    </row>
    <row r="40" spans="1:3" ht="15" x14ac:dyDescent="0.2">
      <c r="A40" s="77"/>
      <c r="B40" s="81"/>
      <c r="C40" s="82"/>
    </row>
    <row r="41" spans="1:3" ht="16.5" x14ac:dyDescent="0.2">
      <c r="A41" s="84"/>
    </row>
    <row r="42" spans="1:3" x14ac:dyDescent="0.2">
      <c r="A42" s="85"/>
      <c r="B42" s="86"/>
      <c r="C42" s="86"/>
    </row>
    <row r="43" spans="1:3" ht="14.25" x14ac:dyDescent="0.2">
      <c r="A43" s="66"/>
      <c r="B43" s="87"/>
      <c r="C43" s="86"/>
    </row>
    <row r="44" spans="1:3" ht="14.25" x14ac:dyDescent="0.2">
      <c r="A44" s="66"/>
      <c r="B44" s="87"/>
      <c r="C44" s="66"/>
    </row>
    <row r="45" spans="1:3" ht="14.25" x14ac:dyDescent="0.2">
      <c r="A45" s="66"/>
      <c r="B45" s="83"/>
      <c r="C45" s="86"/>
    </row>
    <row r="46" spans="1:3" ht="14.25" x14ac:dyDescent="0.2">
      <c r="A46" s="66"/>
      <c r="B46" s="87"/>
      <c r="C46" s="66"/>
    </row>
    <row r="47" spans="1:3" ht="14.25" x14ac:dyDescent="0.2">
      <c r="A47" s="66"/>
      <c r="B47" s="83"/>
      <c r="C47" s="86"/>
    </row>
    <row r="48" spans="1:3" ht="14.25" x14ac:dyDescent="0.2">
      <c r="A48" s="66"/>
      <c r="B48" s="87"/>
      <c r="C48" s="66"/>
    </row>
    <row r="49" spans="1:3" ht="14.25" x14ac:dyDescent="0.2">
      <c r="A49" s="66"/>
      <c r="B49" s="83"/>
      <c r="C49" s="86"/>
    </row>
    <row r="50" spans="1:3" ht="14.25" x14ac:dyDescent="0.2">
      <c r="A50" s="66"/>
      <c r="B50" s="87"/>
      <c r="C50" s="66"/>
    </row>
    <row r="51" spans="1:3" ht="14.25" x14ac:dyDescent="0.2">
      <c r="A51" s="66"/>
      <c r="B51" s="83"/>
      <c r="C51" s="86"/>
    </row>
    <row r="52" spans="1:3" ht="16.5" x14ac:dyDescent="0.2">
      <c r="A52" s="84"/>
    </row>
    <row r="55" spans="1:3" x14ac:dyDescent="0.2">
      <c r="A55" s="88"/>
    </row>
  </sheetData>
  <mergeCells count="1">
    <mergeCell ref="A3:C3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H26"/>
  <sheetViews>
    <sheetView workbookViewId="0">
      <selection activeCell="A2" sqref="A2"/>
    </sheetView>
  </sheetViews>
  <sheetFormatPr defaultRowHeight="12.75" x14ac:dyDescent="0.2"/>
  <cols>
    <col min="1" max="1" width="32.140625" customWidth="1"/>
    <col min="2" max="2" width="13.7109375" customWidth="1"/>
    <col min="3" max="3" width="25.7109375" customWidth="1"/>
    <col min="4" max="4" width="9.7109375" hidden="1" customWidth="1"/>
    <col min="5" max="5" width="8" style="48" hidden="1" customWidth="1"/>
    <col min="6" max="6" width="9.7109375" hidden="1" customWidth="1"/>
  </cols>
  <sheetData>
    <row r="1" spans="1:8" s="55" customFormat="1" ht="14.25" x14ac:dyDescent="0.2">
      <c r="A1" s="8" t="s">
        <v>89</v>
      </c>
      <c r="B1" s="5"/>
      <c r="C1" s="5"/>
      <c r="E1" s="56"/>
    </row>
    <row r="2" spans="1:8" s="55" customFormat="1" ht="14.25" x14ac:dyDescent="0.2">
      <c r="A2" s="54" t="s">
        <v>96</v>
      </c>
      <c r="B2" s="5"/>
      <c r="C2" s="5"/>
      <c r="E2" s="56"/>
    </row>
    <row r="3" spans="1:8" s="55" customFormat="1" ht="14.25" x14ac:dyDescent="0.2">
      <c r="A3" s="6" t="s">
        <v>90</v>
      </c>
      <c r="B3" s="5"/>
      <c r="C3" s="5"/>
      <c r="E3" s="56"/>
    </row>
    <row r="4" spans="1:8" s="55" customFormat="1" ht="14.25" x14ac:dyDescent="0.2">
      <c r="A4" s="54"/>
      <c r="B4" s="5"/>
      <c r="C4" s="5"/>
      <c r="E4" s="56"/>
    </row>
    <row r="5" spans="1:8" s="55" customFormat="1" ht="15" thickBot="1" x14ac:dyDescent="0.25">
      <c r="B5" s="5"/>
      <c r="C5" s="5"/>
      <c r="E5" s="56"/>
    </row>
    <row r="6" spans="1:8" ht="16.5" thickBot="1" x14ac:dyDescent="0.25">
      <c r="A6" s="297" t="s">
        <v>128</v>
      </c>
      <c r="B6" s="298"/>
      <c r="C6" s="298"/>
      <c r="D6" s="298"/>
      <c r="E6" s="298"/>
      <c r="F6" s="299"/>
    </row>
    <row r="7" spans="1:8" ht="15" x14ac:dyDescent="0.25">
      <c r="A7" s="91"/>
      <c r="B7" s="5"/>
      <c r="C7" s="5"/>
      <c r="D7" s="294" t="s">
        <v>95</v>
      </c>
      <c r="E7" s="295"/>
      <c r="F7" s="296"/>
      <c r="G7" s="55"/>
      <c r="H7" s="55"/>
    </row>
    <row r="8" spans="1:8" ht="15" thickBot="1" x14ac:dyDescent="0.25">
      <c r="A8" s="90"/>
      <c r="B8" s="55"/>
      <c r="C8" s="55"/>
      <c r="D8" s="92" t="s">
        <v>113</v>
      </c>
      <c r="E8" s="93" t="s">
        <v>84</v>
      </c>
      <c r="F8" s="94" t="s">
        <v>127</v>
      </c>
      <c r="G8" s="55"/>
      <c r="H8" s="55"/>
    </row>
    <row r="9" spans="1:8" ht="14.25" x14ac:dyDescent="0.2">
      <c r="A9" s="95" t="s">
        <v>22</v>
      </c>
      <c r="B9" s="96" t="s">
        <v>23</v>
      </c>
      <c r="C9" s="97">
        <v>0.04</v>
      </c>
      <c r="D9" s="115">
        <v>2.9700000000000001E-2</v>
      </c>
      <c r="E9" s="116">
        <v>5.0799999999999998E-2</v>
      </c>
      <c r="F9" s="117">
        <v>6.2700000000000006E-2</v>
      </c>
      <c r="G9" s="55"/>
      <c r="H9" s="55"/>
    </row>
    <row r="10" spans="1:8" ht="14.25" x14ac:dyDescent="0.2">
      <c r="A10" s="99" t="s">
        <v>24</v>
      </c>
      <c r="B10" s="100" t="s">
        <v>25</v>
      </c>
      <c r="C10" s="101">
        <v>8.6E-3</v>
      </c>
      <c r="D10" s="115">
        <v>8.6E-3</v>
      </c>
      <c r="E10" s="116">
        <f>0.48%+0.85%</f>
        <v>1.3299999999999999E-2</v>
      </c>
      <c r="F10" s="117">
        <f>0.82%+0.89%</f>
        <v>1.7099999999999997E-2</v>
      </c>
      <c r="G10" s="55"/>
      <c r="H10" s="55"/>
    </row>
    <row r="11" spans="1:8" ht="14.25" x14ac:dyDescent="0.2">
      <c r="A11" s="99" t="s">
        <v>26</v>
      </c>
      <c r="B11" s="100" t="s">
        <v>27</v>
      </c>
      <c r="C11" s="101">
        <v>0.08</v>
      </c>
      <c r="D11" s="115">
        <v>7.8E-2</v>
      </c>
      <c r="E11" s="116">
        <v>0.1085</v>
      </c>
      <c r="F11" s="117">
        <v>0.13550000000000001</v>
      </c>
      <c r="G11" s="55"/>
      <c r="H11" s="55"/>
    </row>
    <row r="12" spans="1:8" ht="14.25" x14ac:dyDescent="0.2">
      <c r="A12" s="99" t="s">
        <v>28</v>
      </c>
      <c r="B12" s="100" t="s">
        <v>29</v>
      </c>
      <c r="C12" s="101">
        <v>1.9E-3</v>
      </c>
      <c r="D12" s="115" t="s">
        <v>114</v>
      </c>
      <c r="E12" s="102">
        <v>0.12</v>
      </c>
      <c r="F12" s="98"/>
      <c r="G12" s="55"/>
      <c r="H12" s="55"/>
    </row>
    <row r="13" spans="1:8" ht="14.25" x14ac:dyDescent="0.2">
      <c r="A13" s="99" t="s">
        <v>30</v>
      </c>
      <c r="B13" s="292" t="s">
        <v>31</v>
      </c>
      <c r="C13" s="101">
        <v>0.03</v>
      </c>
      <c r="D13" s="125" t="s">
        <v>85</v>
      </c>
      <c r="E13" s="106">
        <v>5</v>
      </c>
      <c r="F13" s="103"/>
      <c r="G13" s="55"/>
      <c r="H13" s="55"/>
    </row>
    <row r="14" spans="1:8" ht="15" thickBot="1" x14ac:dyDescent="0.25">
      <c r="A14" s="104" t="s">
        <v>32</v>
      </c>
      <c r="B14" s="293"/>
      <c r="C14" s="105">
        <v>3.6499999999999998E-2</v>
      </c>
      <c r="D14" s="89"/>
      <c r="E14" s="142"/>
      <c r="F14" s="103"/>
      <c r="G14" s="55"/>
      <c r="H14" s="55"/>
    </row>
    <row r="15" spans="1:8" ht="14.25" x14ac:dyDescent="0.2">
      <c r="A15" s="107" t="s">
        <v>33</v>
      </c>
      <c r="B15" s="108"/>
      <c r="C15" s="109"/>
      <c r="D15" s="89"/>
      <c r="E15" s="106"/>
      <c r="F15" s="103"/>
      <c r="G15" s="55"/>
      <c r="H15" s="55"/>
    </row>
    <row r="16" spans="1:8" ht="15" thickBot="1" x14ac:dyDescent="0.25">
      <c r="A16" s="110" t="s">
        <v>34</v>
      </c>
      <c r="B16" s="111"/>
      <c r="C16" s="112"/>
      <c r="D16" s="89"/>
      <c r="E16" s="106"/>
      <c r="F16" s="103"/>
      <c r="G16" s="55"/>
      <c r="H16" s="55"/>
    </row>
    <row r="17" spans="1:8" ht="15.75" thickBot="1" x14ac:dyDescent="0.25">
      <c r="A17" s="113" t="s">
        <v>35</v>
      </c>
      <c r="B17" s="114"/>
      <c r="C17" s="221">
        <f>ROUND((((1+C9+C10)*(1+C11)*(1+C12))/(1-(C13+C14))-1),4)</f>
        <v>0.2155</v>
      </c>
      <c r="D17" s="118"/>
      <c r="E17" s="119"/>
      <c r="F17" s="120"/>
      <c r="G17" s="55"/>
      <c r="H17" s="55"/>
    </row>
    <row r="18" spans="1:8" ht="14.25" x14ac:dyDescent="0.2">
      <c r="A18" s="55"/>
      <c r="B18" s="55"/>
      <c r="C18" s="55"/>
      <c r="D18" s="55"/>
      <c r="E18" s="56"/>
      <c r="F18" s="55"/>
      <c r="G18" s="55"/>
      <c r="H18" s="55"/>
    </row>
    <row r="19" spans="1:8" ht="14.25" x14ac:dyDescent="0.2">
      <c r="A19" s="291" t="s">
        <v>103</v>
      </c>
      <c r="B19" s="291"/>
      <c r="C19" s="291"/>
      <c r="D19" s="291"/>
      <c r="E19" s="291"/>
      <c r="F19" s="291"/>
      <c r="G19" s="55"/>
      <c r="H19" s="55"/>
    </row>
    <row r="20" spans="1:8" ht="14.25" x14ac:dyDescent="0.2">
      <c r="A20" s="291" t="s">
        <v>104</v>
      </c>
      <c r="B20" s="291"/>
      <c r="C20" s="291"/>
      <c r="D20" s="291"/>
      <c r="E20" s="291"/>
      <c r="F20" s="291"/>
      <c r="G20" s="55"/>
      <c r="H20" s="55"/>
    </row>
    <row r="21" spans="1:8" ht="14.25" x14ac:dyDescent="0.2">
      <c r="A21" s="291" t="s">
        <v>105</v>
      </c>
      <c r="B21" s="291"/>
      <c r="C21" s="291"/>
      <c r="D21" s="291"/>
      <c r="E21" s="291"/>
      <c r="F21" s="291"/>
      <c r="G21" s="55"/>
      <c r="H21" s="55"/>
    </row>
    <row r="22" spans="1:8" ht="14.25" x14ac:dyDescent="0.2">
      <c r="A22" s="291" t="s">
        <v>106</v>
      </c>
      <c r="B22" s="291"/>
      <c r="C22" s="291"/>
      <c r="D22" s="291"/>
      <c r="E22" s="291"/>
      <c r="F22" s="291"/>
    </row>
    <row r="23" spans="1:8" ht="14.25" x14ac:dyDescent="0.2">
      <c r="A23" s="291" t="s">
        <v>107</v>
      </c>
      <c r="B23" s="291"/>
      <c r="C23" s="291"/>
      <c r="D23" s="291"/>
      <c r="E23" s="291"/>
      <c r="F23" s="291"/>
    </row>
    <row r="24" spans="1:8" ht="14.25" x14ac:dyDescent="0.2">
      <c r="A24" s="291" t="s">
        <v>108</v>
      </c>
      <c r="B24" s="291"/>
      <c r="C24" s="291"/>
      <c r="D24" s="291"/>
      <c r="E24" s="291"/>
      <c r="F24" s="291"/>
    </row>
    <row r="25" spans="1:8" ht="14.25" x14ac:dyDescent="0.2">
      <c r="A25" s="291" t="s">
        <v>109</v>
      </c>
      <c r="B25" s="291"/>
      <c r="C25" s="291"/>
      <c r="D25" s="291"/>
      <c r="E25" s="291"/>
      <c r="F25" s="291"/>
    </row>
    <row r="26" spans="1:8" ht="14.25" x14ac:dyDescent="0.2">
      <c r="A26" s="290"/>
      <c r="B26" s="290"/>
      <c r="C26" s="290"/>
      <c r="D26" s="290"/>
      <c r="E26" s="290"/>
      <c r="F26" s="290"/>
    </row>
  </sheetData>
  <mergeCells count="11">
    <mergeCell ref="B13:B14"/>
    <mergeCell ref="D7:F7"/>
    <mergeCell ref="A6:F6"/>
    <mergeCell ref="A19:F19"/>
    <mergeCell ref="A20:F20"/>
    <mergeCell ref="A26:F26"/>
    <mergeCell ref="A21:F21"/>
    <mergeCell ref="A22:F22"/>
    <mergeCell ref="A23:F23"/>
    <mergeCell ref="A24:F24"/>
    <mergeCell ref="A25:F25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7</vt:i4>
      </vt:variant>
    </vt:vector>
  </HeadingPairs>
  <TitlesOfParts>
    <vt:vector size="13" baseType="lpstr">
      <vt:lpstr>Resumo</vt:lpstr>
      <vt:lpstr>1.1 Cuidador 40hr</vt:lpstr>
      <vt:lpstr>1.2 Cuidador 20hr</vt:lpstr>
      <vt:lpstr>2. Administração Local</vt:lpstr>
      <vt:lpstr>3. Encargos Sociais</vt:lpstr>
      <vt:lpstr>4. BDI</vt:lpstr>
      <vt:lpstr>'1.1 Cuidador 40hr'!Area_de_impressao</vt:lpstr>
      <vt:lpstr>'1.2 Cuidador 20hr'!Area_de_impressao</vt:lpstr>
      <vt:lpstr>'2. Administração Local'!Area_de_impressao</vt:lpstr>
      <vt:lpstr>'3. Encargos Sociais'!Area_de_impressao</vt:lpstr>
      <vt:lpstr>'1.1 Cuidador 40hr'!Titulos_de_impressao</vt:lpstr>
      <vt:lpstr>'1.2 Cuidador 20hr'!Titulos_de_impressao</vt:lpstr>
      <vt:lpstr>'2. Administração Local'!Titulos_de_impressao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</dc:title>
  <dc:creator>Edgar</dc:creator>
  <cp:lastModifiedBy>Jurídico 01</cp:lastModifiedBy>
  <cp:lastPrinted>2026-05-18T14:26:35Z</cp:lastPrinted>
  <dcterms:created xsi:type="dcterms:W3CDTF">2000-12-13T10:02:50Z</dcterms:created>
  <dcterms:modified xsi:type="dcterms:W3CDTF">2026-05-18T14:46:20Z</dcterms:modified>
</cp:coreProperties>
</file>