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 tabRatio="802"/>
  </bookViews>
  <sheets>
    <sheet name="1. Resumo" sheetId="19" r:id="rId1"/>
    <sheet name="2. Coleta Resíduos Saúde" sheetId="2" r:id="rId2"/>
    <sheet name="3.Encargos Sociais" sheetId="8" r:id="rId3"/>
    <sheet name="4.BDI" sheetId="4" r:id="rId4"/>
    <sheet name="5. Depreciação" sheetId="6" r:id="rId5"/>
    <sheet name="Litros" sheetId="10" r:id="rId6"/>
    <sheet name="Horários" sheetId="11" r:id="rId7"/>
    <sheet name="Roteiros" sheetId="21" r:id="rId8"/>
  </sheets>
  <definedNames>
    <definedName name="AbaDeprec">'5. Depreciação'!$A$1</definedName>
    <definedName name="AbaRemun" localSheetId="0">#REF!</definedName>
    <definedName name="AbaRemun" localSheetId="6">#REF!</definedName>
    <definedName name="AbaRemun" localSheetId="5">#REF!</definedName>
    <definedName name="AbaRemun">#REF!</definedName>
    <definedName name="_xlnm.Print_Area" localSheetId="1">'2. Coleta Resíduos Saúde'!$A$1:$F$243</definedName>
    <definedName name="_xlnm.Print_Area" localSheetId="2">'3.Encargos Sociais'!$A$1:$C$39</definedName>
    <definedName name="_xlnm.Print_Titles" localSheetId="1">'2. Coleta Resíduos Saúde'!$1:$8</definedName>
  </definedNames>
  <calcPr calcId="144525"/>
</workbook>
</file>

<file path=xl/comments1.xml><?xml version="1.0" encoding="utf-8"?>
<comments xmlns="http://schemas.openxmlformats.org/spreadsheetml/2006/main">
  <authors>
    <author>Clauber Bridi</author>
  </authors>
  <commentList>
    <comment ref="A15" authorId="0">
      <text>
        <r>
          <rPr>
            <sz val="9"/>
            <rFont val="Tahoma"/>
            <charset val="134"/>
          </rPr>
          <t xml:space="preserve">Qualquer custo previsto no edital e não contemplado nesta planilha modelo deverá ser devidamente incluído
</t>
        </r>
      </text>
    </comment>
    <comment ref="B37" authorId="0">
      <text>
        <r>
          <rPr>
            <b/>
            <sz val="9"/>
            <rFont val="Tahoma"/>
            <charset val="134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rFont val="Tahoma"/>
            <charset val="134"/>
          </rPr>
          <t xml:space="preserve">
</t>
        </r>
      </text>
    </comment>
    <comment ref="C43" authorId="0">
      <text>
        <r>
          <rPr>
            <sz val="9"/>
            <rFont val="Tahoma"/>
            <charset val="134"/>
          </rPr>
          <t xml:space="preserve">Informar o número de horas extras trabalhadas nos domingos e feriados em horário diurno
</t>
        </r>
      </text>
    </comment>
    <comment ref="C44" authorId="0">
      <text>
        <r>
          <rPr>
            <sz val="9"/>
            <rFont val="Tahoma"/>
            <charset val="134"/>
          </rPr>
          <t xml:space="preserve">Informar o número de horas extras trabalhadas em horário diurno de segunda a sábado 
</t>
        </r>
      </text>
    </comment>
    <comment ref="A45" authorId="0">
      <text>
        <r>
          <rPr>
            <sz val="9"/>
            <rFont val="Tahoma"/>
            <charset val="134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48" authorId="0">
      <text>
        <r>
          <rPr>
            <sz val="9"/>
            <rFont val="Tahoma"/>
            <charset val="134"/>
          </rPr>
          <t xml:space="preserve">Preencher a planilha Encargos Sociais e CAGED </t>
        </r>
      </text>
    </comment>
    <comment ref="C50" authorId="0">
      <text>
        <r>
          <rPr>
            <sz val="9"/>
            <rFont val="Tahoma"/>
            <charset val="134"/>
          </rPr>
          <t>Informar a quantidade de trabalhadores na função</t>
        </r>
      </text>
    </comment>
    <comment ref="D56" authorId="0">
      <text>
        <r>
          <rPr>
            <sz val="9"/>
            <rFont val="Tahoma"/>
            <charset val="134"/>
          </rPr>
          <t>Informar o valor do salário Mínimo Nacional</t>
        </r>
      </text>
    </comment>
    <comment ref="C57" authorId="0">
      <text>
        <r>
          <rPr>
            <sz val="9"/>
            <rFont val="Tahoma"/>
            <charset val="134"/>
          </rPr>
          <t>Informar o número de horas extras trabalhadas em horário diurno nos domingos e feriados</t>
        </r>
      </text>
    </comment>
    <comment ref="C58" authorId="0">
      <text>
        <r>
          <rPr>
            <sz val="9"/>
            <rFont val="Tahoma"/>
            <charset val="134"/>
          </rPr>
          <t xml:space="preserve">Informar o número de horas extras trabalhadas em horário diurno de segunda a sábado 
</t>
        </r>
      </text>
    </comment>
    <comment ref="A59" authorId="0">
      <text>
        <r>
          <rPr>
            <sz val="9"/>
            <rFont val="Tahoma"/>
            <charset val="134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60" authorId="0">
      <text>
        <r>
          <rPr>
            <sz val="9"/>
            <rFont val="Tahoma"/>
            <charset val="134"/>
          </rPr>
          <t xml:space="preserve">Informar 1 se a base de cálculo for o Salário Mínimo Nacional; Informar 2 se a base de cálculo for o Piso da Categoria; 
</t>
        </r>
      </text>
    </comment>
    <comment ref="C61" authorId="0">
      <text>
        <r>
          <rPr>
            <sz val="9"/>
            <rFont val="Tahoma"/>
            <charset val="134"/>
          </rPr>
          <t>Percentual estabelecido nas Normas de Segurança de Trabalho ou pelo laudo de responsável técnico devidamente habilitado</t>
        </r>
      </text>
    </comment>
    <comment ref="C63" authorId="0">
      <text>
        <r>
          <rPr>
            <sz val="9"/>
            <rFont val="Tahoma"/>
            <charset val="134"/>
          </rPr>
          <t xml:space="preserve">Preencher a planilha Encargos Sociais e CAGED </t>
        </r>
      </text>
    </comment>
    <comment ref="C65" authorId="0">
      <text>
        <r>
          <rPr>
            <sz val="9"/>
            <rFont val="Tahoma"/>
            <charset val="134"/>
          </rPr>
          <t>Informar a quantidade de trabalhadores na função</t>
        </r>
      </text>
    </comment>
    <comment ref="D70" authorId="0">
      <text>
        <r>
          <rPr>
            <sz val="9"/>
            <rFont val="Tahoma"/>
            <charset val="134"/>
          </rPr>
          <t>Informar o valor unitário do VT no município</t>
        </r>
      </text>
    </comment>
    <comment ref="C71" authorId="0">
      <text>
        <r>
          <rPr>
            <sz val="9"/>
            <rFont val="Tahoma"/>
            <charset val="134"/>
          </rPr>
          <t>Informar o número médio de dias trabalhados por mês</t>
        </r>
      </text>
    </comment>
    <comment ref="D72" authorId="0">
      <text>
        <r>
          <rPr>
            <sz val="9"/>
            <rFont val="Tahoma"/>
            <charset val="134"/>
          </rPr>
          <t>Valor Unitário considerando o desconto legal de até 6% do salário</t>
        </r>
      </text>
    </comment>
    <comment ref="D73" authorId="0">
      <text>
        <r>
          <rPr>
            <sz val="9"/>
            <rFont val="Tahoma"/>
            <charset val="134"/>
          </rPr>
          <t xml:space="preserve">Valor Unitário considerando o desconto legal de até 6% do salário
</t>
        </r>
      </text>
    </comment>
    <comment ref="D78" authorId="0">
      <text>
        <r>
          <rPr>
            <sz val="9"/>
            <rFont val="Tahoma"/>
            <charset val="134"/>
          </rPr>
          <t>Informar o valor unitário diário do vale refeição, considerando o desconto aplicável ao funcionário, conforme Convenção Coletiva da categoria.</t>
        </r>
      </text>
    </comment>
    <comment ref="D79" authorId="0">
      <text>
        <r>
          <rPr>
            <sz val="9"/>
            <rFont val="Tahoma"/>
            <charset val="134"/>
          </rPr>
          <t>Informar o valor unitário diário do vale refeição, considerando o desconto aplicável ao funcionário, conforme Convenção Coletiva da categoria.</t>
        </r>
      </text>
    </comment>
    <comment ref="D80" authorId="0">
      <text>
        <r>
          <rPr>
            <sz val="9"/>
            <rFont val="Tahoma"/>
            <charset val="134"/>
          </rPr>
          <t>Informar o valor unitário diário do vale refeição, considerando o desconto aplicável ao funcionário, conforme Convenção Coletiva da categoria.</t>
        </r>
      </text>
    </comment>
    <comment ref="D85" authorId="0">
      <text>
        <r>
          <rPr>
            <sz val="9"/>
            <rFont val="Tahoma"/>
            <charset val="134"/>
          </rPr>
          <t>Informar o valor mensal do auxilio alimentação, considerando o desconto aplicável ao funcionário, conforme Convenção Coletiva da categoria</t>
        </r>
      </text>
    </comment>
    <comment ref="D86" authorId="0">
      <text>
        <r>
          <rPr>
            <sz val="9"/>
            <rFont val="Tahoma"/>
            <charset val="134"/>
          </rPr>
          <t>Informar o valor mensal do auxilio alimentação, considerando o desconto aplicável ao funcionário, conforme Convenção Coletiva da categoria</t>
        </r>
      </text>
    </comment>
    <comment ref="C113" authorId="0">
      <text>
        <r>
          <rPr>
            <sz val="9"/>
            <rFont val="Tahoma"/>
            <charset val="134"/>
          </rPr>
          <t xml:space="preserve">Informar a durabilidade estimada em meses, para cada EPI
</t>
        </r>
      </text>
    </comment>
    <comment ref="C114" authorId="0">
      <text>
        <r>
          <rPr>
            <sz val="9"/>
            <rFont val="Tahoma"/>
            <charset val="134"/>
          </rPr>
          <t xml:space="preserve">Informar a durabilidade estimada em meses, para cada EPI
</t>
        </r>
      </text>
    </comment>
    <comment ref="C115" authorId="0">
      <text>
        <r>
          <rPr>
            <sz val="9"/>
            <rFont val="Tahoma"/>
            <charset val="134"/>
          </rPr>
          <t xml:space="preserve">Informar a durabilidade estimada em meses, para cada EPI
</t>
        </r>
      </text>
    </comment>
    <comment ref="C116" authorId="0">
      <text>
        <r>
          <rPr>
            <sz val="9"/>
            <rFont val="Tahoma"/>
            <charset val="134"/>
          </rPr>
          <t xml:space="preserve">Informar a durabilidade estimada em meses, para cada EPI
</t>
        </r>
      </text>
    </comment>
    <comment ref="C117" authorId="0">
      <text>
        <r>
          <rPr>
            <sz val="9"/>
            <rFont val="Tahoma"/>
            <charset val="134"/>
          </rPr>
          <t xml:space="preserve">Informar a durabilidade estimada em meses, para cada EPI
</t>
        </r>
      </text>
    </comment>
    <comment ref="C118" authorId="0">
      <text>
        <r>
          <rPr>
            <sz val="9"/>
            <rFont val="Tahoma"/>
            <charset val="134"/>
          </rPr>
          <t xml:space="preserve">Informar a durabilidade estimada em meses, para cada EPI
</t>
        </r>
      </text>
    </comment>
    <comment ref="D119" authorId="0">
      <text>
        <r>
          <rPr>
            <sz val="9"/>
            <rFont val="Tahoma"/>
            <charset val="134"/>
          </rPr>
          <t>Informar o valor mensal de higienização de uniforme para 1 funcionário</t>
        </r>
      </text>
    </comment>
    <comment ref="D129" authorId="0">
      <text>
        <r>
          <rPr>
            <sz val="9"/>
            <rFont val="Tahoma"/>
            <charset val="134"/>
          </rPr>
          <t>Informar o preço unitário do chassis do caminhão de coleta</t>
        </r>
      </text>
    </comment>
    <comment ref="C130" authorId="0">
      <text>
        <r>
          <rPr>
            <sz val="9"/>
            <rFont val="Tahoma"/>
            <charset val="134"/>
          </rPr>
          <t>Informar a vida útil estimada para o caminhão, em anos</t>
        </r>
      </text>
    </comment>
    <comment ref="C131" authorId="0">
      <text>
        <r>
          <rPr>
            <sz val="9"/>
            <rFont val="Tahoma"/>
            <charset val="134"/>
          </rPr>
          <t>Na elaboração do orçamento-base da licitação, informar 0 (zero). Na proposta da licitante, informar a idade do veículo proposto.</t>
        </r>
      </text>
    </comment>
    <comment ref="C132" authorId="0">
      <text>
        <r>
          <rPr>
            <b/>
            <sz val="9"/>
            <rFont val="Tahoma"/>
            <charset val="134"/>
          </rPr>
          <t xml:space="preserve">Informar o valor da depreciação do caminhão, adotando o valor sugerido pelo TCE ou outro valor estimado </t>
        </r>
        <r>
          <rPr>
            <sz val="9"/>
            <rFont val="Tahoma"/>
            <charset val="134"/>
          </rPr>
          <t xml:space="preserve">
</t>
        </r>
      </text>
    </comment>
    <comment ref="D134" authorId="0">
      <text>
        <r>
          <rPr>
            <sz val="9"/>
            <rFont val="Tahoma"/>
            <charset val="134"/>
          </rPr>
          <t xml:space="preserve">Informar o preço unitário do equipamento compactador
</t>
        </r>
      </text>
    </comment>
    <comment ref="C135" authorId="0">
      <text>
        <r>
          <rPr>
            <sz val="9"/>
            <rFont val="Tahoma"/>
            <charset val="134"/>
          </rPr>
          <t>Informar a vida útil estimada para o baú, em anos</t>
        </r>
      </text>
    </comment>
    <comment ref="C136" authorId="0">
      <text>
        <r>
          <rPr>
            <sz val="9"/>
            <rFont val="Tahoma"/>
            <charset val="134"/>
          </rPr>
          <t>Na elaboração do orçamento-base da licitação, informar 0 (zero). Na proposta da licitante, informar a idade do compactador proposto.</t>
        </r>
      </text>
    </comment>
    <comment ref="C137" authorId="0">
      <text>
        <r>
          <rPr>
            <b/>
            <sz val="9"/>
            <rFont val="Tahoma"/>
            <charset val="134"/>
          </rPr>
          <t xml:space="preserve">Informar o valor da depreciação do compactador, adotando o valor sugerido pelo TCE ou outro valor estimado </t>
        </r>
        <r>
          <rPr>
            <sz val="9"/>
            <rFont val="Tahoma"/>
            <charset val="134"/>
          </rPr>
          <t xml:space="preserve">
</t>
        </r>
      </text>
    </comment>
    <comment ref="C140" authorId="0">
      <text>
        <r>
          <rPr>
            <sz val="9"/>
            <rFont val="Tahoma"/>
            <charset val="134"/>
          </rPr>
          <t>Informar a quantidade de caminhões compactadores do respectivo modelo</t>
        </r>
      </text>
    </comment>
    <comment ref="C146" authorId="0">
      <text>
        <r>
          <rPr>
            <b/>
            <sz val="9"/>
            <rFont val="Tahoma"/>
            <charset val="134"/>
          </rPr>
          <t>Informar a taxa de juros anual para remuneração do capital. Recomenda-se o uso da Taxa SELIC</t>
        </r>
        <r>
          <rPr>
            <sz val="9"/>
            <rFont val="Tahoma"/>
            <charset val="134"/>
          </rPr>
          <t xml:space="preserve">
</t>
        </r>
      </text>
    </comment>
    <comment ref="D162" authorId="0">
      <text>
        <r>
          <rPr>
            <sz val="9"/>
            <rFont val="Tahoma"/>
            <charset val="134"/>
          </rPr>
          <t xml:space="preserve">Informar o valor do seguro obrigatório e licenciamento anual de um caminhão
</t>
        </r>
      </text>
    </comment>
    <comment ref="D163" authorId="0">
      <text>
        <r>
          <rPr>
            <sz val="9"/>
            <rFont val="Tahoma"/>
            <charset val="134"/>
          </rPr>
          <t xml:space="preserve">Informar o valor do seguro contra terceiros de um caminhão, se houver previsão no Projeto Básico
</t>
        </r>
      </text>
    </comment>
    <comment ref="B168" authorId="0">
      <text>
        <r>
          <rPr>
            <sz val="9"/>
            <rFont val="Tahoma"/>
            <charset val="134"/>
          </rPr>
          <t xml:space="preserve">Informar a quilometragem mensal percorrida, de acordo com o projeto básico
</t>
        </r>
      </text>
    </comment>
    <comment ref="C170" authorId="0">
      <text>
        <r>
          <rPr>
            <sz val="9"/>
            <rFont val="Tahoma"/>
            <charset val="134"/>
          </rPr>
          <t>Informar o consumo estimado do veículo em km/l</t>
        </r>
      </text>
    </comment>
    <comment ref="D170" authorId="0">
      <text>
        <r>
          <rPr>
            <sz val="9"/>
            <rFont val="Tahoma"/>
            <charset val="134"/>
          </rPr>
          <t xml:space="preserve">Informar o preço unitário do combustivel
</t>
        </r>
      </text>
    </comment>
    <comment ref="C172" authorId="0">
      <text>
        <r>
          <rPr>
            <sz val="9"/>
            <rFont val="Tahoma"/>
            <charset val="134"/>
          </rPr>
          <t>Informar o consumo de óleo do motor a cada 1000km</t>
        </r>
      </text>
    </comment>
    <comment ref="D172" authorId="0">
      <text>
        <r>
          <rPr>
            <sz val="9"/>
            <rFont val="Tahoma"/>
            <charset val="134"/>
          </rPr>
          <t xml:space="preserve">Informar o preço unitário do litro do óleo do motor
</t>
        </r>
      </text>
    </comment>
    <comment ref="C174" authorId="0">
      <text>
        <r>
          <rPr>
            <sz val="9"/>
            <rFont val="Tahoma"/>
            <charset val="134"/>
          </rPr>
          <t>Informar o consumo de óleo da transmissão a cada 1000km</t>
        </r>
      </text>
    </comment>
    <comment ref="D174" authorId="0">
      <text>
        <r>
          <rPr>
            <sz val="9"/>
            <rFont val="Tahoma"/>
            <charset val="134"/>
          </rPr>
          <t xml:space="preserve">Informar o preço unitário do litro do óleo da transmissão
</t>
        </r>
      </text>
    </comment>
    <comment ref="C176" authorId="0">
      <text>
        <r>
          <rPr>
            <sz val="9"/>
            <rFont val="Tahoma"/>
            <charset val="134"/>
          </rPr>
          <t>Informar o consumo de Arla a cada 1000km</t>
        </r>
      </text>
    </comment>
    <comment ref="D176" authorId="0">
      <text>
        <r>
          <rPr>
            <sz val="9"/>
            <rFont val="Tahoma"/>
            <charset val="134"/>
          </rPr>
          <t xml:space="preserve">Informar o preço unitário do litro do óleo hidráulico
</t>
        </r>
      </text>
    </comment>
    <comment ref="C178" authorId="0">
      <text>
        <r>
          <rPr>
            <sz val="9"/>
            <rFont val="Tahoma"/>
            <charset val="134"/>
          </rPr>
          <t>Informar o consumo de óleo hidráulico a cada 1000km</t>
        </r>
      </text>
    </comment>
    <comment ref="D178" authorId="0">
      <text>
        <r>
          <rPr>
            <sz val="9"/>
            <rFont val="Tahoma"/>
            <charset val="134"/>
          </rPr>
          <t xml:space="preserve">Informar o preço unitário do litro do óleo hidráulico
</t>
        </r>
      </text>
    </comment>
    <comment ref="C180" authorId="0">
      <text>
        <r>
          <rPr>
            <sz val="9"/>
            <rFont val="Tahoma"/>
            <charset val="134"/>
          </rPr>
          <t>Informar o consumo de graxa a cada 1000km</t>
        </r>
      </text>
    </comment>
    <comment ref="D180" authorId="0">
      <text>
        <r>
          <rPr>
            <sz val="9"/>
            <rFont val="Tahoma"/>
            <charset val="134"/>
          </rPr>
          <t xml:space="preserve">Informar o preço unitário do litro da graxa
</t>
        </r>
      </text>
    </comment>
    <comment ref="D187" authorId="0">
      <text>
        <r>
          <rPr>
            <sz val="9"/>
            <rFont val="Tahoma"/>
            <charset val="134"/>
          </rPr>
          <t xml:space="preserve">Informar o custo de manutenção em R$/km rodado
</t>
        </r>
      </text>
    </comment>
    <comment ref="C192" authorId="0">
      <text>
        <r>
          <rPr>
            <sz val="9"/>
            <rFont val="Tahoma"/>
            <charset val="134"/>
          </rPr>
          <t>Informar a quantidade de pneus novos de 1 caminhão</t>
        </r>
      </text>
    </comment>
    <comment ref="D192" authorId="0">
      <text>
        <r>
          <rPr>
            <sz val="9"/>
            <rFont val="Tahoma"/>
            <charset val="134"/>
          </rPr>
          <t xml:space="preserve">Informar o preço unitário de cada pneu
</t>
        </r>
      </text>
    </comment>
    <comment ref="C193" authorId="0">
      <text>
        <r>
          <rPr>
            <sz val="9"/>
            <rFont val="Tahoma"/>
            <charset val="134"/>
          </rPr>
          <t>Informar o número de recapagens por pneu</t>
        </r>
      </text>
    </comment>
    <comment ref="D194" authorId="0">
      <text>
        <r>
          <rPr>
            <sz val="9"/>
            <rFont val="Tahoma"/>
            <charset val="134"/>
          </rPr>
          <t xml:space="preserve">Informar o preço unitário de cada recapagem
</t>
        </r>
      </text>
    </comment>
    <comment ref="C195" authorId="0">
      <text>
        <r>
          <rPr>
            <sz val="9"/>
            <rFont val="Tahoma"/>
            <charset val="134"/>
          </rPr>
          <t xml:space="preserve">Informar a durabilidade média dos pneus considerando as recapagens, em km
</t>
        </r>
      </text>
    </comment>
    <comment ref="C204" authorId="0">
      <text>
        <r>
          <rPr>
            <sz val="9"/>
            <rFont val="Tahoma"/>
            <charset val="134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04" authorId="0">
      <text>
        <r>
          <rPr>
            <sz val="9"/>
            <rFont val="Tahoma"/>
            <charset val="134"/>
          </rPr>
          <t>Informar o valor unitário estimado para aquisição de cada material</t>
        </r>
      </text>
    </comment>
    <comment ref="C205" authorId="0">
      <text>
        <r>
          <rPr>
            <sz val="9"/>
            <rFont val="Tahoma"/>
            <charset val="134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05" authorId="0">
      <text>
        <r>
          <rPr>
            <sz val="9"/>
            <rFont val="Tahoma"/>
            <charset val="134"/>
          </rPr>
          <t>Informar o valor unitário estimado para aquisição de cada material</t>
        </r>
      </text>
    </comment>
    <comment ref="C206" authorId="0">
      <text>
        <r>
          <rPr>
            <sz val="9"/>
            <rFont val="Tahoma"/>
            <charset val="134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06" authorId="0">
      <text>
        <r>
          <rPr>
            <sz val="9"/>
            <rFont val="Tahoma"/>
            <charset val="134"/>
          </rPr>
          <t>Informar o valor unitário estimado para aquisição de cada material</t>
        </r>
      </text>
    </comment>
    <comment ref="C208" authorId="0">
      <text>
        <r>
          <rPr>
            <sz val="9"/>
            <rFont val="Tahoma"/>
            <charset val="134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08" authorId="0">
      <text>
        <r>
          <rPr>
            <sz val="9"/>
            <rFont val="Tahoma"/>
            <charset val="134"/>
          </rPr>
          <t>Informar o valor unitário estimado para aquisição de cada material</t>
        </r>
      </text>
    </comment>
    <comment ref="A213" authorId="0">
      <text>
        <r>
          <rPr>
            <b/>
            <sz val="9"/>
            <rFont val="Tahoma"/>
            <charset val="134"/>
          </rPr>
          <t>Especificar somente quando for exigido no Projeto Básico</t>
        </r>
        <r>
          <rPr>
            <sz val="9"/>
            <rFont val="Tahoma"/>
            <charset val="134"/>
          </rPr>
          <t xml:space="preserve">
</t>
        </r>
      </text>
    </comment>
    <comment ref="D216" authorId="0">
      <text>
        <r>
          <rPr>
            <sz val="9"/>
            <rFont val="Tahoma"/>
            <charset val="134"/>
          </rPr>
          <t>Informar o valor total para instalação do equipamento de monitoramento da frota, se houver previsão no Projeto Básico</t>
        </r>
      </text>
    </comment>
    <comment ref="D218" authorId="0">
      <text>
        <r>
          <rPr>
            <sz val="9"/>
            <rFont val="Tahoma"/>
            <charset val="134"/>
          </rPr>
          <t>Informar o valor unitário mensal para manutenção dos equipamentos de monitoramento</t>
        </r>
      </text>
    </comment>
    <comment ref="C229" authorId="0">
      <text>
        <r>
          <rPr>
            <sz val="9"/>
            <rFont val="Tahoma"/>
            <charset val="134"/>
          </rPr>
          <t>Preencher a aba 4.BDI</t>
        </r>
      </text>
    </comment>
    <comment ref="D237" authorId="0">
      <text>
        <r>
          <rPr>
            <sz val="9"/>
            <rFont val="Tahoma"/>
            <charset val="134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C13" authorId="0">
      <text>
        <r>
          <rPr>
            <b/>
            <sz val="9"/>
            <rFont val="Tahoma"/>
            <charset val="134"/>
          </rPr>
          <t>Informar o % de Administração Central estimado</t>
        </r>
        <r>
          <rPr>
            <sz val="9"/>
            <rFont val="Tahoma"/>
            <charset val="134"/>
          </rPr>
          <t xml:space="preserve">
</t>
        </r>
      </text>
    </comment>
    <comment ref="C14" authorId="0">
      <text>
        <r>
          <rPr>
            <b/>
            <sz val="9"/>
            <rFont val="Tahoma"/>
            <charset val="134"/>
          </rPr>
          <t>Informar o % de Seguros, Riscos e Garantia estimado</t>
        </r>
        <r>
          <rPr>
            <sz val="9"/>
            <rFont val="Tahoma"/>
            <charset val="134"/>
          </rPr>
          <t xml:space="preserve">
</t>
        </r>
      </text>
    </comment>
    <comment ref="C15" authorId="0">
      <text>
        <r>
          <rPr>
            <b/>
            <sz val="9"/>
            <rFont val="Tahoma"/>
            <charset val="134"/>
          </rPr>
          <t>Informar o % de Lucro estimado</t>
        </r>
        <r>
          <rPr>
            <sz val="9"/>
            <rFont val="Tahoma"/>
            <charset val="134"/>
          </rPr>
          <t xml:space="preserve">
</t>
        </r>
      </text>
    </comment>
    <comment ref="E16" authorId="0">
      <text>
        <r>
          <rPr>
            <b/>
            <sz val="9"/>
            <rFont val="Tahoma"/>
            <charset val="134"/>
          </rPr>
          <t>Informar o valor anual da taxa financeira, em percentual. Admite-se utilizar a SELIC</t>
        </r>
      </text>
    </comment>
    <comment ref="C17" authorId="0">
      <text>
        <r>
          <rPr>
            <b/>
            <sz val="9"/>
            <rFont val="Tahoma"/>
            <charset val="134"/>
          </rPr>
          <t>Informar o percentual de ISS, de acordo com a legislação tributária do município onde serão prestados os serviços. De 2% até o limite de 5%.</t>
        </r>
        <r>
          <rPr>
            <sz val="9"/>
            <rFont val="Tahoma"/>
            <charset val="134"/>
          </rPr>
          <t xml:space="preserve">
</t>
        </r>
      </text>
    </comment>
    <comment ref="E17" authorId="0">
      <text>
        <r>
          <rPr>
            <b/>
            <sz val="9"/>
            <rFont val="Tahoma"/>
            <charset val="134"/>
          </rPr>
          <t>Informar a média de dias úteis entre data de pagamento prevista no contrato e a data final do período de adimplemento da parcela</t>
        </r>
        <r>
          <rPr>
            <sz val="9"/>
            <rFont val="Tahoma"/>
            <charset val="134"/>
          </rPr>
          <t xml:space="preserve">
</t>
        </r>
      </text>
    </comment>
    <comment ref="C18" authorId="0">
      <text>
        <r>
          <rPr>
            <b/>
            <sz val="9"/>
            <rFont val="Tahoma"/>
            <charset val="134"/>
          </rPr>
          <t xml:space="preserve">Informar o valor estimado de PIS/COFINS. </t>
        </r>
        <r>
          <rPr>
            <sz val="9"/>
            <rFont val="Tahoma"/>
            <charset val="134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<sst xmlns="http://schemas.openxmlformats.org/spreadsheetml/2006/main" count="527" uniqueCount="313">
  <si>
    <t>PREFEITURA MUNICIPAL DE SÃO MARCOS</t>
  </si>
  <si>
    <t>Resumo custo edital dos serviços de coleta de serviços de saúde</t>
  </si>
  <si>
    <t xml:space="preserve">Ordem </t>
  </si>
  <si>
    <t xml:space="preserve">Descrição </t>
  </si>
  <si>
    <t>PO R$</t>
  </si>
  <si>
    <t>Coleta, transporte e destino final de Resíduos de Saúde</t>
  </si>
  <si>
    <t>Total Geral</t>
  </si>
  <si>
    <t>São Marcos, 26 de fevereiro de 2026</t>
  </si>
  <si>
    <t xml:space="preserve">ECZ, Assessoria, Consultoria e Treinamento Ltda </t>
  </si>
  <si>
    <t>Orientações para preenchimento: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</si>
  <si>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</si>
  <si>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</si>
  <si>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2. Antes de preenchê-la, leia a Orientação Técnica - Serviço de coleta de resíduos sólidos domiciliares</t>
  </si>
  <si>
    <t>3. Preencher somente células em amarelo</t>
  </si>
  <si>
    <t>4. As células azuis deverão ter seus valores preenchidos em outra planilha do arquivo.</t>
  </si>
  <si>
    <t>O TCE/RS não se responsabiliza pelo uso incorreto desta planilha.</t>
  </si>
  <si>
    <t>O orçamento deve ser realizado por responsável técnico habilitado e é de responsabilidade do seu autor.</t>
  </si>
  <si>
    <t>Prefeitura Municipal de São Marcos - RS</t>
  </si>
  <si>
    <t>1. Coleta de Resíduos de Serviços de Saúde</t>
  </si>
  <si>
    <t>Planilha de Composição de Custos</t>
  </si>
  <si>
    <t>Orçamento Sintético</t>
  </si>
  <si>
    <t>Descrição do Item</t>
  </si>
  <si>
    <t>Custo (R$/mês)</t>
  </si>
  <si>
    <t>%</t>
  </si>
  <si>
    <t>PREÇO TOTAL MENSAL COM A COLETA</t>
  </si>
  <si>
    <t>Fator de utilização (FU)</t>
  </si>
  <si>
    <t>1. Mão-de-obra</t>
  </si>
  <si>
    <t>1.1. Coletor Turno Dia</t>
  </si>
  <si>
    <t>Discriminação</t>
  </si>
  <si>
    <t>Unidade</t>
  </si>
  <si>
    <t>Quantidade</t>
  </si>
  <si>
    <t>Custo unitário</t>
  </si>
  <si>
    <t>Subtotal</t>
  </si>
  <si>
    <r>
      <rPr>
        <b/>
        <sz val="9"/>
        <rFont val="Arial"/>
        <charset val="134"/>
      </rPr>
      <t xml:space="preserve">Total </t>
    </r>
    <r>
      <rPr>
        <b/>
        <u/>
        <sz val="9"/>
        <rFont val="Arial"/>
        <charset val="134"/>
      </rPr>
      <t>(R$)</t>
    </r>
  </si>
  <si>
    <t>Piso da categoria</t>
  </si>
  <si>
    <t>mês</t>
  </si>
  <si>
    <t>Horas Extras (100%)</t>
  </si>
  <si>
    <t>hora</t>
  </si>
  <si>
    <t>Excluir esta linha caso a contratação não tenha previsão de horas extras 100% explícita no edital</t>
  </si>
  <si>
    <t>Horas Extras (50%)</t>
  </si>
  <si>
    <t>Excluir esta linha caso a contratação não tenha previsão de horas extras 50% explícita no edital</t>
  </si>
  <si>
    <t>Descanso Semanal Remunerado (DSR) - hora extra</t>
  </si>
  <si>
    <t>R$</t>
  </si>
  <si>
    <t>Excluir esta linha caso a contratação não tenha previsão de horas extras explícita no edital</t>
  </si>
  <si>
    <t>Adicional de Insalubridade</t>
  </si>
  <si>
    <t>Soma</t>
  </si>
  <si>
    <t>Encargos Sociais</t>
  </si>
  <si>
    <t>Total por Coletor</t>
  </si>
  <si>
    <t>Total do Efetivo</t>
  </si>
  <si>
    <t>homem</t>
  </si>
  <si>
    <t>Fator de utilização</t>
  </si>
  <si>
    <t>1.2. Motorista Turno do Dia</t>
  </si>
  <si>
    <t>Piso da categoria (2)</t>
  </si>
  <si>
    <t>Salário mínimo nacional (1)</t>
  </si>
  <si>
    <t>Base de cálculo da Insalubridade</t>
  </si>
  <si>
    <t>Total por Motorista</t>
  </si>
  <si>
    <t>1.3. Vale Transporte</t>
  </si>
  <si>
    <t>Vale Transporte</t>
  </si>
  <si>
    <t>Dias Trabalhados por mês</t>
  </si>
  <si>
    <t>dia</t>
  </si>
  <si>
    <t>Coletor</t>
  </si>
  <si>
    <t>vale</t>
  </si>
  <si>
    <t>Motorista</t>
  </si>
  <si>
    <t>1.4. Vale-refeição (diário)</t>
  </si>
  <si>
    <t>unidade</t>
  </si>
  <si>
    <t>1.5. Abono, Auxílio Alimentação (mensal)</t>
  </si>
  <si>
    <t xml:space="preserve">Abono </t>
  </si>
  <si>
    <t xml:space="preserve">Auxílio Alimentação </t>
  </si>
  <si>
    <t>Custo Mensal com Mão-de-obra (R$/mês)</t>
  </si>
  <si>
    <t>2. Uniformes e Equipamentos de Proteção Individual</t>
  </si>
  <si>
    <t>2.1. Uniformes e EPIs para Coletor e Motorista</t>
  </si>
  <si>
    <t>Durabilidade (meses)</t>
  </si>
  <si>
    <t>Jaqueta com reflexivo (NBR 15.292)</t>
  </si>
  <si>
    <t>Calça</t>
  </si>
  <si>
    <t xml:space="preserve">Camiseta manga 3/4 ou longa </t>
  </si>
  <si>
    <t>Boné</t>
  </si>
  <si>
    <t xml:space="preserve">Botina/bota impermeável </t>
  </si>
  <si>
    <t>par</t>
  </si>
  <si>
    <t xml:space="preserve">Avental impermeável </t>
  </si>
  <si>
    <t>Capa de chuva com reflexivo</t>
  </si>
  <si>
    <t xml:space="preserve">Mascara respiratória </t>
  </si>
  <si>
    <t xml:space="preserve">Óculos </t>
  </si>
  <si>
    <t xml:space="preserve">Gorro descartável </t>
  </si>
  <si>
    <t xml:space="preserve">Luva de latex forrada com proteção impermeável </t>
  </si>
  <si>
    <t>Protetor solar FPS 30</t>
  </si>
  <si>
    <t>frasco 120g</t>
  </si>
  <si>
    <t>Higienização de uniformes e EPIs</t>
  </si>
  <si>
    <t>R$ mensal</t>
  </si>
  <si>
    <t>2.2. Uniformes e EPIs para demais categorias</t>
  </si>
  <si>
    <t>Camiseta</t>
  </si>
  <si>
    <t>Botina de segurança c/ palmilha aço</t>
  </si>
  <si>
    <t>Capa de chuva amarela com reflexivo</t>
  </si>
  <si>
    <t>Custo Mensal com Uniformes e EPIs (R$/mês)</t>
  </si>
  <si>
    <t>3. Veículos e Equipamentos</t>
  </si>
  <si>
    <t xml:space="preserve">3.1. Veículo Coletor </t>
  </si>
  <si>
    <t>3.1.1. Depreciação</t>
  </si>
  <si>
    <t>Custo de aquisição do chassis</t>
  </si>
  <si>
    <t>Vida útil do chassis</t>
  </si>
  <si>
    <t>anos</t>
  </si>
  <si>
    <t>Idade do veículo</t>
  </si>
  <si>
    <t>Depreciação do chassis</t>
  </si>
  <si>
    <t>Depreciação mensal veículos coletores</t>
  </si>
  <si>
    <t>Custo de aquisição baú</t>
  </si>
  <si>
    <t>Idade do chassis</t>
  </si>
  <si>
    <t>Depreciação mensal do chassis</t>
  </si>
  <si>
    <t>Total por veículo</t>
  </si>
  <si>
    <t>Total da frota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</si>
  <si>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</si>
  <si>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</si>
  <si>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</si>
  <si>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</si>
  <si>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</si>
  <si>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</si>
  <si>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Custo do baú</t>
  </si>
  <si>
    <t>Valor do compactador proposto (V0)</t>
  </si>
  <si>
    <t>Investimento médio total do baú</t>
  </si>
  <si>
    <t>Remuneração mensal de capital do baú</t>
  </si>
  <si>
    <t>3.1.3. Impostos e Seguros</t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</si>
  <si>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</si>
  <si>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</si>
  <si>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</si>
  <si>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</si>
  <si>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</si>
  <si>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</t>
  </si>
  <si>
    <t>Consumo</t>
  </si>
  <si>
    <t>Custo de óleo diesel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</si>
  <si>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</si>
  <si>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</si>
  <si>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</si>
  <si>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</si>
  <si>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</si>
  <si>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</si>
  <si>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</si>
  <si>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</si>
  <si>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Arla / 1.000 km</t>
  </si>
  <si>
    <t>Custo mensal com Arla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</si>
  <si>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</si>
  <si>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</si>
  <si>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</si>
  <si>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</si>
  <si>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</si>
  <si>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com consumos/km rodado</t>
  </si>
  <si>
    <t>R$/km rodado</t>
  </si>
  <si>
    <t>3.1.5. Manutenção</t>
  </si>
  <si>
    <t>Custo de manutenção dos caminhões</t>
  </si>
  <si>
    <t>3.1.6. Pneus</t>
  </si>
  <si>
    <t xml:space="preserve">Custo do jogo de pneus </t>
  </si>
  <si>
    <t>Número de recapagens por pneu</t>
  </si>
  <si>
    <t>Custo de recapagem</t>
  </si>
  <si>
    <r>
      <rPr>
        <sz val="10"/>
        <rFont val="Arial"/>
        <charset val="134"/>
      </rPr>
      <t xml:space="preserve">Custo jg. compl. + </t>
    </r>
    <r>
      <rPr>
        <sz val="10"/>
        <color indexed="10"/>
        <rFont val="Arial"/>
        <charset val="134"/>
      </rPr>
      <t>X</t>
    </r>
    <r>
      <rPr>
        <sz val="10"/>
        <rFont val="Arial"/>
        <charset val="134"/>
      </rPr>
      <t xml:space="preserve"> recap./ km rodado</t>
    </r>
  </si>
  <si>
    <t>km/jogo</t>
  </si>
  <si>
    <t>Custo mensal com pneus</t>
  </si>
  <si>
    <t>Custo Mensal com Veículos e Equipamentos (R$/mês)</t>
  </si>
  <si>
    <t xml:space="preserve">4. Custo dos resíduos de saúde </t>
  </si>
  <si>
    <t>Recipiente térmico para água (5L)</t>
  </si>
  <si>
    <t>Pá de Concha</t>
  </si>
  <si>
    <t>Lixo Hospitalar do Grupo A e E</t>
  </si>
  <si>
    <t>Litro</t>
  </si>
  <si>
    <t>Lixo Hospitalar do Grupo B</t>
  </si>
  <si>
    <t>Publicidade (adesivos veículos)</t>
  </si>
  <si>
    <t>cj</t>
  </si>
  <si>
    <t>Custo Mensal com Ferramentas e Materiais de Consumo (R$/mês)</t>
  </si>
  <si>
    <t xml:space="preserve">5. Monitoramento da frota  </t>
  </si>
  <si>
    <t>Implantação dos equipamentos de monitoramento</t>
  </si>
  <si>
    <t>Custo mensal com implantação</t>
  </si>
  <si>
    <t>Custo mensal com manutenção</t>
  </si>
  <si>
    <t>Custo Mensal com Monitoramento da Frota (R$/mês)</t>
  </si>
  <si>
    <t>CUSTO TOTAL MENSAL COM DESPESAS OPERACIONAIS (R$/mês)</t>
  </si>
  <si>
    <t>6. Benefícios e Despesas Indiretas - BDI</t>
  </si>
  <si>
    <t>Benefícios e despesas indiretas</t>
  </si>
  <si>
    <t>CUSTO MENSAL COM BDI (R$/mês)</t>
  </si>
  <si>
    <t>PREÇO MENSAL TOTAL (R$/mês)</t>
  </si>
  <si>
    <t xml:space="preserve">Quantidade média de resíduos coletados por mês: </t>
  </si>
  <si>
    <t xml:space="preserve">Litros </t>
  </si>
  <si>
    <t>PREÇO POR LITRO COLETADO:  [A/B]</t>
  </si>
  <si>
    <t>R$/litro</t>
  </si>
  <si>
    <t xml:space="preserve">O orçamento deve ser realizado por responsável técnico habilitado e </t>
  </si>
  <si>
    <t>é de responsabilidade do seu autor.</t>
  </si>
  <si>
    <t xml:space="preserve">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</si>
  <si>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</si>
  <si>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</si>
  <si>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</si>
  <si>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</si>
  <si>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</si>
  <si>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</si>
  <si>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</si>
  <si>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</si>
  <si>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</si>
  <si>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</si>
  <si>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</si>
  <si>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</si>
  <si>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</si>
  <si>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</si>
  <si>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</si>
  <si>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</si>
  <si>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</si>
  <si>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</si>
  <si>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</si>
  <si>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</si>
  <si>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</si>
  <si>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</si>
  <si>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</si>
  <si>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</si>
  <si>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</si>
  <si>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</si>
  <si>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</si>
  <si>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</si>
  <si>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</si>
  <si>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</si>
  <si>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</si>
  <si>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</si>
  <si>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</si>
  <si>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</si>
  <si>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</si>
  <si>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</si>
  <si>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</si>
  <si>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</si>
  <si>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</si>
  <si>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</si>
  <si>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</si>
  <si>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</si>
  <si>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</si>
  <si>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</si>
  <si>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</si>
  <si>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</si>
  <si>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</si>
  <si>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</si>
  <si>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</si>
  <si>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</si>
  <si>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</si>
  <si>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</si>
  <si>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</si>
  <si>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</si>
  <si>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1. Esta planilha é somente um modelo-base e deve ser ajustada conforme cada caso concreto.</t>
  </si>
  <si>
    <t>2. Preencher somente células em amarelo</t>
  </si>
  <si>
    <t xml:space="preserve">O orçamento deve ser realizado por responsável técnico habilitado e é </t>
  </si>
  <si>
    <t>de responsabilidade do seu autor.</t>
  </si>
  <si>
    <t>5.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</si>
  <si>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</si>
  <si>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</si>
  <si>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</si>
  <si>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</si>
  <si>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</si>
  <si>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</si>
  <si>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</si>
  <si>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</si>
  <si>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</si>
  <si>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</si>
  <si>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</si>
  <si>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</si>
  <si>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</si>
  <si>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</si>
  <si>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</si>
  <si>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</si>
  <si>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PIS/COFINS/ e CPP se houver</t>
  </si>
  <si>
    <t>Fórmula para o cálculo do BDI:</t>
  </si>
  <si>
    <t>{[(1+AC+SRG) x (1+L) x (1+DF)] / (1-T)} -1</t>
  </si>
  <si>
    <t>Resultado do cálculo do BDI:</t>
  </si>
  <si>
    <t>6. Depreciação Referencial TCE/RS (%)</t>
  </si>
  <si>
    <t>Idade do veículo (ano)</t>
  </si>
  <si>
    <t>Depreciação Média</t>
  </si>
  <si>
    <t>Prefeitura Municipal de São Marcos</t>
  </si>
  <si>
    <t>Litros de coleta de serviços de resíduos de saúde</t>
  </si>
  <si>
    <t>Período: Estimativa 2026</t>
  </si>
  <si>
    <t xml:space="preserve">Previsão litros coletadas e enviadas ao destino final </t>
  </si>
  <si>
    <t xml:space="preserve">Tipo de resíduos </t>
  </si>
  <si>
    <t xml:space="preserve">Litros/dia </t>
  </si>
  <si>
    <t xml:space="preserve">Litros/Mês </t>
  </si>
  <si>
    <t>Grupo A e E</t>
  </si>
  <si>
    <t>Grupo B</t>
  </si>
  <si>
    <t xml:space="preserve">Total Geral litros mês </t>
  </si>
  <si>
    <t xml:space="preserve">Total Geral litros ano </t>
  </si>
  <si>
    <t>Planilha com os horários dos funcionários de coleta de resíduos de serviços de saúde</t>
  </si>
  <si>
    <t xml:space="preserve">Periodicidade: Quinzenal  </t>
  </si>
  <si>
    <t xml:space="preserve">Nr. Func. </t>
  </si>
  <si>
    <t xml:space="preserve">Cargo </t>
  </si>
  <si>
    <t xml:space="preserve">Dias </t>
  </si>
  <si>
    <t xml:space="preserve">Entrada </t>
  </si>
  <si>
    <t>Saída</t>
  </si>
  <si>
    <t>Total Horas</t>
  </si>
  <si>
    <t xml:space="preserve">Coletor resíduos </t>
  </si>
  <si>
    <t xml:space="preserve">a definir </t>
  </si>
  <si>
    <t xml:space="preserve">Motorista </t>
  </si>
  <si>
    <t xml:space="preserve">Cargo: Coletor e motorista </t>
  </si>
  <si>
    <t xml:space="preserve">Total de horas por coletor e motorista </t>
  </si>
  <si>
    <t xml:space="preserve">Total de dias por semana </t>
  </si>
  <si>
    <t xml:space="preserve">Total de horas por semana </t>
  </si>
  <si>
    <t xml:space="preserve">Dias úteis semana </t>
  </si>
  <si>
    <t>Total de dias com (DSR) Descanso Semanal Remunerado</t>
  </si>
  <si>
    <t>Total de horas/dia com (DSR)</t>
  </si>
  <si>
    <t xml:space="preserve">Total de dias no mês (30 dias) </t>
  </si>
  <si>
    <t>Total geral de horas mês com (DSR)</t>
  </si>
  <si>
    <t>Total geral de horas base mês com (DSR)</t>
  </si>
  <si>
    <t xml:space="preserve">Fator de utilização </t>
  </si>
  <si>
    <t xml:space="preserve">Rota de Coleta de Resíduos de Serviços de Saúde </t>
  </si>
  <si>
    <t>Rota 1  - Coleta de Resíduos de Saúde</t>
  </si>
  <si>
    <t xml:space="preserve">Locais de coleta:  Secretaria de Saúde </t>
  </si>
  <si>
    <t>Trecho</t>
  </si>
  <si>
    <t>Ponto a Ponto</t>
  </si>
  <si>
    <t>Distância</t>
  </si>
  <si>
    <t>Unid</t>
  </si>
  <si>
    <t>Trecho 01</t>
  </si>
  <si>
    <t>Coleta interna (Postos x UBS)</t>
  </si>
  <si>
    <t>1</t>
  </si>
  <si>
    <t>Trecho 02</t>
  </si>
  <si>
    <t>Destino Final x Centro de Saúde (ida e volta)</t>
  </si>
  <si>
    <t>2</t>
  </si>
  <si>
    <t>Distância total do percurso (02 vezes mês)</t>
  </si>
  <si>
    <t xml:space="preserve">Probabilidade de coleta nos municípios na mesma viagem </t>
  </si>
  <si>
    <t xml:space="preserve">Municípios </t>
  </si>
  <si>
    <t>Mun.</t>
  </si>
  <si>
    <t xml:space="preserve">Rateio proporcional nos municípios </t>
  </si>
  <si>
    <t>Distância total mensal (02 vezes mês)</t>
  </si>
</sst>
</file>

<file path=xl/styles.xml><?xml version="1.0" encoding="utf-8"?>
<styleSheet xmlns="http://schemas.openxmlformats.org/spreadsheetml/2006/main" xmlns:xr9="http://schemas.microsoft.com/office/spreadsheetml/2016/revision9">
  <numFmts count="16">
    <numFmt numFmtId="176" formatCode="_(* #,##0.00_);_(* \(#,##0.00\);_(* &quot;-&quot;??_);_(@_)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_-* #,##0.0_-;\-* #,##0.0_-;_-* &quot;-&quot;??_-;_-@_-"/>
    <numFmt numFmtId="181" formatCode="_-* #,##0.00_-;\-* #,##0.00_-;_-* &quot;-&quot;??_-;_-@_-"/>
    <numFmt numFmtId="182" formatCode="_ * #,##0.00_ ;_ * \-#,##0.00_ ;_ * &quot;-&quot;??_ ;_ @_ "/>
    <numFmt numFmtId="183" formatCode="_-* #,##0_-;\-* #,##0_-;_-* &quot;-&quot;??_-;_-@_-"/>
    <numFmt numFmtId="184" formatCode="0.0000"/>
    <numFmt numFmtId="185" formatCode="_(* #,##0_);_(* \(#,##0\);_(* &quot;-&quot;??_);_(@_)"/>
    <numFmt numFmtId="186" formatCode="&quot;R$ &quot;#,##0.00"/>
    <numFmt numFmtId="187" formatCode="&quot;R$ &quot;#,##0.00_);\(&quot;R$ &quot;#,##0.00\)"/>
    <numFmt numFmtId="188" formatCode="_(* #,##0.0000_);_(* \(#,##0.0000\);_(* &quot;-&quot;??_);_(@_)"/>
    <numFmt numFmtId="189" formatCode="#\ ??/??"/>
    <numFmt numFmtId="190" formatCode="_(* #,##0.000_);_(* \(#,##0.000\);_(* &quot;-&quot;??_);_(@_)"/>
    <numFmt numFmtId="191" formatCode="_(* #,##0.00000_);_(* \(#,##0.00000\);_(* &quot;-&quot;??_);_(@_)"/>
  </numFmts>
  <fonts count="46">
    <font>
      <sz val="10"/>
      <name val="Arial"/>
      <charset val="134"/>
    </font>
    <font>
      <sz val="11"/>
      <color theme="1"/>
      <name val="Calibri"/>
      <charset val="134"/>
      <scheme val="minor"/>
    </font>
    <font>
      <b/>
      <sz val="14"/>
      <name val="Arial"/>
      <charset val="134"/>
    </font>
    <font>
      <b/>
      <sz val="11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0"/>
      <name val="Arial"/>
      <charset val="134"/>
    </font>
    <font>
      <b/>
      <sz val="10"/>
      <name val="Arial"/>
      <charset val="134"/>
    </font>
    <font>
      <b/>
      <sz val="12"/>
      <name val="Arial"/>
      <charset val="134"/>
    </font>
    <font>
      <b/>
      <sz val="11"/>
      <color rgb="FF000000"/>
      <name val="Arial"/>
      <charset val="134"/>
    </font>
    <font>
      <sz val="11"/>
      <color rgb="FF000000"/>
      <name val="Arial"/>
      <charset val="134"/>
    </font>
    <font>
      <sz val="11"/>
      <name val="Arial"/>
      <charset val="134"/>
    </font>
    <font>
      <b/>
      <sz val="12"/>
      <color rgb="FFFF0000"/>
      <name val="Arial"/>
      <charset val="134"/>
    </font>
    <font>
      <b/>
      <sz val="11"/>
      <name val="Arial"/>
      <charset val="134"/>
    </font>
    <font>
      <sz val="11"/>
      <color theme="1"/>
      <name val="Arial"/>
      <charset val="134"/>
    </font>
    <font>
      <sz val="10"/>
      <color rgb="FF000000"/>
      <name val="Arial"/>
      <charset val="134"/>
    </font>
    <font>
      <sz val="13"/>
      <color theme="1"/>
      <name val="Arial"/>
      <charset val="134"/>
    </font>
    <font>
      <u/>
      <sz val="10"/>
      <color indexed="12"/>
      <name val="Arial"/>
      <charset val="134"/>
    </font>
    <font>
      <sz val="10"/>
      <color theme="1"/>
      <name val="Arial"/>
      <charset val="134"/>
    </font>
    <font>
      <sz val="8"/>
      <name val="Arial"/>
      <charset val="134"/>
    </font>
    <font>
      <sz val="10"/>
      <color indexed="10"/>
      <name val="Arial"/>
      <charset val="134"/>
    </font>
    <font>
      <sz val="12"/>
      <name val="Arial"/>
      <charset val="134"/>
    </font>
    <font>
      <b/>
      <sz val="9"/>
      <name val="Arial"/>
      <charset val="134"/>
    </font>
    <font>
      <sz val="9"/>
      <name val="Arial"/>
      <charset val="134"/>
    </font>
    <font>
      <i/>
      <sz val="10"/>
      <name val="Arial"/>
      <charset val="134"/>
    </font>
    <font>
      <sz val="10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u/>
      <sz val="9"/>
      <name val="Arial"/>
      <charset val="134"/>
    </font>
    <font>
      <sz val="9"/>
      <name val="Tahoma"/>
      <charset val="134"/>
    </font>
    <font>
      <b/>
      <sz val="9"/>
      <name val="Tahoma"/>
      <charset val="134"/>
    </font>
  </fonts>
  <fills count="42">
    <fill>
      <patternFill patternType="none"/>
    </fill>
    <fill>
      <patternFill patternType="gray125"/>
    </fill>
    <fill>
      <patternFill patternType="solid">
        <fgColor theme="2" tint="-0.099978637043366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176" fontId="5" fillId="0" borderId="0" applyFont="0" applyFill="0" applyBorder="0" applyAlignment="0" applyProtection="0"/>
    <xf numFmtId="177" fontId="24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178" fontId="24" fillId="0" borderId="0" applyFont="0" applyFill="0" applyBorder="0" applyAlignment="0" applyProtection="0">
      <alignment vertical="center"/>
    </xf>
    <xf numFmtId="179" fontId="24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center"/>
    </xf>
    <xf numFmtId="0" fontId="24" fillId="11" borderId="4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3" applyNumberFormat="0" applyFill="0" applyAlignment="0" applyProtection="0">
      <alignment vertical="center"/>
    </xf>
    <xf numFmtId="0" fontId="31" fillId="0" borderId="44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12" borderId="45" applyNumberFormat="0" applyAlignment="0" applyProtection="0">
      <alignment vertical="center"/>
    </xf>
    <xf numFmtId="0" fontId="33" fillId="13" borderId="46" applyNumberFormat="0" applyAlignment="0" applyProtection="0">
      <alignment vertical="center"/>
    </xf>
    <xf numFmtId="0" fontId="34" fillId="13" borderId="45" applyNumberFormat="0" applyAlignment="0" applyProtection="0">
      <alignment vertical="center"/>
    </xf>
    <xf numFmtId="0" fontId="35" fillId="14" borderId="47" applyNumberFormat="0" applyAlignment="0" applyProtection="0">
      <alignment vertical="center"/>
    </xf>
    <xf numFmtId="0" fontId="36" fillId="0" borderId="48" applyNumberFormat="0" applyFill="0" applyAlignment="0" applyProtection="0">
      <alignment vertical="center"/>
    </xf>
    <xf numFmtId="0" fontId="37" fillId="0" borderId="49" applyNumberFormat="0" applyFill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76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5" fillId="0" borderId="0" applyFont="0" applyFill="0" applyBorder="0" applyAlignment="0" applyProtection="0"/>
  </cellStyleXfs>
  <cellXfs count="357">
    <xf numFmtId="0" fontId="0" fillId="0" borderId="0" xfId="0"/>
    <xf numFmtId="0" fontId="1" fillId="0" borderId="0" xfId="56" applyAlignment="1">
      <alignment horizontal="center"/>
    </xf>
    <xf numFmtId="0" fontId="1" fillId="0" borderId="0" xfId="56"/>
    <xf numFmtId="0" fontId="2" fillId="0" borderId="0" xfId="0" applyFont="1" applyAlignment="1">
      <alignment vertical="center"/>
    </xf>
    <xf numFmtId="0" fontId="3" fillId="0" borderId="0" xfId="56" applyFont="1"/>
    <xf numFmtId="0" fontId="1" fillId="0" borderId="1" xfId="56" applyFont="1" applyBorder="1" applyAlignment="1">
      <alignment horizontal="center"/>
    </xf>
    <xf numFmtId="0" fontId="1" fillId="0" borderId="1" xfId="56" applyBorder="1" applyAlignment="1">
      <alignment horizontal="center"/>
    </xf>
    <xf numFmtId="0" fontId="1" fillId="0" borderId="0" xfId="56" applyBorder="1" applyAlignment="1">
      <alignment horizontal="center"/>
    </xf>
    <xf numFmtId="0" fontId="1" fillId="0" borderId="1" xfId="56" applyBorder="1" applyAlignment="1">
      <alignment horizontal="center" wrapText="1"/>
    </xf>
    <xf numFmtId="49" fontId="1" fillId="0" borderId="1" xfId="56" applyNumberFormat="1" applyFont="1" applyBorder="1" applyAlignment="1">
      <alignment horizontal="center"/>
    </xf>
    <xf numFmtId="4" fontId="1" fillId="0" borderId="1" xfId="56" applyNumberFormat="1" applyBorder="1"/>
    <xf numFmtId="0" fontId="1" fillId="0" borderId="1" xfId="56" applyFont="1" applyBorder="1"/>
    <xf numFmtId="0" fontId="1" fillId="0" borderId="0" xfId="56" applyBorder="1"/>
    <xf numFmtId="0" fontId="1" fillId="0" borderId="1" xfId="56" applyFont="1" applyBorder="1" applyAlignment="1">
      <alignment horizontal="center" wrapText="1"/>
    </xf>
    <xf numFmtId="49" fontId="1" fillId="0" borderId="1" xfId="56" applyNumberFormat="1" applyBorder="1" applyAlignment="1">
      <alignment horizontal="center"/>
    </xf>
    <xf numFmtId="0" fontId="1" fillId="0" borderId="1" xfId="56" applyBorder="1"/>
    <xf numFmtId="0" fontId="1" fillId="0" borderId="1" xfId="56" applyFont="1" applyFill="1" applyBorder="1" applyAlignment="1">
      <alignment horizontal="right"/>
    </xf>
    <xf numFmtId="0" fontId="1" fillId="0" borderId="1" xfId="56" applyFill="1" applyBorder="1" applyAlignment="1">
      <alignment horizontal="right"/>
    </xf>
    <xf numFmtId="2" fontId="3" fillId="0" borderId="1" xfId="73" applyNumberFormat="1" applyFont="1" applyBorder="1"/>
    <xf numFmtId="0" fontId="1" fillId="0" borderId="2" xfId="56" applyBorder="1" applyAlignment="1">
      <alignment horizontal="center"/>
    </xf>
    <xf numFmtId="0" fontId="1" fillId="0" borderId="3" xfId="56" applyBorder="1" applyAlignment="1">
      <alignment horizontal="center"/>
    </xf>
    <xf numFmtId="0" fontId="1" fillId="0" borderId="4" xfId="56" applyBorder="1" applyAlignment="1">
      <alignment horizontal="center"/>
    </xf>
    <xf numFmtId="0" fontId="1" fillId="0" borderId="5" xfId="56" applyFont="1" applyBorder="1" applyAlignment="1">
      <alignment horizontal="center" vertical="center" wrapText="1"/>
    </xf>
    <xf numFmtId="0" fontId="1" fillId="0" borderId="1" xfId="56" applyFont="1" applyBorder="1" applyAlignment="1">
      <alignment horizontal="center" vertical="center" wrapText="1"/>
    </xf>
    <xf numFmtId="4" fontId="1" fillId="0" borderId="1" xfId="56" applyNumberFormat="1" applyBorder="1" applyAlignment="1">
      <alignment vertical="center" wrapText="1"/>
    </xf>
    <xf numFmtId="0" fontId="1" fillId="0" borderId="6" xfId="56" applyFont="1" applyBorder="1" applyAlignment="1">
      <alignment horizontal="center" vertical="center" wrapText="1"/>
    </xf>
    <xf numFmtId="0" fontId="3" fillId="0" borderId="5" xfId="56" applyFont="1" applyBorder="1" applyAlignment="1">
      <alignment horizontal="left"/>
    </xf>
    <xf numFmtId="0" fontId="3" fillId="0" borderId="1" xfId="56" applyFont="1" applyBorder="1" applyAlignment="1">
      <alignment horizontal="left"/>
    </xf>
    <xf numFmtId="0" fontId="1" fillId="0" borderId="6" xfId="56" applyFont="1" applyBorder="1" applyAlignment="1">
      <alignment horizontal="center"/>
    </xf>
    <xf numFmtId="0" fontId="3" fillId="0" borderId="7" xfId="56" applyFont="1" applyBorder="1" applyAlignment="1">
      <alignment horizontal="left"/>
    </xf>
    <xf numFmtId="0" fontId="3" fillId="0" borderId="8" xfId="56" applyFont="1" applyBorder="1" applyAlignment="1">
      <alignment horizontal="left"/>
    </xf>
    <xf numFmtId="2" fontId="3" fillId="0" borderId="9" xfId="73" applyNumberFormat="1" applyFont="1" applyBorder="1"/>
    <xf numFmtId="0" fontId="1" fillId="0" borderId="10" xfId="56" applyBorder="1" applyAlignment="1">
      <alignment horizontal="center"/>
    </xf>
    <xf numFmtId="0" fontId="1" fillId="0" borderId="0" xfId="56" applyBorder="1" applyAlignment="1">
      <alignment wrapText="1"/>
    </xf>
    <xf numFmtId="0" fontId="1" fillId="0" borderId="0" xfId="56" applyBorder="1" applyAlignment="1"/>
    <xf numFmtId="2" fontId="1" fillId="0" borderId="0" xfId="56" applyNumberFormat="1" applyBorder="1" applyAlignment="1">
      <alignment horizontal="center"/>
    </xf>
    <xf numFmtId="0" fontId="1" fillId="0" borderId="0" xfId="56" applyBorder="1" applyAlignment="1">
      <alignment vertical="center" wrapText="1"/>
    </xf>
    <xf numFmtId="2" fontId="1" fillId="0" borderId="0" xfId="56" applyNumberFormat="1" applyBorder="1"/>
    <xf numFmtId="0" fontId="1" fillId="0" borderId="0" xfId="59"/>
    <xf numFmtId="0" fontId="4" fillId="0" borderId="0" xfId="63" applyFont="1"/>
    <xf numFmtId="0" fontId="3" fillId="0" borderId="0" xfId="59" applyFont="1"/>
    <xf numFmtId="0" fontId="3" fillId="0" borderId="1" xfId="59" applyFont="1" applyBorder="1"/>
    <xf numFmtId="0" fontId="3" fillId="0" borderId="1" xfId="59" applyFont="1" applyBorder="1" applyAlignment="1">
      <alignment horizontal="center"/>
    </xf>
    <xf numFmtId="20" fontId="3" fillId="0" borderId="1" xfId="59" applyNumberFormat="1" applyFont="1" applyBorder="1"/>
    <xf numFmtId="176" fontId="1" fillId="0" borderId="0" xfId="1" applyFont="1"/>
    <xf numFmtId="181" fontId="1" fillId="0" borderId="0" xfId="59" applyNumberFormat="1"/>
    <xf numFmtId="0" fontId="1" fillId="0" borderId="11" xfId="59" applyFont="1" applyBorder="1"/>
    <xf numFmtId="0" fontId="1" fillId="0" borderId="3" xfId="59" applyBorder="1"/>
    <xf numFmtId="176" fontId="1" fillId="0" borderId="1" xfId="1" applyFont="1" applyBorder="1"/>
    <xf numFmtId="0" fontId="1" fillId="0" borderId="1" xfId="59" applyBorder="1"/>
    <xf numFmtId="0" fontId="1" fillId="0" borderId="11" xfId="59" applyBorder="1"/>
    <xf numFmtId="0" fontId="3" fillId="0" borderId="11" xfId="59" applyFont="1" applyBorder="1"/>
    <xf numFmtId="0" fontId="3" fillId="0" borderId="3" xfId="59" applyFont="1" applyBorder="1"/>
    <xf numFmtId="176" fontId="3" fillId="0" borderId="1" xfId="1" applyFont="1" applyBorder="1"/>
    <xf numFmtId="10" fontId="3" fillId="0" borderId="1" xfId="3" applyNumberFormat="1" applyFont="1" applyBorder="1"/>
    <xf numFmtId="0" fontId="1" fillId="0" borderId="0" xfId="63"/>
    <xf numFmtId="0" fontId="3" fillId="0" borderId="0" xfId="63" applyFont="1"/>
    <xf numFmtId="0" fontId="3" fillId="0" borderId="11" xfId="63" applyFont="1" applyBorder="1" applyAlignment="1"/>
    <xf numFmtId="0" fontId="3" fillId="0" borderId="3" xfId="63" applyFont="1" applyBorder="1" applyAlignment="1"/>
    <xf numFmtId="0" fontId="3" fillId="0" borderId="12" xfId="63" applyFont="1" applyBorder="1" applyAlignment="1"/>
    <xf numFmtId="0" fontId="3" fillId="0" borderId="1" xfId="63" applyFont="1" applyBorder="1" applyAlignment="1">
      <alignment horizontal="center"/>
    </xf>
    <xf numFmtId="0" fontId="1" fillId="0" borderId="1" xfId="63" applyBorder="1" applyAlignment="1">
      <alignment horizontal="center"/>
    </xf>
    <xf numFmtId="183" fontId="0" fillId="0" borderId="1" xfId="77" applyNumberFormat="1" applyFont="1" applyBorder="1" applyAlignment="1">
      <alignment horizontal="center"/>
    </xf>
    <xf numFmtId="176" fontId="0" fillId="0" borderId="1" xfId="1" applyFont="1" applyBorder="1" applyAlignment="1">
      <alignment horizontal="center"/>
    </xf>
    <xf numFmtId="181" fontId="0" fillId="0" borderId="1" xfId="77" applyNumberFormat="1" applyFont="1" applyBorder="1" applyAlignment="1">
      <alignment horizontal="center"/>
    </xf>
    <xf numFmtId="0" fontId="3" fillId="0" borderId="11" xfId="63" applyFont="1" applyBorder="1" applyAlignment="1">
      <alignment horizontal="center"/>
    </xf>
    <xf numFmtId="0" fontId="3" fillId="0" borderId="12" xfId="63" applyFont="1" applyBorder="1" applyAlignment="1">
      <alignment horizontal="center"/>
    </xf>
    <xf numFmtId="176" fontId="0" fillId="0" borderId="12" xfId="1" applyFont="1" applyBorder="1" applyAlignment="1">
      <alignment horizontal="center"/>
    </xf>
    <xf numFmtId="0" fontId="1" fillId="0" borderId="11" xfId="63" applyBorder="1" applyAlignment="1">
      <alignment horizontal="center"/>
    </xf>
    <xf numFmtId="183" fontId="0" fillId="0" borderId="12" xfId="77" applyNumberFormat="1" applyFont="1" applyBorder="1" applyAlignment="1">
      <alignment horizontal="center"/>
    </xf>
    <xf numFmtId="181" fontId="0" fillId="0" borderId="1" xfId="77" applyNumberFormat="1" applyFont="1" applyBorder="1" applyAlignment="1"/>
    <xf numFmtId="184" fontId="1" fillId="0" borderId="0" xfId="63" applyNumberFormat="1"/>
    <xf numFmtId="185" fontId="5" fillId="0" borderId="0" xfId="1" applyNumberFormat="1" applyFont="1" applyBorder="1"/>
    <xf numFmtId="0" fontId="1" fillId="0" borderId="0" xfId="63" applyFont="1"/>
    <xf numFmtId="181" fontId="1" fillId="0" borderId="0" xfId="63" applyNumberFormat="1"/>
    <xf numFmtId="0" fontId="6" fillId="0" borderId="0" xfId="0" applyFont="1"/>
    <xf numFmtId="0" fontId="5" fillId="0" borderId="0" xfId="0" applyFont="1"/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2" fontId="9" fillId="3" borderId="9" xfId="0" applyNumberFormat="1" applyFont="1" applyFill="1" applyBorder="1" applyAlignment="1">
      <alignment horizontal="right" vertical="center"/>
    </xf>
    <xf numFmtId="0" fontId="10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Alignment="1">
      <alignment horizontal="center"/>
    </xf>
    <xf numFmtId="4" fontId="5" fillId="0" borderId="0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4" fontId="11" fillId="0" borderId="0" xfId="0" applyNumberFormat="1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176" fontId="0" fillId="0" borderId="0" xfId="1" applyFont="1" applyAlignment="1">
      <alignment vertical="center"/>
    </xf>
    <xf numFmtId="4" fontId="7" fillId="0" borderId="0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9" fontId="12" fillId="0" borderId="21" xfId="3" applyFont="1" applyBorder="1" applyAlignment="1">
      <alignment horizontal="center"/>
    </xf>
    <xf numFmtId="9" fontId="12" fillId="0" borderId="22" xfId="3" applyFont="1" applyBorder="1" applyAlignment="1">
      <alignment horizontal="center"/>
    </xf>
    <xf numFmtId="9" fontId="12" fillId="0" borderId="23" xfId="3" applyFont="1" applyBorder="1" applyAlignment="1">
      <alignment horizontal="center"/>
    </xf>
    <xf numFmtId="0" fontId="10" fillId="0" borderId="19" xfId="0" applyFont="1" applyBorder="1"/>
    <xf numFmtId="0" fontId="10" fillId="0" borderId="0" xfId="0" applyFont="1" applyBorder="1"/>
    <xf numFmtId="9" fontId="10" fillId="0" borderId="5" xfId="3" applyFont="1" applyBorder="1"/>
    <xf numFmtId="9" fontId="10" fillId="0" borderId="1" xfId="3" applyFont="1" applyBorder="1" applyAlignment="1">
      <alignment horizontal="center"/>
    </xf>
    <xf numFmtId="9" fontId="10" fillId="0" borderId="6" xfId="3" applyFont="1" applyBorder="1"/>
    <xf numFmtId="0" fontId="10" fillId="0" borderId="21" xfId="0" applyFont="1" applyFill="1" applyBorder="1" applyAlignment="1">
      <alignment horizontal="left" vertical="center"/>
    </xf>
    <xf numFmtId="0" fontId="10" fillId="0" borderId="22" xfId="0" applyFont="1" applyFill="1" applyBorder="1" applyAlignment="1">
      <alignment horizontal="center" vertical="center"/>
    </xf>
    <xf numFmtId="10" fontId="10" fillId="4" borderId="23" xfId="0" applyNumberFormat="1" applyFont="1" applyFill="1" applyBorder="1" applyAlignment="1">
      <alignment horizontal="center" vertical="center"/>
    </xf>
    <xf numFmtId="10" fontId="10" fillId="0" borderId="5" xfId="3" applyNumberFormat="1" applyFont="1" applyBorder="1" applyAlignment="1">
      <alignment horizontal="right"/>
    </xf>
    <xf numFmtId="10" fontId="10" fillId="0" borderId="1" xfId="3" applyNumberFormat="1" applyFont="1" applyBorder="1" applyAlignment="1">
      <alignment horizontal="right"/>
    </xf>
    <xf numFmtId="10" fontId="10" fillId="0" borderId="6" xfId="3" applyNumberFormat="1" applyFont="1" applyBorder="1" applyAlignment="1">
      <alignment horizontal="right"/>
    </xf>
    <xf numFmtId="0" fontId="10" fillId="0" borderId="5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10" fontId="10" fillId="4" borderId="6" xfId="0" applyNumberFormat="1" applyFont="1" applyFill="1" applyBorder="1" applyAlignment="1">
      <alignment horizontal="center" vertical="center"/>
    </xf>
    <xf numFmtId="10" fontId="10" fillId="0" borderId="6" xfId="0" applyNumberFormat="1" applyFont="1" applyFill="1" applyBorder="1" applyAlignment="1">
      <alignment horizontal="center" vertical="center"/>
    </xf>
    <xf numFmtId="10" fontId="10" fillId="4" borderId="1" xfId="3" applyNumberFormat="1" applyFont="1" applyFill="1" applyBorder="1" applyAlignment="1">
      <alignment horizontal="center"/>
    </xf>
    <xf numFmtId="10" fontId="10" fillId="0" borderId="6" xfId="3" applyNumberFormat="1" applyFont="1" applyBorder="1"/>
    <xf numFmtId="0" fontId="10" fillId="0" borderId="5" xfId="0" applyFont="1" applyBorder="1" applyAlignment="1">
      <alignment horizontal="right"/>
    </xf>
    <xf numFmtId="0" fontId="10" fillId="4" borderId="1" xfId="0" applyFont="1" applyFill="1" applyBorder="1" applyAlignment="1">
      <alignment horizontal="center"/>
    </xf>
    <xf numFmtId="0" fontId="10" fillId="0" borderId="6" xfId="0" applyFont="1" applyBorder="1"/>
    <xf numFmtId="0" fontId="10" fillId="0" borderId="15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center" vertical="center"/>
    </xf>
    <xf numFmtId="10" fontId="10" fillId="4" borderId="10" xfId="0" applyNumberFormat="1" applyFont="1" applyFill="1" applyBorder="1" applyAlignment="1">
      <alignment horizontal="center" vertical="center"/>
    </xf>
    <xf numFmtId="0" fontId="10" fillId="0" borderId="5" xfId="0" applyFont="1" applyBorder="1"/>
    <xf numFmtId="0" fontId="10" fillId="0" borderId="1" xfId="0" applyFont="1" applyBorder="1" applyAlignment="1">
      <alignment horizontal="center"/>
    </xf>
    <xf numFmtId="0" fontId="10" fillId="0" borderId="16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10" fontId="10" fillId="0" borderId="18" xfId="0" applyNumberFormat="1" applyFont="1" applyFill="1" applyBorder="1" applyAlignment="1">
      <alignment vertical="center"/>
    </xf>
    <xf numFmtId="0" fontId="10" fillId="0" borderId="24" xfId="0" applyFont="1" applyFill="1" applyBorder="1" applyAlignment="1">
      <alignment horizontal="left" vertical="center"/>
    </xf>
    <xf numFmtId="0" fontId="10" fillId="0" borderId="25" xfId="0" applyFont="1" applyFill="1" applyBorder="1" applyAlignment="1">
      <alignment horizontal="left" vertical="center"/>
    </xf>
    <xf numFmtId="0" fontId="10" fillId="0" borderId="26" xfId="0" applyFont="1" applyFill="1" applyBorder="1" applyAlignment="1">
      <alignment vertical="center"/>
    </xf>
    <xf numFmtId="0" fontId="12" fillId="5" borderId="13" xfId="0" applyFont="1" applyFill="1" applyBorder="1" applyAlignment="1">
      <alignment vertical="center" wrapText="1"/>
    </xf>
    <xf numFmtId="0" fontId="10" fillId="5" borderId="14" xfId="0" applyFont="1" applyFill="1" applyBorder="1" applyAlignment="1">
      <alignment vertical="center"/>
    </xf>
    <xf numFmtId="10" fontId="12" fillId="5" borderId="27" xfId="0" applyNumberFormat="1" applyFont="1" applyFill="1" applyBorder="1" applyAlignment="1">
      <alignment horizontal="center" vertical="center" wrapText="1"/>
    </xf>
    <xf numFmtId="10" fontId="10" fillId="0" borderId="15" xfId="3" applyNumberFormat="1" applyFont="1" applyBorder="1" applyAlignment="1">
      <alignment horizontal="right"/>
    </xf>
    <xf numFmtId="10" fontId="10" fillId="0" borderId="9" xfId="3" applyNumberFormat="1" applyFont="1" applyBorder="1" applyAlignment="1">
      <alignment horizontal="right"/>
    </xf>
    <xf numFmtId="10" fontId="10" fillId="0" borderId="10" xfId="3" applyNumberFormat="1" applyFont="1" applyBorder="1" applyAlignment="1">
      <alignment horizontal="right"/>
    </xf>
    <xf numFmtId="0" fontId="5" fillId="0" borderId="0" xfId="0" applyFont="1" applyBorder="1"/>
    <xf numFmtId="0" fontId="2" fillId="6" borderId="21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10" fontId="9" fillId="0" borderId="6" xfId="0" applyNumberFormat="1" applyFont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10" fontId="8" fillId="0" borderId="6" xfId="0" applyNumberFormat="1" applyFont="1" applyBorder="1" applyAlignment="1">
      <alignment horizontal="right" vertical="center"/>
    </xf>
    <xf numFmtId="0" fontId="9" fillId="5" borderId="5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10" fontId="8" fillId="5" borderId="6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10" fontId="5" fillId="0" borderId="0" xfId="0" applyNumberFormat="1" applyFont="1"/>
    <xf numFmtId="9" fontId="9" fillId="0" borderId="0" xfId="3" applyFont="1" applyBorder="1" applyAlignment="1">
      <alignment horizontal="right" vertical="center"/>
    </xf>
    <xf numFmtId="10" fontId="5" fillId="0" borderId="0" xfId="0" applyNumberFormat="1" applyFont="1" applyBorder="1"/>
    <xf numFmtId="0" fontId="9" fillId="0" borderId="1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0" fontId="9" fillId="7" borderId="15" xfId="0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left" vertical="center"/>
    </xf>
    <xf numFmtId="10" fontId="8" fillId="7" borderId="1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0" fontId="8" fillId="0" borderId="0" xfId="0" applyNumberFormat="1" applyFont="1" applyFill="1" applyBorder="1" applyAlignment="1">
      <alignment horizontal="right" vertical="center"/>
    </xf>
    <xf numFmtId="0" fontId="14" fillId="8" borderId="0" xfId="0" applyFont="1" applyFill="1" applyBorder="1" applyAlignment="1">
      <alignment horizontal="left" vertical="center"/>
    </xf>
    <xf numFmtId="10" fontId="9" fillId="0" borderId="0" xfId="0" applyNumberFormat="1" applyFont="1" applyFill="1" applyBorder="1" applyAlignment="1">
      <alignment horizontal="right" vertical="center"/>
    </xf>
    <xf numFmtId="0" fontId="9" fillId="8" borderId="0" xfId="0" applyFont="1" applyFill="1" applyBorder="1" applyAlignment="1">
      <alignment horizontal="left" vertical="center"/>
    </xf>
    <xf numFmtId="10" fontId="9" fillId="0" borderId="0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left" vertical="center"/>
    </xf>
    <xf numFmtId="10" fontId="8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justify" vertical="center"/>
    </xf>
    <xf numFmtId="0" fontId="16" fillId="0" borderId="0" xfId="6" applyFont="1" applyBorder="1" applyAlignment="1" applyProtection="1">
      <alignment horizontal="left" vertical="center"/>
    </xf>
    <xf numFmtId="0" fontId="17" fillId="0" borderId="0" xfId="0" applyFont="1" applyBorder="1"/>
    <xf numFmtId="0" fontId="9" fillId="0" borderId="0" xfId="0" applyFont="1" applyBorder="1" applyAlignment="1">
      <alignment horizontal="right" vertical="center"/>
    </xf>
    <xf numFmtId="0" fontId="16" fillId="0" borderId="0" xfId="6" applyFont="1" applyBorder="1" applyAlignment="1" applyProtection="1">
      <alignment vertical="center"/>
    </xf>
    <xf numFmtId="0" fontId="10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176" fontId="5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4" fontId="20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176" fontId="10" fillId="0" borderId="0" xfId="1" applyFont="1" applyAlignment="1">
      <alignment vertical="center"/>
    </xf>
    <xf numFmtId="0" fontId="12" fillId="6" borderId="28" xfId="0" applyFont="1" applyFill="1" applyBorder="1" applyAlignment="1">
      <alignment horizontal="center" vertical="center"/>
    </xf>
    <xf numFmtId="0" fontId="12" fillId="6" borderId="29" xfId="0" applyFont="1" applyFill="1" applyBorder="1" applyAlignment="1">
      <alignment horizontal="center" vertical="center"/>
    </xf>
    <xf numFmtId="0" fontId="12" fillId="6" borderId="30" xfId="0" applyFont="1" applyFill="1" applyBorder="1" applyAlignment="1">
      <alignment horizontal="center" vertical="center"/>
    </xf>
    <xf numFmtId="0" fontId="0" fillId="0" borderId="19" xfId="0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176" fontId="0" fillId="0" borderId="0" xfId="1" applyFont="1" applyFill="1" applyBorder="1" applyAlignment="1">
      <alignment vertical="center"/>
    </xf>
    <xf numFmtId="176" fontId="0" fillId="0" borderId="20" xfId="1" applyFont="1" applyFill="1" applyBorder="1" applyAlignment="1">
      <alignment vertical="center"/>
    </xf>
    <xf numFmtId="176" fontId="7" fillId="6" borderId="13" xfId="1" applyFont="1" applyFill="1" applyBorder="1" applyAlignment="1">
      <alignment horizontal="center" vertical="center"/>
    </xf>
    <xf numFmtId="176" fontId="7" fillId="6" borderId="14" xfId="1" applyFont="1" applyFill="1" applyBorder="1" applyAlignment="1">
      <alignment horizontal="center" vertical="center"/>
    </xf>
    <xf numFmtId="176" fontId="7" fillId="6" borderId="27" xfId="1" applyFont="1" applyFill="1" applyBorder="1" applyAlignment="1">
      <alignment horizontal="center" vertical="center"/>
    </xf>
    <xf numFmtId="176" fontId="6" fillId="0" borderId="31" xfId="1" applyFont="1" applyBorder="1" applyAlignment="1">
      <alignment horizontal="center" vertical="center"/>
    </xf>
    <xf numFmtId="176" fontId="0" fillId="0" borderId="32" xfId="1" applyFont="1" applyBorder="1" applyAlignment="1">
      <alignment vertical="center"/>
    </xf>
    <xf numFmtId="176" fontId="6" fillId="0" borderId="32" xfId="1" applyFont="1" applyBorder="1" applyAlignment="1">
      <alignment vertical="center"/>
    </xf>
    <xf numFmtId="176" fontId="6" fillId="0" borderId="33" xfId="1" applyFont="1" applyBorder="1" applyAlignment="1">
      <alignment vertical="center"/>
    </xf>
    <xf numFmtId="176" fontId="6" fillId="0" borderId="23" xfId="1" applyFont="1" applyBorder="1" applyAlignment="1">
      <alignment horizontal="center" vertical="center"/>
    </xf>
    <xf numFmtId="176" fontId="6" fillId="0" borderId="2" xfId="1" applyFont="1" applyBorder="1" applyAlignment="1">
      <alignment vertical="center"/>
    </xf>
    <xf numFmtId="176" fontId="6" fillId="0" borderId="3" xfId="0" applyNumberFormat="1" applyFont="1" applyBorder="1" applyAlignment="1">
      <alignment vertical="center"/>
    </xf>
    <xf numFmtId="176" fontId="6" fillId="0" borderId="3" xfId="1" applyFont="1" applyBorder="1" applyAlignment="1">
      <alignment vertical="center"/>
    </xf>
    <xf numFmtId="186" fontId="6" fillId="0" borderId="1" xfId="0" applyNumberFormat="1" applyFont="1" applyBorder="1" applyAlignment="1">
      <alignment vertical="center"/>
    </xf>
    <xf numFmtId="10" fontId="6" fillId="0" borderId="4" xfId="3" applyNumberFormat="1" applyFont="1" applyBorder="1" applyAlignment="1">
      <alignment vertical="center"/>
    </xf>
    <xf numFmtId="176" fontId="6" fillId="0" borderId="0" xfId="1" applyFont="1" applyAlignment="1">
      <alignment vertical="center"/>
    </xf>
    <xf numFmtId="176" fontId="0" fillId="0" borderId="2" xfId="1" applyFont="1" applyBorder="1" applyAlignment="1">
      <alignment vertical="center"/>
    </xf>
    <xf numFmtId="176" fontId="0" fillId="0" borderId="3" xfId="0" applyNumberFormat="1" applyBorder="1" applyAlignment="1">
      <alignment vertical="center"/>
    </xf>
    <xf numFmtId="176" fontId="0" fillId="0" borderId="3" xfId="1" applyFont="1" applyBorder="1" applyAlignment="1">
      <alignment vertical="center"/>
    </xf>
    <xf numFmtId="186" fontId="0" fillId="0" borderId="1" xfId="0" applyNumberFormat="1" applyBorder="1" applyAlignment="1">
      <alignment vertical="center"/>
    </xf>
    <xf numFmtId="10" fontId="0" fillId="0" borderId="4" xfId="3" applyNumberFormat="1" applyFont="1" applyBorder="1" applyAlignment="1">
      <alignment vertical="center"/>
    </xf>
    <xf numFmtId="176" fontId="6" fillId="0" borderId="2" xfId="1" applyFont="1" applyBorder="1" applyAlignment="1">
      <alignment horizontal="left" vertical="center"/>
    </xf>
    <xf numFmtId="176" fontId="6" fillId="0" borderId="3" xfId="1" applyFont="1" applyBorder="1" applyAlignment="1">
      <alignment horizontal="left" vertical="center"/>
    </xf>
    <xf numFmtId="4" fontId="6" fillId="0" borderId="3" xfId="0" applyNumberFormat="1" applyFont="1" applyBorder="1" applyAlignment="1">
      <alignment horizontal="centerContinuous" vertical="center"/>
    </xf>
    <xf numFmtId="176" fontId="5" fillId="0" borderId="2" xfId="1" applyFont="1" applyBorder="1" applyAlignment="1">
      <alignment horizontal="left" vertical="center"/>
    </xf>
    <xf numFmtId="4" fontId="0" fillId="0" borderId="3" xfId="0" applyNumberFormat="1" applyBorder="1" applyAlignment="1">
      <alignment horizontal="centerContinuous" vertical="center"/>
    </xf>
    <xf numFmtId="10" fontId="5" fillId="0" borderId="4" xfId="3" applyNumberFormat="1" applyFont="1" applyBorder="1" applyAlignment="1">
      <alignment vertical="center"/>
    </xf>
    <xf numFmtId="186" fontId="6" fillId="0" borderId="9" xfId="0" applyNumberFormat="1" applyFont="1" applyBorder="1" applyAlignment="1">
      <alignment vertical="center"/>
    </xf>
    <xf numFmtId="176" fontId="6" fillId="0" borderId="13" xfId="1" applyFont="1" applyBorder="1" applyAlignment="1">
      <alignment horizontal="left" vertical="center"/>
    </xf>
    <xf numFmtId="4" fontId="6" fillId="0" borderId="14" xfId="0" applyNumberFormat="1" applyFont="1" applyBorder="1" applyAlignment="1">
      <alignment horizontal="centerContinuous" vertical="center"/>
    </xf>
    <xf numFmtId="176" fontId="6" fillId="0" borderId="14" xfId="1" applyFont="1" applyBorder="1" applyAlignment="1">
      <alignment vertical="center"/>
    </xf>
    <xf numFmtId="187" fontId="6" fillId="0" borderId="34" xfId="0" applyNumberFormat="1" applyFont="1" applyBorder="1" applyAlignment="1">
      <alignment vertical="center"/>
    </xf>
    <xf numFmtId="9" fontId="6" fillId="0" borderId="35" xfId="3" applyFont="1" applyBorder="1" applyAlignment="1">
      <alignment vertical="center"/>
    </xf>
    <xf numFmtId="176" fontId="0" fillId="0" borderId="0" xfId="0" applyNumberFormat="1" applyAlignment="1">
      <alignment vertical="center"/>
    </xf>
    <xf numFmtId="176" fontId="6" fillId="0" borderId="13" xfId="1" applyFont="1" applyBorder="1" applyAlignment="1">
      <alignment vertical="center"/>
    </xf>
    <xf numFmtId="10" fontId="6" fillId="4" borderId="27" xfId="3" applyNumberFormat="1" applyFont="1" applyFill="1" applyBorder="1" applyAlignment="1">
      <alignment vertical="center"/>
    </xf>
    <xf numFmtId="176" fontId="6" fillId="0" borderId="0" xfId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85" fontId="6" fillId="0" borderId="0" xfId="1" applyNumberFormat="1" applyFont="1" applyBorder="1" applyAlignment="1">
      <alignment horizontal="center" vertical="center"/>
    </xf>
    <xf numFmtId="176" fontId="5" fillId="0" borderId="0" xfId="1" applyFont="1" applyBorder="1" applyAlignment="1">
      <alignment vertical="center"/>
    </xf>
    <xf numFmtId="185" fontId="5" fillId="0" borderId="0" xfId="1" applyNumberFormat="1" applyFont="1" applyBorder="1" applyAlignment="1">
      <alignment horizontal="center" vertical="center"/>
    </xf>
    <xf numFmtId="0" fontId="21" fillId="9" borderId="36" xfId="0" applyFont="1" applyFill="1" applyBorder="1" applyAlignment="1">
      <alignment horizontal="center" vertical="center"/>
    </xf>
    <xf numFmtId="0" fontId="21" fillId="9" borderId="37" xfId="0" applyFont="1" applyFill="1" applyBorder="1" applyAlignment="1">
      <alignment horizontal="center" vertical="center"/>
    </xf>
    <xf numFmtId="176" fontId="21" fillId="9" borderId="37" xfId="1" applyFont="1" applyFill="1" applyBorder="1" applyAlignment="1">
      <alignment horizontal="center" vertical="center"/>
    </xf>
    <xf numFmtId="176" fontId="21" fillId="9" borderId="35" xfId="1" applyFont="1" applyFill="1" applyBorder="1" applyAlignment="1">
      <alignment horizontal="center" vertical="center"/>
    </xf>
    <xf numFmtId="0" fontId="5" fillId="0" borderId="38" xfId="0" applyFont="1" applyBorder="1" applyAlignment="1">
      <alignment vertical="center"/>
    </xf>
    <xf numFmtId="0" fontId="5" fillId="0" borderId="38" xfId="0" applyFont="1" applyBorder="1" applyAlignment="1">
      <alignment horizontal="center" vertical="center"/>
    </xf>
    <xf numFmtId="176" fontId="5" fillId="4" borderId="38" xfId="1" applyFont="1" applyFill="1" applyBorder="1" applyAlignment="1">
      <alignment horizontal="center" vertical="center"/>
    </xf>
    <xf numFmtId="176" fontId="5" fillId="0" borderId="38" xfId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176" fontId="5" fillId="0" borderId="1" xfId="1" applyFont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0" fontId="6" fillId="0" borderId="3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76" fontId="6" fillId="0" borderId="0" xfId="1" applyFont="1" applyAlignment="1">
      <alignment horizontal="center" vertical="center"/>
    </xf>
    <xf numFmtId="176" fontId="6" fillId="0" borderId="39" xfId="1" applyFont="1" applyBorder="1" applyAlignment="1">
      <alignment horizontal="center" vertical="center"/>
    </xf>
    <xf numFmtId="176" fontId="5" fillId="10" borderId="1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6" fontId="5" fillId="0" borderId="0" xfId="1" applyFont="1" applyAlignment="1">
      <alignment horizontal="right" vertical="center"/>
    </xf>
    <xf numFmtId="188" fontId="5" fillId="0" borderId="1" xfId="1" applyNumberFormat="1" applyFont="1" applyBorder="1" applyAlignment="1">
      <alignment vertical="center"/>
    </xf>
    <xf numFmtId="176" fontId="6" fillId="9" borderId="27" xfId="1" applyFont="1" applyFill="1" applyBorder="1" applyAlignment="1">
      <alignment horizontal="center" vertical="center"/>
    </xf>
    <xf numFmtId="1" fontId="5" fillId="4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76" fontId="6" fillId="0" borderId="1" xfId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6" fontId="6" fillId="0" borderId="3" xfId="1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Alignment="1">
      <alignment vertical="center"/>
    </xf>
    <xf numFmtId="185" fontId="5" fillId="0" borderId="1" xfId="1" applyNumberFormat="1" applyFont="1" applyBorder="1" applyAlignment="1">
      <alignment horizontal="center" vertical="center"/>
    </xf>
    <xf numFmtId="176" fontId="5" fillId="4" borderId="0" xfId="1" applyFont="1" applyFill="1" applyAlignment="1">
      <alignment vertical="center"/>
    </xf>
    <xf numFmtId="0" fontId="5" fillId="4" borderId="0" xfId="0" applyFont="1" applyFill="1" applyAlignment="1">
      <alignment vertical="center"/>
    </xf>
    <xf numFmtId="185" fontId="5" fillId="0" borderId="1" xfId="1" applyNumberFormat="1" applyFont="1" applyBorder="1" applyAlignment="1">
      <alignment vertical="center"/>
    </xf>
    <xf numFmtId="176" fontId="6" fillId="9" borderId="40" xfId="1" applyFont="1" applyFill="1" applyBorder="1" applyAlignment="1">
      <alignment vertical="center"/>
    </xf>
    <xf numFmtId="176" fontId="6" fillId="0" borderId="0" xfId="1" applyFont="1" applyFill="1" applyBorder="1" applyAlignment="1">
      <alignment vertical="center"/>
    </xf>
    <xf numFmtId="185" fontId="5" fillId="0" borderId="1" xfId="1" applyNumberFormat="1" applyFont="1" applyFill="1" applyBorder="1" applyAlignment="1">
      <alignment vertical="center"/>
    </xf>
    <xf numFmtId="176" fontId="5" fillId="4" borderId="1" xfId="1" applyNumberFormat="1" applyFont="1" applyFill="1" applyBorder="1" applyAlignment="1">
      <alignment horizontal="center" vertical="center"/>
    </xf>
    <xf numFmtId="176" fontId="5" fillId="0" borderId="1" xfId="1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176" fontId="6" fillId="0" borderId="27" xfId="1" applyFont="1" applyBorder="1" applyAlignment="1">
      <alignment vertical="center"/>
    </xf>
    <xf numFmtId="0" fontId="21" fillId="9" borderId="37" xfId="0" applyFont="1" applyFill="1" applyBorder="1" applyAlignment="1">
      <alignment horizontal="center" vertical="center" wrapText="1"/>
    </xf>
    <xf numFmtId="189" fontId="5" fillId="4" borderId="1" xfId="0" applyNumberFormat="1" applyFont="1" applyFill="1" applyBorder="1" applyAlignment="1">
      <alignment vertical="center"/>
    </xf>
    <xf numFmtId="176" fontId="0" fillId="4" borderId="1" xfId="1" applyFont="1" applyFill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76" fontId="5" fillId="0" borderId="0" xfId="1" applyFont="1"/>
    <xf numFmtId="189" fontId="5" fillId="4" borderId="1" xfId="0" applyNumberFormat="1" applyFont="1" applyFill="1" applyBorder="1" applyAlignment="1">
      <alignment horizontal="center" vertical="center"/>
    </xf>
    <xf numFmtId="189" fontId="5" fillId="0" borderId="1" xfId="0" applyNumberFormat="1" applyFont="1" applyFill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176" fontId="5" fillId="0" borderId="14" xfId="1" applyFont="1" applyBorder="1" applyAlignment="1">
      <alignment vertical="center"/>
    </xf>
    <xf numFmtId="176" fontId="5" fillId="0" borderId="27" xfId="1" applyFont="1" applyBorder="1" applyAlignment="1">
      <alignment vertical="center"/>
    </xf>
    <xf numFmtId="176" fontId="6" fillId="9" borderId="40" xfId="1" applyFont="1" applyFill="1" applyBorder="1" applyAlignment="1">
      <alignment horizontal="center" vertical="center"/>
    </xf>
    <xf numFmtId="0" fontId="16" fillId="0" borderId="0" xfId="6" applyAlignment="1" applyProtection="1">
      <alignment vertical="center"/>
    </xf>
    <xf numFmtId="0" fontId="5" fillId="0" borderId="38" xfId="0" applyFont="1" applyFill="1" applyBorder="1" applyAlignment="1">
      <alignment horizontal="center" vertical="center"/>
    </xf>
    <xf numFmtId="176" fontId="5" fillId="0" borderId="0" xfId="1" applyFont="1" applyAlignment="1">
      <alignment horizontal="center" vertical="center"/>
    </xf>
    <xf numFmtId="0" fontId="6" fillId="0" borderId="41" xfId="0" applyFont="1" applyBorder="1" applyAlignment="1">
      <alignment vertical="center"/>
    </xf>
    <xf numFmtId="0" fontId="6" fillId="0" borderId="41" xfId="0" applyFont="1" applyBorder="1" applyAlignment="1">
      <alignment horizontal="center" vertical="center"/>
    </xf>
    <xf numFmtId="176" fontId="6" fillId="0" borderId="41" xfId="1" applyFont="1" applyBorder="1" applyAlignment="1">
      <alignment horizontal="center" vertical="center"/>
    </xf>
    <xf numFmtId="176" fontId="5" fillId="10" borderId="1" xfId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6" fontId="6" fillId="0" borderId="4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6" fillId="0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4" borderId="1" xfId="1" applyFont="1" applyFill="1" applyBorder="1" applyAlignment="1">
      <alignment horizontal="center" vertical="center"/>
    </xf>
    <xf numFmtId="176" fontId="6" fillId="0" borderId="0" xfId="1" applyFont="1" applyBorder="1" applyAlignment="1">
      <alignment horizontal="center" vertical="center"/>
    </xf>
    <xf numFmtId="3" fontId="5" fillId="0" borderId="0" xfId="0" applyNumberFormat="1" applyFont="1" applyAlignment="1">
      <alignment vertical="center"/>
    </xf>
    <xf numFmtId="4" fontId="5" fillId="4" borderId="1" xfId="0" applyNumberFormat="1" applyFont="1" applyFill="1" applyBorder="1" applyAlignment="1">
      <alignment vertical="center"/>
    </xf>
    <xf numFmtId="4" fontId="5" fillId="4" borderId="38" xfId="0" applyNumberFormat="1" applyFont="1" applyFill="1" applyBorder="1" applyAlignment="1">
      <alignment horizontal="center" vertical="center"/>
    </xf>
    <xf numFmtId="190" fontId="5" fillId="4" borderId="38" xfId="1" applyNumberFormat="1" applyFont="1" applyFill="1" applyBorder="1" applyAlignment="1">
      <alignment horizontal="center" vertical="center"/>
    </xf>
    <xf numFmtId="190" fontId="5" fillId="0" borderId="38" xfId="1" applyNumberFormat="1" applyFont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176" fontId="5" fillId="0" borderId="0" xfId="1" applyFont="1" applyFill="1" applyAlignment="1">
      <alignment vertical="center"/>
    </xf>
    <xf numFmtId="0" fontId="5" fillId="0" borderId="0" xfId="0" applyFont="1" applyFill="1" applyAlignment="1">
      <alignment vertical="center"/>
    </xf>
    <xf numFmtId="190" fontId="5" fillId="0" borderId="1" xfId="1" applyNumberFormat="1" applyFont="1" applyBorder="1" applyAlignment="1">
      <alignment horizontal="center" vertical="center"/>
    </xf>
    <xf numFmtId="191" fontId="5" fillId="0" borderId="0" xfId="1" applyNumberFormat="1" applyFont="1" applyFill="1" applyAlignment="1">
      <alignment vertical="center"/>
    </xf>
    <xf numFmtId="185" fontId="6" fillId="0" borderId="1" xfId="1" applyNumberFormat="1" applyFont="1" applyBorder="1" applyAlignment="1">
      <alignment horizontal="center" vertical="center"/>
    </xf>
    <xf numFmtId="190" fontId="6" fillId="0" borderId="1" xfId="1" applyNumberFormat="1" applyFont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/>
    </xf>
    <xf numFmtId="181" fontId="5" fillId="0" borderId="0" xfId="0" applyNumberFormat="1" applyFont="1" applyAlignment="1">
      <alignment vertical="center"/>
    </xf>
    <xf numFmtId="176" fontId="5" fillId="0" borderId="38" xfId="1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center" vertical="center"/>
    </xf>
    <xf numFmtId="176" fontId="6" fillId="0" borderId="0" xfId="1" applyFont="1" applyFill="1" applyBorder="1" applyAlignment="1">
      <alignment horizontal="center" vertical="center"/>
    </xf>
    <xf numFmtId="176" fontId="5" fillId="0" borderId="0" xfId="1" applyFont="1" applyFill="1" applyBorder="1" applyAlignment="1">
      <alignment horizontal="center" vertical="center"/>
    </xf>
    <xf numFmtId="181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right" vertical="center"/>
    </xf>
    <xf numFmtId="0" fontId="22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76" fontId="23" fillId="0" borderId="1" xfId="1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176" fontId="6" fillId="9" borderId="40" xfId="1" applyNumberFormat="1" applyFont="1" applyFill="1" applyBorder="1" applyAlignment="1">
      <alignment horizontal="center" vertical="center"/>
    </xf>
    <xf numFmtId="176" fontId="19" fillId="0" borderId="0" xfId="1" applyFont="1" applyAlignment="1">
      <alignment vertical="center"/>
    </xf>
    <xf numFmtId="0" fontId="7" fillId="0" borderId="0" xfId="0" applyFont="1" applyBorder="1" applyAlignment="1">
      <alignment vertical="center"/>
    </xf>
    <xf numFmtId="176" fontId="7" fillId="0" borderId="0" xfId="1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76" fontId="5" fillId="4" borderId="3" xfId="1" applyNumberFormat="1" applyFont="1" applyFill="1" applyBorder="1" applyAlignment="1">
      <alignment vertical="center"/>
    </xf>
    <xf numFmtId="176" fontId="5" fillId="0" borderId="12" xfId="1" applyFont="1" applyBorder="1" applyAlignment="1">
      <alignment vertical="center"/>
    </xf>
    <xf numFmtId="176" fontId="6" fillId="0" borderId="27" xfId="1" applyFont="1" applyBorder="1" applyAlignment="1">
      <alignment horizontal="right" vertical="center"/>
    </xf>
    <xf numFmtId="176" fontId="6" fillId="9" borderId="40" xfId="1" applyFont="1" applyFill="1" applyBorder="1" applyAlignment="1">
      <alignment horizontal="right" vertical="center"/>
    </xf>
    <xf numFmtId="176" fontId="7" fillId="0" borderId="0" xfId="1" applyFont="1" applyAlignment="1">
      <alignment vertical="center"/>
    </xf>
    <xf numFmtId="0" fontId="7" fillId="0" borderId="0" xfId="0" applyFont="1"/>
    <xf numFmtId="0" fontId="20" fillId="0" borderId="0" xfId="0" applyFont="1"/>
    <xf numFmtId="0" fontId="7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wrapText="1"/>
    </xf>
    <xf numFmtId="176" fontId="20" fillId="0" borderId="1" xfId="1" applyFont="1" applyBorder="1"/>
    <xf numFmtId="0" fontId="20" fillId="0" borderId="1" xfId="0" applyFont="1" applyBorder="1"/>
    <xf numFmtId="0" fontId="7" fillId="0" borderId="1" xfId="0" applyFont="1" applyBorder="1"/>
    <xf numFmtId="176" fontId="7" fillId="0" borderId="1" xfId="1" applyFont="1" applyBorder="1"/>
  </cellXfs>
  <cellStyles count="83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Moeda 2" xfId="49"/>
    <cellStyle name="Moeda 3" xfId="50"/>
    <cellStyle name="Normal 10" xfId="51"/>
    <cellStyle name="Normal 11" xfId="52"/>
    <cellStyle name="Normal 12" xfId="53"/>
    <cellStyle name="Normal 13" xfId="54"/>
    <cellStyle name="Normal 14" xfId="55"/>
    <cellStyle name="Normal 15" xfId="56"/>
    <cellStyle name="Normal 2" xfId="57"/>
    <cellStyle name="Normal 2 2" xfId="58"/>
    <cellStyle name="Normal 2 3" xfId="59"/>
    <cellStyle name="Normal 3" xfId="60"/>
    <cellStyle name="Normal 4" xfId="61"/>
    <cellStyle name="Normal 5" xfId="62"/>
    <cellStyle name="Normal 6" xfId="63"/>
    <cellStyle name="Normal 7" xfId="64"/>
    <cellStyle name="Normal 8" xfId="65"/>
    <cellStyle name="Normal 9" xfId="66"/>
    <cellStyle name="Porcentagem 2" xfId="67"/>
    <cellStyle name="Porcentagem 3" xfId="68"/>
    <cellStyle name="Separador de milhares 10" xfId="69"/>
    <cellStyle name="Separador de milhares 11" xfId="70"/>
    <cellStyle name="Separador de milhares 12" xfId="71"/>
    <cellStyle name="Separador de milhares 13" xfId="72"/>
    <cellStyle name="Separador de milhares 14" xfId="73"/>
    <cellStyle name="Separador de milhares 2" xfId="74"/>
    <cellStyle name="Separador de milhares 3" xfId="75"/>
    <cellStyle name="Separador de milhares 4" xfId="76"/>
    <cellStyle name="Separador de milhares 5" xfId="77"/>
    <cellStyle name="Separador de milhares 6" xfId="78"/>
    <cellStyle name="Separador de milhares 7" xfId="79"/>
    <cellStyle name="Separador de milhares 8" xfId="80"/>
    <cellStyle name="Separador de milhares 9" xfId="81"/>
    <cellStyle name="Vírgula 2" xfId="8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"/>
  <sheetViews>
    <sheetView tabSelected="1" workbookViewId="0">
      <selection activeCell="B14" sqref="B14"/>
    </sheetView>
  </sheetViews>
  <sheetFormatPr defaultColWidth="9" defaultRowHeight="12.75" outlineLevelCol="2"/>
  <cols>
    <col min="1" max="1" width="11" customWidth="1"/>
    <col min="2" max="2" width="48" customWidth="1"/>
    <col min="3" max="3" width="16.5714285714286" customWidth="1"/>
    <col min="6" max="7" width="11.4285714285714" customWidth="1"/>
    <col min="8" max="8" width="10.4285714285714" customWidth="1"/>
  </cols>
  <sheetData>
    <row r="1" ht="15.75" spans="1:3">
      <c r="A1" s="348" t="s">
        <v>0</v>
      </c>
      <c r="B1" s="349"/>
      <c r="C1" s="349"/>
    </row>
    <row r="2" ht="15.75" spans="1:3">
      <c r="A2" s="348" t="s">
        <v>1</v>
      </c>
      <c r="B2" s="349"/>
      <c r="C2" s="349"/>
    </row>
    <row r="3" ht="15.75" spans="1:3">
      <c r="A3" s="350" t="s">
        <v>2</v>
      </c>
      <c r="B3" s="350" t="s">
        <v>3</v>
      </c>
      <c r="C3" s="350" t="s">
        <v>4</v>
      </c>
    </row>
    <row r="4" ht="30" spans="1:3">
      <c r="A4" s="351">
        <v>1</v>
      </c>
      <c r="B4" s="352" t="s">
        <v>5</v>
      </c>
      <c r="C4" s="353">
        <f>'2. Coleta Resíduos Saúde'!F234</f>
        <v>3111.68342618351</v>
      </c>
    </row>
    <row r="5" ht="15" spans="1:3">
      <c r="A5" s="351"/>
      <c r="B5" s="354"/>
      <c r="C5" s="353"/>
    </row>
    <row r="6" ht="15.75" spans="1:3">
      <c r="A6" s="355" t="s">
        <v>6</v>
      </c>
      <c r="B6" s="355"/>
      <c r="C6" s="356">
        <f>SUM(C4:C5)</f>
        <v>3111.68342618351</v>
      </c>
    </row>
    <row r="8" ht="15.75" spans="1:1">
      <c r="A8" s="348" t="s">
        <v>7</v>
      </c>
    </row>
    <row r="16" ht="15.75" spans="1:1">
      <c r="A16" s="348" t="s">
        <v>8</v>
      </c>
    </row>
  </sheetData>
  <pageMargins left="0.511811024" right="0.511811024" top="0.787401575" bottom="0.787401575" header="0.31496062" footer="0.31496062"/>
  <pageSetup paperSize="9" orientation="portrait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73"/>
  <sheetViews>
    <sheetView zoomScale="120" zoomScaleNormal="120" topLeftCell="A21" workbookViewId="0">
      <selection activeCell="B14" sqref="B14"/>
    </sheetView>
  </sheetViews>
  <sheetFormatPr defaultColWidth="9.14285714285714" defaultRowHeight="12.75"/>
  <cols>
    <col min="1" max="1" width="44.5714285714286" style="92" customWidth="1"/>
    <col min="2" max="2" width="16" style="92" customWidth="1"/>
    <col min="3" max="3" width="11.8571428571429" style="92" customWidth="1"/>
    <col min="4" max="4" width="14.7142857142857" style="188" customWidth="1"/>
    <col min="5" max="5" width="15.4285714285714" style="188" customWidth="1"/>
    <col min="6" max="6" width="13.2857142857143" style="188" customWidth="1"/>
    <col min="7" max="7" width="28.1428571428571" style="188" customWidth="1"/>
    <col min="8" max="8" width="9.14285714285714" style="92"/>
    <col min="9" max="9" width="14.5714285714286" style="92" customWidth="1"/>
    <col min="10" max="10" width="13.4285714285714" style="92" customWidth="1"/>
    <col min="11" max="16384" width="9.14285714285714" style="92"/>
  </cols>
  <sheetData>
    <row r="1" ht="15.75" hidden="1" spans="1:1">
      <c r="A1" s="189" t="s">
        <v>9</v>
      </c>
    </row>
    <row r="2" ht="15.75" hidden="1" spans="1:1">
      <c r="A2" s="96" t="s">
        <v>10</v>
      </c>
    </row>
    <row r="3" ht="15.75" hidden="1" spans="1:1">
      <c r="A3" s="96" t="s">
        <v>11</v>
      </c>
    </row>
    <row r="4" ht="15.75" hidden="1" spans="1:1">
      <c r="A4" s="96" t="s">
        <v>12</v>
      </c>
    </row>
    <row r="5" s="86" customFormat="1" ht="15.6" hidden="1" customHeight="1" spans="1:7">
      <c r="A5" s="189" t="s">
        <v>13</v>
      </c>
      <c r="C5" s="94"/>
      <c r="D5" s="94"/>
      <c r="E5" s="94"/>
      <c r="F5" s="94"/>
      <c r="G5" s="95"/>
    </row>
    <row r="6" s="86" customFormat="1" ht="15.6" hidden="1" customHeight="1" spans="1:7">
      <c r="A6" s="190" t="s">
        <v>14</v>
      </c>
      <c r="B6" s="94"/>
      <c r="C6" s="94"/>
      <c r="D6" s="94"/>
      <c r="E6" s="94"/>
      <c r="F6" s="94"/>
      <c r="G6" s="95"/>
    </row>
    <row r="7" s="86" customFormat="1" ht="15.6" hidden="1" customHeight="1" spans="1:7">
      <c r="A7" s="191"/>
      <c r="B7" s="94"/>
      <c r="C7" s="94"/>
      <c r="D7" s="94"/>
      <c r="E7" s="94"/>
      <c r="F7" s="94"/>
      <c r="G7" s="95"/>
    </row>
    <row r="8" s="86" customFormat="1" ht="15.6" hidden="1" customHeight="1" spans="1:7">
      <c r="A8" s="93" t="s">
        <v>15</v>
      </c>
      <c r="B8" s="94"/>
      <c r="C8" s="94"/>
      <c r="D8" s="94"/>
      <c r="E8" s="94"/>
      <c r="F8" s="94"/>
      <c r="G8" s="95"/>
    </row>
    <row r="9" s="86" customFormat="1" ht="15.6" hidden="1" customHeight="1" spans="1:7">
      <c r="A9" s="96" t="s">
        <v>16</v>
      </c>
      <c r="B9" s="94"/>
      <c r="C9" s="94"/>
      <c r="D9" s="94"/>
      <c r="E9" s="94"/>
      <c r="F9" s="94"/>
      <c r="G9" s="95"/>
    </row>
    <row r="10" s="86" customFormat="1" ht="16.5" hidden="1" customHeight="1" spans="1:7">
      <c r="A10" s="92"/>
      <c r="B10" s="97"/>
      <c r="C10" s="97"/>
      <c r="D10" s="95"/>
      <c r="E10" s="95"/>
      <c r="F10" s="95"/>
      <c r="G10" s="95"/>
    </row>
    <row r="11" s="86" customFormat="1" ht="16.5" customHeight="1" spans="1:7">
      <c r="A11" s="3" t="s">
        <v>17</v>
      </c>
      <c r="B11" s="97"/>
      <c r="C11" s="97"/>
      <c r="D11" s="95"/>
      <c r="E11" s="95"/>
      <c r="F11" s="95"/>
      <c r="G11" s="95"/>
    </row>
    <row r="12" s="185" customFormat="1" ht="18" spans="1:7">
      <c r="A12" s="192" t="s">
        <v>18</v>
      </c>
      <c r="B12" s="193"/>
      <c r="C12" s="193"/>
      <c r="D12" s="193"/>
      <c r="E12" s="193"/>
      <c r="F12" s="194"/>
      <c r="G12" s="195"/>
    </row>
    <row r="13" s="185" customFormat="1" ht="21.75" customHeight="1" spans="1:7">
      <c r="A13" s="196" t="s">
        <v>19</v>
      </c>
      <c r="B13" s="197"/>
      <c r="C13" s="197"/>
      <c r="D13" s="197"/>
      <c r="E13" s="197"/>
      <c r="F13" s="198"/>
      <c r="G13" s="195"/>
    </row>
    <row r="14" s="86" customFormat="1" ht="10.9" customHeight="1" spans="1:7">
      <c r="A14" s="199"/>
      <c r="B14" s="200"/>
      <c r="C14" s="200"/>
      <c r="D14" s="201"/>
      <c r="E14" s="201"/>
      <c r="F14" s="202"/>
      <c r="G14" s="95"/>
    </row>
    <row r="15" s="86" customFormat="1" ht="15.75" customHeight="1" spans="1:7">
      <c r="A15" s="203" t="s">
        <v>20</v>
      </c>
      <c r="B15" s="204"/>
      <c r="C15" s="204"/>
      <c r="D15" s="204"/>
      <c r="E15" s="204"/>
      <c r="F15" s="205"/>
      <c r="G15" s="95"/>
    </row>
    <row r="16" s="86" customFormat="1" ht="15.75" customHeight="1" spans="1:7">
      <c r="A16" s="206" t="s">
        <v>21</v>
      </c>
      <c r="B16" s="207"/>
      <c r="C16" s="207"/>
      <c r="D16" s="208"/>
      <c r="E16" s="209" t="s">
        <v>22</v>
      </c>
      <c r="F16" s="210" t="s">
        <v>23</v>
      </c>
      <c r="G16" s="95"/>
    </row>
    <row r="17" s="88" customFormat="1" ht="15.75" customHeight="1" spans="1:7">
      <c r="A17" s="211" t="str">
        <f>A39</f>
        <v>1. Mão-de-obra</v>
      </c>
      <c r="B17" s="212"/>
      <c r="C17" s="213"/>
      <c r="D17" s="213"/>
      <c r="E17" s="214">
        <f>+F89</f>
        <v>578.085980778282</v>
      </c>
      <c r="F17" s="215">
        <f t="shared" ref="F17:F34" si="0">IFERROR(E17/$E$35,0)</f>
        <v>0.185779175321606</v>
      </c>
      <c r="G17" s="216"/>
    </row>
    <row r="18" s="86" customFormat="1" ht="15.75" customHeight="1" spans="1:7">
      <c r="A18" s="217" t="str">
        <f>A40</f>
        <v>1.1. Coletor Turno Dia</v>
      </c>
      <c r="B18" s="218"/>
      <c r="C18" s="219"/>
      <c r="D18" s="219"/>
      <c r="E18" s="220">
        <f>F51</f>
        <v>229.020054224436</v>
      </c>
      <c r="F18" s="221">
        <f t="shared" si="0"/>
        <v>0.07360004950932</v>
      </c>
      <c r="G18" s="95"/>
    </row>
    <row r="19" s="86" customFormat="1" ht="15.75" customHeight="1" spans="1:7">
      <c r="A19" s="217" t="str">
        <f>A53</f>
        <v>1.2. Motorista Turno do Dia</v>
      </c>
      <c r="B19" s="218"/>
      <c r="C19" s="219"/>
      <c r="D19" s="219"/>
      <c r="E19" s="220">
        <f>F66</f>
        <v>245.4194804</v>
      </c>
      <c r="F19" s="221">
        <f t="shared" si="0"/>
        <v>0.0788703241258087</v>
      </c>
      <c r="G19" s="95"/>
    </row>
    <row r="20" s="86" customFormat="1" ht="15.75" customHeight="1" spans="1:7">
      <c r="A20" s="217" t="str">
        <f>A68</f>
        <v>1.3. Vale Transporte</v>
      </c>
      <c r="B20" s="218"/>
      <c r="C20" s="219"/>
      <c r="D20" s="219"/>
      <c r="E20" s="220">
        <f>F74</f>
        <v>18.5634461538462</v>
      </c>
      <c r="F20" s="221">
        <f t="shared" si="0"/>
        <v>0.00596572453278588</v>
      </c>
      <c r="G20" s="95"/>
    </row>
    <row r="21" s="86" customFormat="1" ht="15.75" customHeight="1" spans="1:9">
      <c r="A21" s="217" t="str">
        <f>A76</f>
        <v>1.4. Vale-refeição (diário)</v>
      </c>
      <c r="B21" s="218"/>
      <c r="C21" s="219"/>
      <c r="D21" s="219"/>
      <c r="E21" s="220">
        <f>F81</f>
        <v>74.383</v>
      </c>
      <c r="F21" s="221">
        <f t="shared" si="0"/>
        <v>0.0239044240085924</v>
      </c>
      <c r="G21" s="95"/>
      <c r="I21" s="95"/>
    </row>
    <row r="22" s="86" customFormat="1" ht="15.75" customHeight="1" spans="1:9">
      <c r="A22" s="217" t="str">
        <f>A83</f>
        <v>1.5. Abono, Auxílio Alimentação (mensal)</v>
      </c>
      <c r="B22" s="218"/>
      <c r="C22" s="219"/>
      <c r="D22" s="219"/>
      <c r="E22" s="220">
        <f>F87</f>
        <v>10.7</v>
      </c>
      <c r="F22" s="221">
        <f t="shared" si="0"/>
        <v>0.00343865314509953</v>
      </c>
      <c r="G22" s="95"/>
      <c r="I22" s="95"/>
    </row>
    <row r="23" s="88" customFormat="1" ht="15.75" customHeight="1" spans="1:9">
      <c r="A23" s="222" t="str">
        <f>A91</f>
        <v>2. Uniformes e Equipamentos de Proteção Individual</v>
      </c>
      <c r="B23" s="223"/>
      <c r="C23" s="223"/>
      <c r="D23" s="213"/>
      <c r="E23" s="214">
        <f>+F123</f>
        <v>19.7878787878788</v>
      </c>
      <c r="F23" s="215">
        <f t="shared" si="0"/>
        <v>0.00635921977839138</v>
      </c>
      <c r="G23" s="216"/>
      <c r="I23" s="216"/>
    </row>
    <row r="24" s="88" customFormat="1" ht="15.75" customHeight="1" spans="1:9">
      <c r="A24" s="222" t="str">
        <f>A125</f>
        <v>3. Veículos e Equipamentos</v>
      </c>
      <c r="B24" s="224"/>
      <c r="C24" s="213"/>
      <c r="D24" s="213"/>
      <c r="E24" s="214">
        <f>+F199</f>
        <v>822.565034848485</v>
      </c>
      <c r="F24" s="215">
        <f t="shared" si="0"/>
        <v>0.264347275152397</v>
      </c>
      <c r="G24" s="216"/>
      <c r="I24" s="216"/>
    </row>
    <row r="25" s="86" customFormat="1" ht="15.75" customHeight="1" spans="1:7">
      <c r="A25" s="225" t="str">
        <f>A126</f>
        <v>3.1. Veículo Coletor </v>
      </c>
      <c r="B25" s="226"/>
      <c r="C25" s="219"/>
      <c r="D25" s="219"/>
      <c r="E25" s="220">
        <f>SUM(E26:E31)</f>
        <v>822.565034848485</v>
      </c>
      <c r="F25" s="227">
        <f t="shared" si="0"/>
        <v>0.264347275152397</v>
      </c>
      <c r="G25" s="95"/>
    </row>
    <row r="26" s="86" customFormat="1" ht="15.75" customHeight="1" spans="1:7">
      <c r="A26" s="225" t="str">
        <f>A127</f>
        <v>3.1.1. Depreciação</v>
      </c>
      <c r="B26" s="226"/>
      <c r="C26" s="219"/>
      <c r="D26" s="219"/>
      <c r="E26" s="220">
        <f>F141</f>
        <v>69.130303030303</v>
      </c>
      <c r="F26" s="227">
        <f t="shared" si="0"/>
        <v>0.0222163676576482</v>
      </c>
      <c r="G26" s="95"/>
    </row>
    <row r="27" s="86" customFormat="1" ht="15.75" customHeight="1" spans="1:7">
      <c r="A27" s="225" t="str">
        <f>A143</f>
        <v>3.1.2. Remuneração do Capital</v>
      </c>
      <c r="B27" s="226"/>
      <c r="C27" s="219"/>
      <c r="D27" s="219"/>
      <c r="E27" s="220">
        <f>F157</f>
        <v>104.932757575758</v>
      </c>
      <c r="F27" s="227">
        <f t="shared" si="0"/>
        <v>0.0337221828842846</v>
      </c>
      <c r="G27" s="95"/>
    </row>
    <row r="28" s="86" customFormat="1" ht="15.75" customHeight="1" spans="1:7">
      <c r="A28" s="225" t="str">
        <f>A159</f>
        <v>3.1.3. Impostos e Seguros</v>
      </c>
      <c r="B28" s="226"/>
      <c r="C28" s="219"/>
      <c r="D28" s="219"/>
      <c r="E28" s="220">
        <f>F165</f>
        <v>23.1411742424242</v>
      </c>
      <c r="F28" s="227">
        <f t="shared" si="0"/>
        <v>0.0074368665037391</v>
      </c>
      <c r="G28" s="95"/>
    </row>
    <row r="29" s="86" customFormat="1" ht="15.75" customHeight="1" spans="1:7">
      <c r="A29" s="225" t="str">
        <f>A167</f>
        <v>3.1.4. Consumos</v>
      </c>
      <c r="B29" s="226"/>
      <c r="C29" s="219"/>
      <c r="D29" s="219"/>
      <c r="E29" s="220">
        <f>F183</f>
        <v>387.8858</v>
      </c>
      <c r="F29" s="227">
        <f t="shared" si="0"/>
        <v>0.124654647299948</v>
      </c>
      <c r="G29" s="95"/>
    </row>
    <row r="30" s="86" customFormat="1" ht="15.75" customHeight="1" spans="1:7">
      <c r="A30" s="225" t="str">
        <f>A185</f>
        <v>3.1.5. Manutenção</v>
      </c>
      <c r="B30" s="226"/>
      <c r="C30" s="219"/>
      <c r="D30" s="219"/>
      <c r="E30" s="220">
        <f>F188</f>
        <v>170.2</v>
      </c>
      <c r="F30" s="227">
        <f t="shared" si="0"/>
        <v>0.0546970808687795</v>
      </c>
      <c r="G30" s="95"/>
    </row>
    <row r="31" s="86" customFormat="1" ht="15.75" customHeight="1" spans="1:7">
      <c r="A31" s="225" t="str">
        <f>A190</f>
        <v>3.1.6. Pneus</v>
      </c>
      <c r="B31" s="226"/>
      <c r="C31" s="219"/>
      <c r="D31" s="219"/>
      <c r="E31" s="220">
        <f>F197</f>
        <v>67.275</v>
      </c>
      <c r="F31" s="227">
        <f t="shared" si="0"/>
        <v>0.0216201299379973</v>
      </c>
      <c r="G31" s="95"/>
    </row>
    <row r="32" s="88" customFormat="1" ht="15.75" customHeight="1" spans="1:7">
      <c r="A32" s="222" t="str">
        <f>A201</f>
        <v>4. Custo dos resíduos de saúde </v>
      </c>
      <c r="B32" s="224"/>
      <c r="C32" s="213"/>
      <c r="D32" s="213"/>
      <c r="E32" s="214">
        <f>+F211</f>
        <v>1120.000077</v>
      </c>
      <c r="F32" s="215">
        <f t="shared" si="0"/>
        <v>0.359933811896053</v>
      </c>
      <c r="G32" s="216"/>
    </row>
    <row r="33" s="88" customFormat="1" ht="15.75" customHeight="1" spans="1:7">
      <c r="A33" s="222" t="str">
        <f>A213</f>
        <v>5. Monitoramento da frota  </v>
      </c>
      <c r="B33" s="224"/>
      <c r="C33" s="213"/>
      <c r="D33" s="213"/>
      <c r="E33" s="214">
        <f>+F222</f>
        <v>6.36363636363636</v>
      </c>
      <c r="F33" s="215">
        <f t="shared" si="0"/>
        <v>0.00204507833608298</v>
      </c>
      <c r="G33" s="216"/>
    </row>
    <row r="34" s="88" customFormat="1" ht="15.75" customHeight="1" spans="1:7">
      <c r="A34" s="222" t="str">
        <f>A226</f>
        <v>6. Benefícios e Despesas Indiretas - BDI</v>
      </c>
      <c r="B34" s="224"/>
      <c r="C34" s="213"/>
      <c r="D34" s="213"/>
      <c r="E34" s="228">
        <f>+F232</f>
        <v>564.880818405223</v>
      </c>
      <c r="F34" s="215">
        <f t="shared" si="0"/>
        <v>0.181535439515469</v>
      </c>
      <c r="G34" s="216"/>
    </row>
    <row r="35" s="86" customFormat="1" ht="15.75" customHeight="1" spans="1:8">
      <c r="A35" s="229" t="s">
        <v>24</v>
      </c>
      <c r="B35" s="230"/>
      <c r="C35" s="231"/>
      <c r="D35" s="231"/>
      <c r="E35" s="232">
        <f>E17+E23+E24+E32+E33+E34</f>
        <v>3111.68342618351</v>
      </c>
      <c r="F35" s="233">
        <f>F17+F23+F24+F32+F33+F34</f>
        <v>1</v>
      </c>
      <c r="G35" s="95"/>
      <c r="H35" s="234"/>
    </row>
    <row r="36" ht="13.5"/>
    <row r="37" s="88" customFormat="1" ht="15.75" customHeight="1" spans="1:7">
      <c r="A37" s="235" t="s">
        <v>25</v>
      </c>
      <c r="B37" s="236">
        <f>Horários!F16/Horários!F17</f>
        <v>0.0454545454545455</v>
      </c>
      <c r="C37" s="237"/>
      <c r="D37" s="238"/>
      <c r="E37" s="239"/>
      <c r="G37" s="216"/>
    </row>
    <row r="38" s="86" customFormat="1" ht="15.75" customHeight="1" spans="1:7">
      <c r="A38" s="240"/>
      <c r="B38" s="240"/>
      <c r="C38" s="240"/>
      <c r="D38" s="191"/>
      <c r="E38" s="241"/>
      <c r="F38" s="92"/>
      <c r="G38" s="95"/>
    </row>
    <row r="39" ht="13.15" customHeight="1" spans="1:1">
      <c r="A39" s="88" t="s">
        <v>26</v>
      </c>
    </row>
    <row r="40" ht="13.9" customHeight="1" spans="1:1">
      <c r="A40" s="92" t="s">
        <v>27</v>
      </c>
    </row>
    <row r="41" ht="13.9" customHeight="1" spans="1:6">
      <c r="A41" s="242" t="s">
        <v>28</v>
      </c>
      <c r="B41" s="243" t="s">
        <v>29</v>
      </c>
      <c r="C41" s="243" t="s">
        <v>30</v>
      </c>
      <c r="D41" s="244" t="s">
        <v>31</v>
      </c>
      <c r="E41" s="244" t="s">
        <v>32</v>
      </c>
      <c r="F41" s="245" t="s">
        <v>33</v>
      </c>
    </row>
    <row r="42" ht="13.15" customHeight="1" spans="1:5">
      <c r="A42" s="246" t="s">
        <v>34</v>
      </c>
      <c r="B42" s="247" t="s">
        <v>35</v>
      </c>
      <c r="C42" s="247">
        <v>1</v>
      </c>
      <c r="D42" s="248">
        <v>2082.32</v>
      </c>
      <c r="E42" s="249">
        <f>C42*D42</f>
        <v>2082.32</v>
      </c>
    </row>
    <row r="43" hidden="1" spans="1:7">
      <c r="A43" s="250" t="s">
        <v>36</v>
      </c>
      <c r="B43" s="251" t="s">
        <v>37</v>
      </c>
      <c r="C43" s="252"/>
      <c r="D43" s="253">
        <f>D42/220*2</f>
        <v>18.9301818181818</v>
      </c>
      <c r="E43" s="253">
        <f>C43*D43</f>
        <v>0</v>
      </c>
      <c r="G43" s="188" t="s">
        <v>38</v>
      </c>
    </row>
    <row r="44" ht="13.15" hidden="1" customHeight="1" spans="1:7">
      <c r="A44" s="250" t="s">
        <v>39</v>
      </c>
      <c r="B44" s="251" t="s">
        <v>37</v>
      </c>
      <c r="C44" s="252"/>
      <c r="D44" s="253">
        <f>D42/220*1.5</f>
        <v>14.1976363636364</v>
      </c>
      <c r="E44" s="253">
        <f>C44*D44</f>
        <v>0</v>
      </c>
      <c r="G44" s="188" t="s">
        <v>40</v>
      </c>
    </row>
    <row r="45" ht="13.15" hidden="1" customHeight="1" spans="1:7">
      <c r="A45" s="250" t="s">
        <v>41</v>
      </c>
      <c r="B45" s="251" t="s">
        <v>42</v>
      </c>
      <c r="D45" s="253">
        <f>63/302*(SUM(E43:E44))</f>
        <v>0</v>
      </c>
      <c r="E45" s="253">
        <f>D45</f>
        <v>0</v>
      </c>
      <c r="G45" s="188" t="s">
        <v>43</v>
      </c>
    </row>
    <row r="46" spans="1:5">
      <c r="A46" s="250" t="s">
        <v>44</v>
      </c>
      <c r="B46" s="251" t="s">
        <v>23</v>
      </c>
      <c r="C46" s="251">
        <v>40</v>
      </c>
      <c r="D46" s="254">
        <f>SUM(E42:E45)</f>
        <v>2082.32</v>
      </c>
      <c r="E46" s="253">
        <f>C46*D46/100</f>
        <v>832.928</v>
      </c>
    </row>
    <row r="47" spans="1:5">
      <c r="A47" s="255" t="s">
        <v>45</v>
      </c>
      <c r="B47" s="256"/>
      <c r="C47" s="256"/>
      <c r="D47" s="257"/>
      <c r="E47" s="258">
        <f>SUM(E42:E46)</f>
        <v>2915.248</v>
      </c>
    </row>
    <row r="48" spans="1:5">
      <c r="A48" s="250" t="s">
        <v>46</v>
      </c>
      <c r="B48" s="251" t="s">
        <v>23</v>
      </c>
      <c r="C48" s="259">
        <f>'3.Encargos Sociais'!$C$37*100</f>
        <v>72.83062</v>
      </c>
      <c r="D48" s="253">
        <f>E47</f>
        <v>2915.248</v>
      </c>
      <c r="E48" s="253">
        <f>D48*C48/100</f>
        <v>2123.1931929376</v>
      </c>
    </row>
    <row r="49" spans="1:5">
      <c r="A49" s="255" t="s">
        <v>47</v>
      </c>
      <c r="B49" s="256"/>
      <c r="C49" s="256"/>
      <c r="D49" s="257"/>
      <c r="E49" s="258">
        <f>E47+E48</f>
        <v>5038.4411929376</v>
      </c>
    </row>
    <row r="50" ht="13.5" spans="1:7">
      <c r="A50" s="250" t="s">
        <v>48</v>
      </c>
      <c r="B50" s="251" t="s">
        <v>49</v>
      </c>
      <c r="C50" s="260">
        <v>1</v>
      </c>
      <c r="D50" s="253">
        <f>E49</f>
        <v>5038.4411929376</v>
      </c>
      <c r="E50" s="253">
        <f>C50*D50</f>
        <v>5038.4411929376</v>
      </c>
      <c r="G50" s="95"/>
    </row>
    <row r="51" ht="13.9" customHeight="1" spans="4:7">
      <c r="D51" s="261" t="s">
        <v>50</v>
      </c>
      <c r="E51" s="262">
        <f>$B$37</f>
        <v>0.0454545454545455</v>
      </c>
      <c r="F51" s="263">
        <f>E50*E51</f>
        <v>229.020054224436</v>
      </c>
      <c r="G51" s="95"/>
    </row>
    <row r="52" ht="11.25" customHeight="1"/>
    <row r="53" ht="13.5" spans="1:1">
      <c r="A53" s="92" t="s">
        <v>51</v>
      </c>
    </row>
    <row r="54" s="186" customFormat="1" ht="13.15" customHeight="1" spans="1:7">
      <c r="A54" s="242" t="s">
        <v>28</v>
      </c>
      <c r="B54" s="243" t="s">
        <v>29</v>
      </c>
      <c r="C54" s="243" t="s">
        <v>30</v>
      </c>
      <c r="D54" s="244" t="s">
        <v>31</v>
      </c>
      <c r="E54" s="244" t="s">
        <v>32</v>
      </c>
      <c r="F54" s="245" t="s">
        <v>33</v>
      </c>
      <c r="G54" s="188"/>
    </row>
    <row r="55" spans="1:5">
      <c r="A55" s="246" t="s">
        <v>52</v>
      </c>
      <c r="B55" s="247" t="s">
        <v>35</v>
      </c>
      <c r="C55" s="247">
        <v>1</v>
      </c>
      <c r="D55" s="248">
        <v>2475.6</v>
      </c>
      <c r="E55" s="249">
        <f>C55*D55</f>
        <v>2475.6</v>
      </c>
    </row>
    <row r="56" spans="1:5">
      <c r="A56" s="246" t="s">
        <v>53</v>
      </c>
      <c r="B56" s="247" t="s">
        <v>35</v>
      </c>
      <c r="C56" s="247">
        <v>1</v>
      </c>
      <c r="D56" s="248">
        <v>1621</v>
      </c>
      <c r="E56" s="249"/>
    </row>
    <row r="57" hidden="1" spans="1:7">
      <c r="A57" s="250" t="s">
        <v>36</v>
      </c>
      <c r="B57" s="251" t="s">
        <v>37</v>
      </c>
      <c r="C57" s="252"/>
      <c r="D57" s="253">
        <f>D55/220*2</f>
        <v>22.5054545454545</v>
      </c>
      <c r="E57" s="253">
        <f>C57*D57</f>
        <v>0</v>
      </c>
      <c r="G57" s="188" t="s">
        <v>38</v>
      </c>
    </row>
    <row r="58" hidden="1" spans="1:7">
      <c r="A58" s="250" t="s">
        <v>39</v>
      </c>
      <c r="B58" s="251" t="s">
        <v>37</v>
      </c>
      <c r="C58" s="252"/>
      <c r="D58" s="253">
        <f>D55/220*1.5</f>
        <v>16.8790909090909</v>
      </c>
      <c r="E58" s="253">
        <f>C58*D58</f>
        <v>0</v>
      </c>
      <c r="G58" s="188" t="s">
        <v>40</v>
      </c>
    </row>
    <row r="59" ht="13.15" hidden="1" customHeight="1" spans="1:7">
      <c r="A59" s="250" t="s">
        <v>41</v>
      </c>
      <c r="B59" s="251" t="s">
        <v>42</v>
      </c>
      <c r="D59" s="253">
        <f>63/302*(SUM(E57:E58))</f>
        <v>0</v>
      </c>
      <c r="E59" s="253">
        <f>D59</f>
        <v>0</v>
      </c>
      <c r="G59" s="188" t="s">
        <v>43</v>
      </c>
    </row>
    <row r="60" spans="1:5">
      <c r="A60" s="250" t="s">
        <v>54</v>
      </c>
      <c r="B60" s="251"/>
      <c r="C60" s="264">
        <v>1</v>
      </c>
      <c r="D60" s="253"/>
      <c r="E60" s="253"/>
    </row>
    <row r="61" spans="1:5">
      <c r="A61" s="250" t="s">
        <v>44</v>
      </c>
      <c r="B61" s="251" t="s">
        <v>23</v>
      </c>
      <c r="C61" s="260">
        <v>40</v>
      </c>
      <c r="D61" s="254">
        <f>IF(C60=2,SUM(E55:E59),IF(C60=1,(SUM(E55:E59))*D56/D55,0))</f>
        <v>1621</v>
      </c>
      <c r="E61" s="253">
        <f>C61*D61/100</f>
        <v>648.4</v>
      </c>
    </row>
    <row r="62" s="88" customFormat="1" spans="1:7">
      <c r="A62" s="265" t="s">
        <v>45</v>
      </c>
      <c r="B62" s="256"/>
      <c r="C62" s="256"/>
      <c r="D62" s="257"/>
      <c r="E62" s="266">
        <f>SUM(E55:E61)</f>
        <v>3124</v>
      </c>
      <c r="F62" s="216"/>
      <c r="G62" s="216"/>
    </row>
    <row r="63" spans="1:5">
      <c r="A63" s="250" t="s">
        <v>46</v>
      </c>
      <c r="B63" s="251" t="s">
        <v>23</v>
      </c>
      <c r="C63" s="259">
        <f>'3.Encargos Sociais'!$C$37*100</f>
        <v>72.83062</v>
      </c>
      <c r="D63" s="253">
        <f>E62</f>
        <v>3124</v>
      </c>
      <c r="E63" s="253">
        <f>D63*C63/100</f>
        <v>2275.2285688</v>
      </c>
    </row>
    <row r="64" s="88" customFormat="1" spans="1:7">
      <c r="A64" s="265" t="s">
        <v>55</v>
      </c>
      <c r="B64" s="267"/>
      <c r="C64" s="267"/>
      <c r="D64" s="268"/>
      <c r="E64" s="266">
        <f>E62+E63</f>
        <v>5399.2285688</v>
      </c>
      <c r="F64" s="216"/>
      <c r="G64" s="216"/>
    </row>
    <row r="65" ht="13.5" spans="1:5">
      <c r="A65" s="250" t="s">
        <v>48</v>
      </c>
      <c r="B65" s="251" t="s">
        <v>49</v>
      </c>
      <c r="C65" s="260">
        <v>1</v>
      </c>
      <c r="D65" s="253">
        <f>E64</f>
        <v>5399.2285688</v>
      </c>
      <c r="E65" s="253">
        <f>C65*D65</f>
        <v>5399.2285688</v>
      </c>
    </row>
    <row r="66" ht="13.5" spans="4:6">
      <c r="D66" s="261" t="s">
        <v>50</v>
      </c>
      <c r="E66" s="262">
        <f>B37</f>
        <v>0.0454545454545455</v>
      </c>
      <c r="F66" s="263">
        <f>E65*E66</f>
        <v>245.4194804</v>
      </c>
    </row>
    <row r="67" ht="11.25" customHeight="1"/>
    <row r="68" ht="13.5" spans="1:7">
      <c r="A68" s="92" t="s">
        <v>56</v>
      </c>
      <c r="B68" s="269"/>
      <c r="D68" s="92"/>
      <c r="E68" s="270"/>
      <c r="G68" s="92"/>
    </row>
    <row r="69" ht="13.5" spans="1:7">
      <c r="A69" s="242" t="s">
        <v>28</v>
      </c>
      <c r="B69" s="243" t="s">
        <v>29</v>
      </c>
      <c r="C69" s="243" t="s">
        <v>30</v>
      </c>
      <c r="D69" s="244" t="s">
        <v>31</v>
      </c>
      <c r="E69" s="244" t="s">
        <v>32</v>
      </c>
      <c r="F69" s="245" t="s">
        <v>33</v>
      </c>
      <c r="G69" s="92"/>
    </row>
    <row r="70" spans="1:7">
      <c r="A70" s="250" t="s">
        <v>57</v>
      </c>
      <c r="B70" s="251" t="s">
        <v>42</v>
      </c>
      <c r="C70" s="271">
        <v>1</v>
      </c>
      <c r="D70" s="272">
        <v>4.95</v>
      </c>
      <c r="E70" s="253"/>
      <c r="G70" s="92"/>
    </row>
    <row r="71" spans="1:7">
      <c r="A71" s="250" t="s">
        <v>58</v>
      </c>
      <c r="B71" s="251" t="s">
        <v>59</v>
      </c>
      <c r="C71" s="273">
        <v>2</v>
      </c>
      <c r="D71" s="253"/>
      <c r="E71" s="253"/>
      <c r="G71" s="92"/>
    </row>
    <row r="72" spans="1:7">
      <c r="A72" s="250" t="s">
        <v>60</v>
      </c>
      <c r="B72" s="251" t="s">
        <v>61</v>
      </c>
      <c r="C72" s="274">
        <f>C50*C71*2</f>
        <v>4</v>
      </c>
      <c r="D72" s="249">
        <f>IFERROR((($C$71*2*$D$70)-(E42*0.06*C71/26))/($C$71*2),"-")</f>
        <v>2.54732307692308</v>
      </c>
      <c r="E72" s="253">
        <f>IFERROR(C72*D72,"-")</f>
        <v>10.1892923076923</v>
      </c>
      <c r="G72" s="92"/>
    </row>
    <row r="73" ht="13.5" spans="1:7">
      <c r="A73" s="246" t="s">
        <v>62</v>
      </c>
      <c r="B73" s="247" t="s">
        <v>61</v>
      </c>
      <c r="C73" s="274">
        <f>$C$71*2*(C65)</f>
        <v>4</v>
      </c>
      <c r="D73" s="249">
        <f>IFERROR((($C$71*2*$D$70)-(E55*0.06*C71/26))/($C$71*2),"-")</f>
        <v>2.09353846153846</v>
      </c>
      <c r="E73" s="249">
        <f>IFERROR(C73*D73,"-")</f>
        <v>8.37415384615385</v>
      </c>
      <c r="G73" s="92"/>
    </row>
    <row r="74" ht="13.5" spans="6:7">
      <c r="F74" s="275">
        <f>SUM(E72:E73)</f>
        <v>18.5634461538462</v>
      </c>
      <c r="G74" s="92"/>
    </row>
    <row r="75" ht="11.25" customHeight="1" spans="7:7">
      <c r="G75" s="92"/>
    </row>
    <row r="76" ht="13.5" spans="1:7">
      <c r="A76" s="92" t="s">
        <v>63</v>
      </c>
      <c r="F76" s="276"/>
      <c r="G76" s="92"/>
    </row>
    <row r="77" ht="13.5" spans="1:7">
      <c r="A77" s="242" t="s">
        <v>28</v>
      </c>
      <c r="B77" s="243" t="s">
        <v>29</v>
      </c>
      <c r="C77" s="243" t="s">
        <v>30</v>
      </c>
      <c r="D77" s="244" t="s">
        <v>31</v>
      </c>
      <c r="E77" s="244" t="s">
        <v>32</v>
      </c>
      <c r="F77" s="245" t="s">
        <v>33</v>
      </c>
      <c r="G77" s="92"/>
    </row>
    <row r="78" spans="1:7">
      <c r="A78" s="250" t="str">
        <f>+A72</f>
        <v>Coletor</v>
      </c>
      <c r="B78" s="251" t="s">
        <v>64</v>
      </c>
      <c r="C78" s="277">
        <f>C50*C71</f>
        <v>2</v>
      </c>
      <c r="D78" s="278">
        <f>27.15*0.81</f>
        <v>21.9915</v>
      </c>
      <c r="E78" s="279">
        <f>C78*D78</f>
        <v>43.983</v>
      </c>
      <c r="F78" s="276"/>
      <c r="G78" s="92"/>
    </row>
    <row r="79" ht="13.5" spans="1:7">
      <c r="A79" s="250" t="str">
        <f>+A73</f>
        <v>Motorista</v>
      </c>
      <c r="B79" s="251" t="s">
        <v>64</v>
      </c>
      <c r="C79" s="277">
        <f>C65*C71</f>
        <v>2</v>
      </c>
      <c r="D79" s="278">
        <f>19*0.8</f>
        <v>15.2</v>
      </c>
      <c r="E79" s="279">
        <f>C79*D79</f>
        <v>30.4</v>
      </c>
      <c r="F79" s="276"/>
      <c r="G79" s="92"/>
    </row>
    <row r="80" ht="13.5" hidden="1" spans="1:7">
      <c r="A80" s="250"/>
      <c r="B80" s="251"/>
      <c r="C80" s="277"/>
      <c r="D80" s="278"/>
      <c r="E80" s="279">
        <f>C80*D80</f>
        <v>0</v>
      </c>
      <c r="F80" s="276"/>
      <c r="G80" s="92"/>
    </row>
    <row r="81" ht="13.5" spans="4:7">
      <c r="D81" s="261" t="s">
        <v>50</v>
      </c>
      <c r="E81" s="262">
        <v>1</v>
      </c>
      <c r="F81" s="275">
        <f>(E78*E81)+(E79*E81)</f>
        <v>74.383</v>
      </c>
      <c r="G81" s="92"/>
    </row>
    <row r="82" spans="7:7">
      <c r="G82" s="92"/>
    </row>
    <row r="83" ht="13.5" spans="1:7">
      <c r="A83" s="92" t="s">
        <v>65</v>
      </c>
      <c r="F83" s="276"/>
      <c r="G83" s="92"/>
    </row>
    <row r="84" ht="13.5" spans="1:7">
      <c r="A84" s="242" t="s">
        <v>28</v>
      </c>
      <c r="B84" s="243" t="s">
        <v>29</v>
      </c>
      <c r="C84" s="243" t="s">
        <v>30</v>
      </c>
      <c r="D84" s="244" t="s">
        <v>31</v>
      </c>
      <c r="E84" s="244" t="s">
        <v>32</v>
      </c>
      <c r="F84" s="245" t="s">
        <v>33</v>
      </c>
      <c r="G84" s="92"/>
    </row>
    <row r="85" spans="1:7">
      <c r="A85" s="250" t="s">
        <v>66</v>
      </c>
      <c r="B85" s="251" t="s">
        <v>64</v>
      </c>
      <c r="C85" s="277">
        <v>1</v>
      </c>
      <c r="D85" s="278">
        <v>125</v>
      </c>
      <c r="E85" s="279">
        <f>C85*D85</f>
        <v>125</v>
      </c>
      <c r="F85" s="276"/>
      <c r="G85" s="92"/>
    </row>
    <row r="86" ht="13.5" spans="1:7">
      <c r="A86" s="250" t="s">
        <v>67</v>
      </c>
      <c r="B86" s="251" t="s">
        <v>64</v>
      </c>
      <c r="C86" s="277">
        <v>1</v>
      </c>
      <c r="D86" s="278">
        <f>138*0.8</f>
        <v>110.4</v>
      </c>
      <c r="E86" s="279">
        <f>C86*D86</f>
        <v>110.4</v>
      </c>
      <c r="F86" s="276"/>
      <c r="G86" s="92"/>
    </row>
    <row r="87" ht="13.5" spans="4:7">
      <c r="D87" s="261" t="s">
        <v>50</v>
      </c>
      <c r="E87" s="262">
        <f>E66</f>
        <v>0.0454545454545455</v>
      </c>
      <c r="F87" s="275">
        <f>SUM(E85:E86)*E87</f>
        <v>10.7</v>
      </c>
      <c r="G87" s="92"/>
    </row>
    <row r="88" ht="13.5" spans="7:7">
      <c r="G88" s="92"/>
    </row>
    <row r="89" ht="13.5" spans="1:7">
      <c r="A89" s="280" t="s">
        <v>68</v>
      </c>
      <c r="B89" s="281"/>
      <c r="C89" s="281"/>
      <c r="D89" s="231"/>
      <c r="E89" s="282"/>
      <c r="F89" s="275">
        <f>F87+F81+F74+F66+F51</f>
        <v>578.085980778282</v>
      </c>
      <c r="G89" s="92"/>
    </row>
    <row r="91" spans="1:7">
      <c r="A91" s="88" t="s">
        <v>69</v>
      </c>
      <c r="G91" s="92"/>
    </row>
    <row r="92" ht="13.9" customHeight="1" spans="1:7">
      <c r="A92" s="92" t="s">
        <v>70</v>
      </c>
      <c r="G92" s="92"/>
    </row>
    <row r="93" ht="27.75" customHeight="1" spans="1:7">
      <c r="A93" s="242" t="s">
        <v>28</v>
      </c>
      <c r="B93" s="243" t="s">
        <v>29</v>
      </c>
      <c r="C93" s="283" t="s">
        <v>71</v>
      </c>
      <c r="D93" s="244" t="s">
        <v>31</v>
      </c>
      <c r="E93" s="244" t="s">
        <v>32</v>
      </c>
      <c r="F93" s="245" t="s">
        <v>33</v>
      </c>
      <c r="G93" s="92"/>
    </row>
    <row r="94" spans="1:7">
      <c r="A94" s="246" t="s">
        <v>72</v>
      </c>
      <c r="B94" s="247" t="s">
        <v>64</v>
      </c>
      <c r="C94" s="284">
        <v>12</v>
      </c>
      <c r="D94" s="248">
        <v>170</v>
      </c>
      <c r="E94" s="249">
        <f>IFERROR(D94/C94,0)</f>
        <v>14.1666666666667</v>
      </c>
      <c r="G94" s="92"/>
    </row>
    <row r="95" ht="13.15" customHeight="1" spans="1:7">
      <c r="A95" s="250" t="s">
        <v>73</v>
      </c>
      <c r="B95" s="251" t="s">
        <v>64</v>
      </c>
      <c r="C95" s="284">
        <v>6</v>
      </c>
      <c r="D95" s="285">
        <v>75</v>
      </c>
      <c r="E95" s="249">
        <f t="shared" ref="E95:E104" si="1">IFERROR(D95/C95,0)</f>
        <v>12.5</v>
      </c>
      <c r="G95" s="92"/>
    </row>
    <row r="96" spans="1:7">
      <c r="A96" s="250" t="s">
        <v>74</v>
      </c>
      <c r="B96" s="251" t="s">
        <v>64</v>
      </c>
      <c r="C96" s="284">
        <v>4</v>
      </c>
      <c r="D96" s="285">
        <v>45</v>
      </c>
      <c r="E96" s="249">
        <f t="shared" si="1"/>
        <v>11.25</v>
      </c>
      <c r="G96" s="92"/>
    </row>
    <row r="97" ht="13.15" customHeight="1" spans="1:7">
      <c r="A97" s="250" t="s">
        <v>75</v>
      </c>
      <c r="B97" s="251" t="s">
        <v>64</v>
      </c>
      <c r="C97" s="284">
        <v>6</v>
      </c>
      <c r="D97" s="285">
        <v>25</v>
      </c>
      <c r="E97" s="249">
        <f t="shared" si="1"/>
        <v>4.16666666666667</v>
      </c>
      <c r="G97" s="92"/>
    </row>
    <row r="98" ht="13.9" customHeight="1" spans="1:7">
      <c r="A98" s="250" t="s">
        <v>76</v>
      </c>
      <c r="B98" s="251" t="s">
        <v>77</v>
      </c>
      <c r="C98" s="284">
        <v>4</v>
      </c>
      <c r="D98" s="285">
        <v>75</v>
      </c>
      <c r="E98" s="249">
        <f t="shared" si="1"/>
        <v>18.75</v>
      </c>
      <c r="G98" s="92"/>
    </row>
    <row r="99" ht="13.15" customHeight="1" spans="1:5">
      <c r="A99" s="250" t="s">
        <v>78</v>
      </c>
      <c r="B99" s="251" t="s">
        <v>64</v>
      </c>
      <c r="C99" s="284">
        <v>6</v>
      </c>
      <c r="D99" s="285">
        <v>30</v>
      </c>
      <c r="E99" s="249">
        <f t="shared" si="1"/>
        <v>5</v>
      </c>
    </row>
    <row r="100" spans="1:5">
      <c r="A100" s="250" t="s">
        <v>79</v>
      </c>
      <c r="B100" s="251" t="s">
        <v>64</v>
      </c>
      <c r="C100" s="284">
        <v>6</v>
      </c>
      <c r="D100" s="285">
        <v>55</v>
      </c>
      <c r="E100" s="249">
        <f t="shared" si="1"/>
        <v>9.16666666666667</v>
      </c>
    </row>
    <row r="101" s="76" customFormat="1" spans="1:7">
      <c r="A101" s="286" t="s">
        <v>80</v>
      </c>
      <c r="B101" s="287" t="s">
        <v>64</v>
      </c>
      <c r="C101" s="284">
        <v>1</v>
      </c>
      <c r="D101" s="285">
        <v>15</v>
      </c>
      <c r="E101" s="249">
        <f t="shared" si="1"/>
        <v>15</v>
      </c>
      <c r="F101" s="288"/>
      <c r="G101" s="288"/>
    </row>
    <row r="102" s="76" customFormat="1" spans="1:7">
      <c r="A102" s="286" t="s">
        <v>81</v>
      </c>
      <c r="B102" s="287" t="s">
        <v>64</v>
      </c>
      <c r="C102" s="284">
        <v>6</v>
      </c>
      <c r="D102" s="285">
        <v>10</v>
      </c>
      <c r="E102" s="249">
        <f t="shared" si="1"/>
        <v>1.66666666666667</v>
      </c>
      <c r="F102" s="288"/>
      <c r="G102" s="288"/>
    </row>
    <row r="103" s="76" customFormat="1" spans="1:7">
      <c r="A103" s="286" t="s">
        <v>82</v>
      </c>
      <c r="B103" s="287" t="s">
        <v>64</v>
      </c>
      <c r="C103" s="289">
        <v>0.05</v>
      </c>
      <c r="D103" s="285">
        <v>0.3</v>
      </c>
      <c r="E103" s="249">
        <f t="shared" si="1"/>
        <v>6</v>
      </c>
      <c r="F103" s="288"/>
      <c r="G103" s="288"/>
    </row>
    <row r="104" spans="1:5">
      <c r="A104" s="250" t="s">
        <v>83</v>
      </c>
      <c r="B104" s="251" t="s">
        <v>77</v>
      </c>
      <c r="C104" s="289">
        <v>0.2</v>
      </c>
      <c r="D104" s="285">
        <v>12</v>
      </c>
      <c r="E104" s="249">
        <f t="shared" si="1"/>
        <v>60</v>
      </c>
    </row>
    <row r="105" ht="13.15" customHeight="1" spans="1:5">
      <c r="A105" s="250" t="s">
        <v>84</v>
      </c>
      <c r="B105" s="251" t="s">
        <v>85</v>
      </c>
      <c r="C105" s="284">
        <v>2</v>
      </c>
      <c r="D105" s="285">
        <v>20</v>
      </c>
      <c r="E105" s="249">
        <f t="shared" ref="E105" si="2">IFERROR(D105/C105,0)</f>
        <v>10</v>
      </c>
    </row>
    <row r="106" spans="1:5">
      <c r="A106" s="250" t="s">
        <v>86</v>
      </c>
      <c r="B106" s="251" t="s">
        <v>87</v>
      </c>
      <c r="C106" s="290">
        <v>1</v>
      </c>
      <c r="D106" s="285">
        <v>50</v>
      </c>
      <c r="E106" s="253">
        <f t="shared" ref="E106:E107" si="3">C106*D106</f>
        <v>50</v>
      </c>
    </row>
    <row r="107" ht="13.5" spans="1:5">
      <c r="A107" s="250" t="s">
        <v>48</v>
      </c>
      <c r="B107" s="251" t="s">
        <v>49</v>
      </c>
      <c r="C107" s="291">
        <f>C50+C65</f>
        <v>2</v>
      </c>
      <c r="D107" s="253">
        <f>+SUM(E94:E106)</f>
        <v>217.666666666667</v>
      </c>
      <c r="E107" s="253">
        <f t="shared" si="3"/>
        <v>435.333333333333</v>
      </c>
    </row>
    <row r="108" ht="13.5" spans="4:6">
      <c r="D108" s="261" t="s">
        <v>50</v>
      </c>
      <c r="E108" s="262">
        <f>$B$37</f>
        <v>0.0454545454545455</v>
      </c>
      <c r="F108" s="263">
        <f>E107*E108</f>
        <v>19.7878787878788</v>
      </c>
    </row>
    <row r="109" ht="11.25" hidden="1" customHeight="1"/>
    <row r="110" ht="13.9" hidden="1" customHeight="1" spans="1:1">
      <c r="A110" s="92" t="s">
        <v>88</v>
      </c>
    </row>
    <row r="111" ht="11.25" hidden="1" customHeight="1"/>
    <row r="112" ht="24.75" hidden="1" spans="1:6">
      <c r="A112" s="242" t="s">
        <v>28</v>
      </c>
      <c r="B112" s="243" t="s">
        <v>29</v>
      </c>
      <c r="C112" s="283" t="s">
        <v>71</v>
      </c>
      <c r="D112" s="244" t="s">
        <v>31</v>
      </c>
      <c r="E112" s="244" t="s">
        <v>32</v>
      </c>
      <c r="F112" s="245" t="s">
        <v>33</v>
      </c>
    </row>
    <row r="113" hidden="1" spans="1:5">
      <c r="A113" s="246" t="s">
        <v>72</v>
      </c>
      <c r="B113" s="247" t="s">
        <v>64</v>
      </c>
      <c r="C113" s="284">
        <f>C94</f>
        <v>12</v>
      </c>
      <c r="D113" s="249">
        <f>+D94</f>
        <v>170</v>
      </c>
      <c r="E113" s="249">
        <f>IFERROR(D113/C113,0)</f>
        <v>14.1666666666667</v>
      </c>
    </row>
    <row r="114" hidden="1" spans="1:5">
      <c r="A114" s="250" t="s">
        <v>73</v>
      </c>
      <c r="B114" s="251" t="s">
        <v>64</v>
      </c>
      <c r="C114" s="284">
        <f>C95</f>
        <v>6</v>
      </c>
      <c r="D114" s="253">
        <f>+D95</f>
        <v>75</v>
      </c>
      <c r="E114" s="249">
        <f t="shared" ref="E114:E118" si="4">IFERROR(D114/C114,0)</f>
        <v>12.5</v>
      </c>
    </row>
    <row r="115" hidden="1" spans="1:5">
      <c r="A115" s="250" t="s">
        <v>89</v>
      </c>
      <c r="B115" s="251" t="s">
        <v>64</v>
      </c>
      <c r="C115" s="284">
        <f>C96</f>
        <v>4</v>
      </c>
      <c r="D115" s="253">
        <f>+D96</f>
        <v>45</v>
      </c>
      <c r="E115" s="249">
        <f t="shared" si="4"/>
        <v>11.25</v>
      </c>
    </row>
    <row r="116" hidden="1" spans="1:5">
      <c r="A116" s="250" t="s">
        <v>90</v>
      </c>
      <c r="B116" s="251" t="s">
        <v>77</v>
      </c>
      <c r="C116" s="284">
        <f>C98</f>
        <v>4</v>
      </c>
      <c r="D116" s="253">
        <f>+D98</f>
        <v>75</v>
      </c>
      <c r="E116" s="249">
        <f t="shared" si="4"/>
        <v>18.75</v>
      </c>
    </row>
    <row r="117" hidden="1" spans="1:7">
      <c r="A117" s="250" t="s">
        <v>91</v>
      </c>
      <c r="B117" s="251" t="s">
        <v>64</v>
      </c>
      <c r="C117" s="284">
        <f>C100</f>
        <v>6</v>
      </c>
      <c r="D117" s="253">
        <f>+D100</f>
        <v>55</v>
      </c>
      <c r="E117" s="249">
        <f t="shared" si="4"/>
        <v>9.16666666666667</v>
      </c>
      <c r="G117" s="92"/>
    </row>
    <row r="118" hidden="1" spans="1:7">
      <c r="A118" s="250" t="s">
        <v>84</v>
      </c>
      <c r="B118" s="251" t="s">
        <v>85</v>
      </c>
      <c r="C118" s="284">
        <f>C105</f>
        <v>2</v>
      </c>
      <c r="D118" s="253">
        <f>+D105</f>
        <v>20</v>
      </c>
      <c r="E118" s="249">
        <f t="shared" si="4"/>
        <v>10</v>
      </c>
      <c r="G118" s="92"/>
    </row>
    <row r="119" hidden="1" spans="1:7">
      <c r="A119" s="250" t="s">
        <v>86</v>
      </c>
      <c r="B119" s="251" t="s">
        <v>87</v>
      </c>
      <c r="C119" s="292">
        <v>1</v>
      </c>
      <c r="D119" s="248">
        <f>D106</f>
        <v>50</v>
      </c>
      <c r="E119" s="253">
        <f t="shared" ref="E119:E120" si="5">C119*D119</f>
        <v>50</v>
      </c>
      <c r="G119" s="92"/>
    </row>
    <row r="120" ht="13.5" hidden="1" spans="1:7">
      <c r="A120" s="250" t="s">
        <v>48</v>
      </c>
      <c r="B120" s="251" t="s">
        <v>49</v>
      </c>
      <c r="C120" s="291">
        <v>0</v>
      </c>
      <c r="D120" s="253">
        <f>+SUM(E113:E119)</f>
        <v>125.833333333333</v>
      </c>
      <c r="E120" s="253">
        <f t="shared" si="5"/>
        <v>0</v>
      </c>
      <c r="G120" s="92"/>
    </row>
    <row r="121" ht="13.5" hidden="1" spans="4:7">
      <c r="D121" s="261" t="s">
        <v>50</v>
      </c>
      <c r="E121" s="262">
        <f>E66</f>
        <v>0.0454545454545455</v>
      </c>
      <c r="F121" s="263">
        <f>E120*E121</f>
        <v>0</v>
      </c>
      <c r="G121" s="92"/>
    </row>
    <row r="122" ht="11.25" customHeight="1" spans="7:7">
      <c r="G122" s="92"/>
    </row>
    <row r="123" ht="13.5" spans="1:7">
      <c r="A123" s="280" t="s">
        <v>92</v>
      </c>
      <c r="B123" s="293"/>
      <c r="C123" s="293"/>
      <c r="D123" s="294"/>
      <c r="E123" s="295"/>
      <c r="F123" s="296">
        <f>+F108+F121</f>
        <v>19.7878787878788</v>
      </c>
      <c r="G123" s="92"/>
    </row>
    <row r="124" ht="11.25" customHeight="1" spans="7:7">
      <c r="G124" s="92"/>
    </row>
    <row r="125" spans="1:7">
      <c r="A125" s="88" t="s">
        <v>93</v>
      </c>
      <c r="G125" s="92"/>
    </row>
    <row r="126" spans="1:7">
      <c r="A126" s="92" t="s">
        <v>94</v>
      </c>
      <c r="G126" s="92"/>
    </row>
    <row r="127" ht="13.5" spans="1:7">
      <c r="A127" s="297" t="s">
        <v>95</v>
      </c>
      <c r="G127" s="92"/>
    </row>
    <row r="128" ht="13.5" spans="1:7">
      <c r="A128" s="242" t="s">
        <v>28</v>
      </c>
      <c r="B128" s="243" t="s">
        <v>29</v>
      </c>
      <c r="C128" s="243" t="s">
        <v>30</v>
      </c>
      <c r="D128" s="244" t="s">
        <v>31</v>
      </c>
      <c r="E128" s="244" t="s">
        <v>32</v>
      </c>
      <c r="F128" s="245" t="s">
        <v>33</v>
      </c>
      <c r="G128" s="92"/>
    </row>
    <row r="129" spans="1:7">
      <c r="A129" s="246" t="s">
        <v>96</v>
      </c>
      <c r="B129" s="247" t="s">
        <v>64</v>
      </c>
      <c r="C129" s="298">
        <v>1</v>
      </c>
      <c r="D129" s="248">
        <v>200000</v>
      </c>
      <c r="E129" s="249">
        <f>C129*D129</f>
        <v>200000</v>
      </c>
      <c r="G129" s="92"/>
    </row>
    <row r="130" spans="1:7">
      <c r="A130" s="250" t="s">
        <v>97</v>
      </c>
      <c r="B130" s="251" t="s">
        <v>98</v>
      </c>
      <c r="C130" s="260">
        <v>10</v>
      </c>
      <c r="D130" s="254"/>
      <c r="E130" s="253"/>
      <c r="G130" s="92"/>
    </row>
    <row r="131" spans="1:10">
      <c r="A131" s="250" t="s">
        <v>99</v>
      </c>
      <c r="B131" s="251" t="s">
        <v>98</v>
      </c>
      <c r="C131" s="260"/>
      <c r="D131" s="253"/>
      <c r="E131" s="253"/>
      <c r="F131" s="299"/>
      <c r="I131" s="326"/>
      <c r="J131" s="326"/>
    </row>
    <row r="132" spans="1:5">
      <c r="A132" s="250" t="s">
        <v>100</v>
      </c>
      <c r="B132" s="251" t="s">
        <v>23</v>
      </c>
      <c r="C132" s="259">
        <f>IFERROR(VLOOKUP(C130,'5. Depreciação'!A3:B17,2,FALSE),0)</f>
        <v>65.18</v>
      </c>
      <c r="D132" s="253">
        <f>E129</f>
        <v>200000</v>
      </c>
      <c r="E132" s="253">
        <f>C132*D132/100</f>
        <v>130360</v>
      </c>
    </row>
    <row r="133" ht="13.5" spans="1:5">
      <c r="A133" s="300" t="s">
        <v>101</v>
      </c>
      <c r="B133" s="301" t="s">
        <v>35</v>
      </c>
      <c r="C133" s="301">
        <f>C130*12</f>
        <v>120</v>
      </c>
      <c r="D133" s="302">
        <f>IF(C131&lt;=C130,E132,0)</f>
        <v>130360</v>
      </c>
      <c r="E133" s="302">
        <f>IFERROR(D133/C133,0)</f>
        <v>1086.33333333333</v>
      </c>
    </row>
    <row r="134" ht="13.5" spans="1:7">
      <c r="A134" s="246" t="s">
        <v>102</v>
      </c>
      <c r="B134" s="247" t="s">
        <v>64</v>
      </c>
      <c r="C134" s="247">
        <f>C129</f>
        <v>1</v>
      </c>
      <c r="D134" s="248">
        <v>80000</v>
      </c>
      <c r="E134" s="249">
        <f>C134*D134</f>
        <v>80000</v>
      </c>
      <c r="G134" s="92"/>
    </row>
    <row r="135" spans="1:5">
      <c r="A135" s="250" t="s">
        <v>97</v>
      </c>
      <c r="B135" s="251" t="s">
        <v>98</v>
      </c>
      <c r="C135" s="260">
        <v>10</v>
      </c>
      <c r="D135" s="253"/>
      <c r="E135" s="253"/>
    </row>
    <row r="136" spans="1:10">
      <c r="A136" s="250" t="s">
        <v>103</v>
      </c>
      <c r="B136" s="251" t="s">
        <v>98</v>
      </c>
      <c r="C136" s="260"/>
      <c r="D136" s="253"/>
      <c r="E136" s="253"/>
      <c r="F136" s="299"/>
      <c r="I136" s="326"/>
      <c r="J136" s="326"/>
    </row>
    <row r="137" spans="1:5">
      <c r="A137" s="250" t="s">
        <v>100</v>
      </c>
      <c r="B137" s="251" t="s">
        <v>23</v>
      </c>
      <c r="C137" s="303">
        <f>IFERROR(VLOOKUP(C135,'5. Depreciação'!A3:B17,2,FALSE),0)</f>
        <v>65.18</v>
      </c>
      <c r="D137" s="253">
        <f>E134</f>
        <v>80000</v>
      </c>
      <c r="E137" s="253">
        <f>C137*D137/100</f>
        <v>52144</v>
      </c>
    </row>
    <row r="138" spans="1:5">
      <c r="A138" s="265" t="s">
        <v>104</v>
      </c>
      <c r="B138" s="304" t="s">
        <v>35</v>
      </c>
      <c r="C138" s="304">
        <f>C135*12</f>
        <v>120</v>
      </c>
      <c r="D138" s="266">
        <f>IF(C136&lt;=C135,E137,0)</f>
        <v>52144</v>
      </c>
      <c r="E138" s="266">
        <f>IFERROR(D138/C138,0)</f>
        <v>434.533333333333</v>
      </c>
    </row>
    <row r="139" spans="1:5">
      <c r="A139" s="255" t="s">
        <v>105</v>
      </c>
      <c r="B139" s="256"/>
      <c r="C139" s="256"/>
      <c r="D139" s="257"/>
      <c r="E139" s="258">
        <f>E133+E138</f>
        <v>1520.86666666667</v>
      </c>
    </row>
    <row r="140" ht="13.5" spans="1:5">
      <c r="A140" s="265" t="s">
        <v>106</v>
      </c>
      <c r="B140" s="304" t="s">
        <v>64</v>
      </c>
      <c r="C140" s="260">
        <v>1</v>
      </c>
      <c r="D140" s="266">
        <f>E139</f>
        <v>1520.86666666667</v>
      </c>
      <c r="E140" s="258">
        <f>C140*D140</f>
        <v>1520.86666666667</v>
      </c>
    </row>
    <row r="141" ht="13.5" spans="1:6">
      <c r="A141" s="305"/>
      <c r="B141" s="305"/>
      <c r="C141" s="305"/>
      <c r="D141" s="261" t="s">
        <v>50</v>
      </c>
      <c r="E141" s="262">
        <f>E66</f>
        <v>0.0454545454545455</v>
      </c>
      <c r="F141" s="296">
        <f>E140*E141</f>
        <v>69.130303030303</v>
      </c>
    </row>
    <row r="142" ht="11.25" customHeight="1"/>
    <row r="143" ht="13.5" spans="1:1">
      <c r="A143" s="297" t="s">
        <v>107</v>
      </c>
    </row>
    <row r="144" ht="13.5" spans="1:10">
      <c r="A144" s="242" t="s">
        <v>28</v>
      </c>
      <c r="B144" s="243" t="s">
        <v>29</v>
      </c>
      <c r="C144" s="243" t="s">
        <v>30</v>
      </c>
      <c r="D144" s="244" t="s">
        <v>31</v>
      </c>
      <c r="E144" s="244" t="s">
        <v>32</v>
      </c>
      <c r="F144" s="245" t="s">
        <v>33</v>
      </c>
      <c r="I144" s="326"/>
      <c r="J144" s="326"/>
    </row>
    <row r="145" spans="1:10">
      <c r="A145" s="246" t="s">
        <v>108</v>
      </c>
      <c r="B145" s="247" t="s">
        <v>64</v>
      </c>
      <c r="C145" s="298">
        <v>1</v>
      </c>
      <c r="D145" s="249">
        <f>D129</f>
        <v>200000</v>
      </c>
      <c r="E145" s="249">
        <f>C145*D145</f>
        <v>200000</v>
      </c>
      <c r="F145" s="299"/>
      <c r="I145" s="326"/>
      <c r="J145" s="326"/>
    </row>
    <row r="146" spans="1:10">
      <c r="A146" s="250" t="s">
        <v>109</v>
      </c>
      <c r="B146" s="251" t="s">
        <v>23</v>
      </c>
      <c r="C146" s="252">
        <v>14</v>
      </c>
      <c r="D146" s="253"/>
      <c r="E146" s="253"/>
      <c r="F146" s="299"/>
      <c r="I146" s="326"/>
      <c r="J146" s="326"/>
    </row>
    <row r="147" spans="1:10">
      <c r="A147" s="250" t="s">
        <v>110</v>
      </c>
      <c r="B147" s="251" t="s">
        <v>42</v>
      </c>
      <c r="C147" s="306">
        <f>IFERROR(IF(C131&lt;=C130,E129-(C132/(100*C130)*C131)*E129,E129-E132),0)</f>
        <v>200000</v>
      </c>
      <c r="D147" s="253"/>
      <c r="E147" s="253"/>
      <c r="F147" s="299"/>
      <c r="I147" s="326"/>
      <c r="J147" s="326"/>
    </row>
    <row r="148" spans="1:10">
      <c r="A148" s="250" t="s">
        <v>111</v>
      </c>
      <c r="B148" s="251" t="s">
        <v>42</v>
      </c>
      <c r="C148" s="254">
        <f>IFERROR(IF(C131&gt;=C130,C147,((((C147)-(E129-E132))*(((C130-C131)+1)/(2*(C130-C131))))+(E129-E132))),0)</f>
        <v>141338</v>
      </c>
      <c r="D148" s="253"/>
      <c r="E148" s="253"/>
      <c r="F148" s="299"/>
      <c r="I148" s="326"/>
      <c r="J148" s="326"/>
    </row>
    <row r="149" ht="13.5" spans="1:10">
      <c r="A149" s="300" t="s">
        <v>112</v>
      </c>
      <c r="B149" s="301" t="s">
        <v>42</v>
      </c>
      <c r="C149" s="301"/>
      <c r="D149" s="307">
        <f>C146*C148/12/100</f>
        <v>1648.94333333333</v>
      </c>
      <c r="E149" s="302">
        <f>D149</f>
        <v>1648.94333333333</v>
      </c>
      <c r="F149" s="299"/>
      <c r="I149" s="326"/>
      <c r="J149" s="326"/>
    </row>
    <row r="150" ht="13.5" spans="1:10">
      <c r="A150" s="246" t="s">
        <v>113</v>
      </c>
      <c r="B150" s="247" t="s">
        <v>64</v>
      </c>
      <c r="C150" s="247">
        <f>C134</f>
        <v>1</v>
      </c>
      <c r="D150" s="249">
        <f>D134</f>
        <v>80000</v>
      </c>
      <c r="E150" s="249">
        <f>C150*D150</f>
        <v>80000</v>
      </c>
      <c r="F150" s="299"/>
      <c r="I150" s="326"/>
      <c r="J150" s="326"/>
    </row>
    <row r="151" spans="1:10">
      <c r="A151" s="250" t="s">
        <v>109</v>
      </c>
      <c r="B151" s="251" t="s">
        <v>23</v>
      </c>
      <c r="C151" s="308">
        <f>C146</f>
        <v>14</v>
      </c>
      <c r="D151" s="253"/>
      <c r="E151" s="253"/>
      <c r="F151" s="299"/>
      <c r="I151" s="326"/>
      <c r="J151" s="326"/>
    </row>
    <row r="152" spans="1:10">
      <c r="A152" s="250" t="s">
        <v>114</v>
      </c>
      <c r="B152" s="251" t="s">
        <v>42</v>
      </c>
      <c r="C152" s="306">
        <f>IFERROR(IF(C136&lt;=C135,E134-(C137/(100*C135)*C136)*E134,E134-E137),0)</f>
        <v>80000</v>
      </c>
      <c r="D152" s="253"/>
      <c r="E152" s="253"/>
      <c r="F152" s="299"/>
      <c r="I152" s="326"/>
      <c r="J152" s="326"/>
    </row>
    <row r="153" spans="1:10">
      <c r="A153" s="250" t="s">
        <v>115</v>
      </c>
      <c r="B153" s="251" t="s">
        <v>42</v>
      </c>
      <c r="C153" s="254">
        <f>IFERROR(IF(C136&gt;=C135,C152,((((C152)-(E134-E137))*(((C135-C136)+1)/(2*(C135-C136))))+(E134-E137))),0)</f>
        <v>56535.2</v>
      </c>
      <c r="D153" s="253"/>
      <c r="E153" s="253"/>
      <c r="F153" s="299"/>
      <c r="I153" s="326"/>
      <c r="J153" s="326"/>
    </row>
    <row r="154" spans="1:10">
      <c r="A154" s="265" t="s">
        <v>116</v>
      </c>
      <c r="B154" s="304" t="s">
        <v>42</v>
      </c>
      <c r="C154" s="304"/>
      <c r="D154" s="309">
        <f>C151*C153/12/100</f>
        <v>659.577333333333</v>
      </c>
      <c r="E154" s="266">
        <f>D154</f>
        <v>659.577333333333</v>
      </c>
      <c r="F154" s="299"/>
      <c r="I154" s="326"/>
      <c r="J154" s="326"/>
    </row>
    <row r="155" spans="1:10">
      <c r="A155" s="255" t="s">
        <v>105</v>
      </c>
      <c r="B155" s="256"/>
      <c r="C155" s="256"/>
      <c r="D155" s="257"/>
      <c r="E155" s="258">
        <f>E149+E154</f>
        <v>2308.52066666667</v>
      </c>
      <c r="F155" s="299"/>
      <c r="I155" s="326"/>
      <c r="J155" s="326"/>
    </row>
    <row r="156" ht="13.5" spans="1:10">
      <c r="A156" s="265" t="s">
        <v>106</v>
      </c>
      <c r="B156" s="304" t="s">
        <v>64</v>
      </c>
      <c r="C156" s="308">
        <f>C140</f>
        <v>1</v>
      </c>
      <c r="D156" s="266">
        <f>E155</f>
        <v>2308.52066666667</v>
      </c>
      <c r="E156" s="258">
        <f>C156*D156</f>
        <v>2308.52066666667</v>
      </c>
      <c r="F156" s="299"/>
      <c r="I156" s="326"/>
      <c r="J156" s="326"/>
    </row>
    <row r="157" ht="13.5" spans="3:10">
      <c r="C157" s="310"/>
      <c r="D157" s="261" t="s">
        <v>50</v>
      </c>
      <c r="E157" s="262">
        <f>E141</f>
        <v>0.0454545454545455</v>
      </c>
      <c r="F157" s="296">
        <f>E156*E157</f>
        <v>104.932757575758</v>
      </c>
      <c r="I157" s="326"/>
      <c r="J157" s="326"/>
    </row>
    <row r="158" ht="11.25" customHeight="1" spans="9:10">
      <c r="I158" s="326"/>
      <c r="J158" s="326"/>
    </row>
    <row r="159" ht="13.5" spans="1:10">
      <c r="A159" s="92" t="s">
        <v>117</v>
      </c>
      <c r="I159" s="326"/>
      <c r="J159" s="326"/>
    </row>
    <row r="160" ht="13.5" spans="1:10">
      <c r="A160" s="242" t="s">
        <v>28</v>
      </c>
      <c r="B160" s="243" t="s">
        <v>29</v>
      </c>
      <c r="C160" s="243" t="s">
        <v>30</v>
      </c>
      <c r="D160" s="244" t="s">
        <v>31</v>
      </c>
      <c r="E160" s="244" t="s">
        <v>32</v>
      </c>
      <c r="F160" s="245" t="s">
        <v>33</v>
      </c>
      <c r="I160" s="326"/>
      <c r="J160" s="326"/>
    </row>
    <row r="161" spans="1:10">
      <c r="A161" s="246" t="s">
        <v>118</v>
      </c>
      <c r="B161" s="247" t="s">
        <v>64</v>
      </c>
      <c r="C161" s="249">
        <f>C140</f>
        <v>1</v>
      </c>
      <c r="D161" s="249">
        <f>0.01*C147</f>
        <v>2000</v>
      </c>
      <c r="E161" s="249">
        <f>C161*D161</f>
        <v>2000</v>
      </c>
      <c r="I161" s="326"/>
      <c r="J161" s="326"/>
    </row>
    <row r="162" spans="1:10">
      <c r="A162" s="250" t="s">
        <v>119</v>
      </c>
      <c r="B162" s="251" t="s">
        <v>64</v>
      </c>
      <c r="C162" s="249">
        <f>C140</f>
        <v>1</v>
      </c>
      <c r="D162" s="311">
        <v>109.27</v>
      </c>
      <c r="E162" s="253">
        <f>C162*D162</f>
        <v>109.27</v>
      </c>
      <c r="I162" s="326"/>
      <c r="J162" s="326"/>
    </row>
    <row r="163" spans="1:10">
      <c r="A163" s="250" t="s">
        <v>120</v>
      </c>
      <c r="B163" s="251" t="s">
        <v>64</v>
      </c>
      <c r="C163" s="249">
        <f>C140</f>
        <v>1</v>
      </c>
      <c r="D163" s="311">
        <v>4000</v>
      </c>
      <c r="E163" s="253">
        <f>C163*D163</f>
        <v>4000</v>
      </c>
      <c r="F163" s="312"/>
      <c r="I163" s="326"/>
      <c r="J163" s="326"/>
    </row>
    <row r="164" ht="13.5" spans="1:10">
      <c r="A164" s="265" t="s">
        <v>121</v>
      </c>
      <c r="B164" s="304" t="s">
        <v>35</v>
      </c>
      <c r="C164" s="304">
        <v>12</v>
      </c>
      <c r="D164" s="266">
        <f>SUM(E161:E163)</f>
        <v>6109.27</v>
      </c>
      <c r="E164" s="266">
        <f>D164/C164</f>
        <v>509.105833333333</v>
      </c>
      <c r="I164" s="326"/>
      <c r="J164" s="326"/>
    </row>
    <row r="165" ht="13.5" spans="4:10">
      <c r="D165" s="261" t="s">
        <v>50</v>
      </c>
      <c r="E165" s="262">
        <f>E157</f>
        <v>0.0454545454545455</v>
      </c>
      <c r="F165" s="263">
        <f>E164*E165</f>
        <v>23.1411742424242</v>
      </c>
      <c r="I165" s="326"/>
      <c r="J165" s="326"/>
    </row>
    <row r="166" ht="11.25" customHeight="1" spans="9:10">
      <c r="I166" s="326"/>
      <c r="J166" s="326"/>
    </row>
    <row r="167" spans="1:10">
      <c r="A167" s="92" t="s">
        <v>122</v>
      </c>
      <c r="B167" s="313"/>
      <c r="I167" s="326"/>
      <c r="J167" s="326"/>
    </row>
    <row r="168" ht="13.5" spans="1:10">
      <c r="A168" s="265" t="s">
        <v>123</v>
      </c>
      <c r="B168" s="314">
        <f>Roteiros!D9</f>
        <v>230</v>
      </c>
      <c r="I168" s="326"/>
      <c r="J168" s="326"/>
    </row>
    <row r="169" ht="13.5" spans="1:10">
      <c r="A169" s="242" t="s">
        <v>28</v>
      </c>
      <c r="B169" s="243" t="s">
        <v>29</v>
      </c>
      <c r="C169" s="243" t="s">
        <v>124</v>
      </c>
      <c r="D169" s="244" t="s">
        <v>31</v>
      </c>
      <c r="E169" s="244" t="s">
        <v>32</v>
      </c>
      <c r="F169" s="245" t="s">
        <v>33</v>
      </c>
      <c r="I169" s="326"/>
      <c r="J169" s="326"/>
    </row>
    <row r="170" spans="1:10">
      <c r="A170" s="246" t="s">
        <v>125</v>
      </c>
      <c r="B170" s="247" t="s">
        <v>126</v>
      </c>
      <c r="C170" s="315">
        <v>4</v>
      </c>
      <c r="D170" s="316">
        <v>6.14</v>
      </c>
      <c r="E170" s="249"/>
      <c r="I170" s="326"/>
      <c r="J170" s="326"/>
    </row>
    <row r="171" spans="1:10">
      <c r="A171" s="250" t="s">
        <v>127</v>
      </c>
      <c r="B171" s="251" t="s">
        <v>128</v>
      </c>
      <c r="C171" s="253">
        <f>B168</f>
        <v>230</v>
      </c>
      <c r="D171" s="317">
        <f>IFERROR(+D170/C170,"-")</f>
        <v>1.535</v>
      </c>
      <c r="E171" s="253">
        <f>IFERROR(C171*D171,"-")</f>
        <v>353.05</v>
      </c>
      <c r="I171" s="326"/>
      <c r="J171" s="326"/>
    </row>
    <row r="172" spans="1:10">
      <c r="A172" s="250" t="s">
        <v>129</v>
      </c>
      <c r="B172" s="251" t="s">
        <v>130</v>
      </c>
      <c r="C172" s="318">
        <v>1.33</v>
      </c>
      <c r="D172" s="311">
        <v>28</v>
      </c>
      <c r="E172" s="253"/>
      <c r="G172" s="319"/>
      <c r="H172" s="320"/>
      <c r="I172" s="326"/>
      <c r="J172" s="326"/>
    </row>
    <row r="173" spans="1:10">
      <c r="A173" s="250" t="s">
        <v>131</v>
      </c>
      <c r="B173" s="251" t="s">
        <v>128</v>
      </c>
      <c r="C173" s="253">
        <f>C171</f>
        <v>230</v>
      </c>
      <c r="D173" s="321">
        <f>+C172*D172/1000</f>
        <v>0.03724</v>
      </c>
      <c r="E173" s="253">
        <f>C173*D173</f>
        <v>8.5652</v>
      </c>
      <c r="G173" s="319"/>
      <c r="H173" s="320"/>
      <c r="I173" s="326"/>
      <c r="J173" s="326"/>
    </row>
    <row r="174" spans="1:10">
      <c r="A174" s="250" t="s">
        <v>132</v>
      </c>
      <c r="B174" s="251" t="s">
        <v>130</v>
      </c>
      <c r="C174" s="318">
        <v>0.18</v>
      </c>
      <c r="D174" s="311">
        <v>29</v>
      </c>
      <c r="E174" s="253"/>
      <c r="G174" s="319"/>
      <c r="H174" s="320"/>
      <c r="I174" s="326"/>
      <c r="J174" s="326"/>
    </row>
    <row r="175" spans="1:10">
      <c r="A175" s="250" t="s">
        <v>133</v>
      </c>
      <c r="B175" s="251" t="s">
        <v>128</v>
      </c>
      <c r="C175" s="253">
        <f>C171</f>
        <v>230</v>
      </c>
      <c r="D175" s="321">
        <f>+C174*D174/1000</f>
        <v>0.00522</v>
      </c>
      <c r="E175" s="253">
        <f>C175*D175</f>
        <v>1.2006</v>
      </c>
      <c r="G175" s="319"/>
      <c r="H175" s="320"/>
      <c r="I175" s="326"/>
      <c r="J175" s="326"/>
    </row>
    <row r="176" spans="1:10">
      <c r="A176" s="250" t="s">
        <v>134</v>
      </c>
      <c r="B176" s="251" t="s">
        <v>130</v>
      </c>
      <c r="C176" s="318">
        <v>11</v>
      </c>
      <c r="D176" s="311">
        <v>3.5</v>
      </c>
      <c r="E176" s="253"/>
      <c r="G176" s="319"/>
      <c r="H176" s="320"/>
      <c r="I176" s="326"/>
      <c r="J176" s="326"/>
    </row>
    <row r="177" spans="1:10">
      <c r="A177" s="250" t="s">
        <v>135</v>
      </c>
      <c r="B177" s="251" t="s">
        <v>128</v>
      </c>
      <c r="C177" s="253">
        <f>C171</f>
        <v>230</v>
      </c>
      <c r="D177" s="321">
        <f>+C176*D176/1000</f>
        <v>0.0385</v>
      </c>
      <c r="E177" s="253">
        <f>C177*D177</f>
        <v>8.855</v>
      </c>
      <c r="G177" s="319"/>
      <c r="H177" s="320"/>
      <c r="I177" s="326"/>
      <c r="J177" s="326"/>
    </row>
    <row r="178" spans="1:10">
      <c r="A178" s="250" t="s">
        <v>136</v>
      </c>
      <c r="B178" s="251" t="s">
        <v>130</v>
      </c>
      <c r="C178" s="318">
        <v>1</v>
      </c>
      <c r="D178" s="311">
        <v>30</v>
      </c>
      <c r="E178" s="253"/>
      <c r="G178" s="322"/>
      <c r="H178" s="320"/>
      <c r="I178" s="326"/>
      <c r="J178" s="326"/>
    </row>
    <row r="179" spans="1:10">
      <c r="A179" s="250" t="s">
        <v>137</v>
      </c>
      <c r="B179" s="251" t="s">
        <v>128</v>
      </c>
      <c r="C179" s="253">
        <f>C171</f>
        <v>230</v>
      </c>
      <c r="D179" s="321">
        <f>+C178*D178/1000</f>
        <v>0.03</v>
      </c>
      <c r="E179" s="253">
        <f>C179*D179</f>
        <v>6.9</v>
      </c>
      <c r="G179" s="319"/>
      <c r="H179" s="320"/>
      <c r="I179" s="326"/>
      <c r="J179" s="326"/>
    </row>
    <row r="180" spans="1:10">
      <c r="A180" s="250" t="s">
        <v>138</v>
      </c>
      <c r="B180" s="251" t="s">
        <v>139</v>
      </c>
      <c r="C180" s="318">
        <v>1.5</v>
      </c>
      <c r="D180" s="311">
        <v>27</v>
      </c>
      <c r="E180" s="253"/>
      <c r="G180" s="319"/>
      <c r="H180" s="320"/>
      <c r="I180" s="326"/>
      <c r="J180" s="326"/>
    </row>
    <row r="181" spans="1:10">
      <c r="A181" s="250" t="s">
        <v>140</v>
      </c>
      <c r="B181" s="251" t="s">
        <v>128</v>
      </c>
      <c r="C181" s="253">
        <f>C171</f>
        <v>230</v>
      </c>
      <c r="D181" s="321">
        <f>+C180*D180/1000</f>
        <v>0.0405</v>
      </c>
      <c r="E181" s="253">
        <f>C181*D181</f>
        <v>9.315</v>
      </c>
      <c r="G181" s="319"/>
      <c r="H181" s="320"/>
      <c r="I181" s="326"/>
      <c r="J181" s="326"/>
    </row>
    <row r="182" ht="13.5" spans="1:10">
      <c r="A182" s="265" t="s">
        <v>141</v>
      </c>
      <c r="B182" s="304" t="s">
        <v>142</v>
      </c>
      <c r="C182" s="323"/>
      <c r="D182" s="324">
        <f>IFERROR(D171+D173+D175+D177+D179+D181,0)</f>
        <v>1.68646</v>
      </c>
      <c r="E182" s="253"/>
      <c r="G182" s="319"/>
      <c r="H182" s="320"/>
      <c r="I182" s="326"/>
      <c r="J182" s="326"/>
    </row>
    <row r="183" ht="13.5" spans="6:10">
      <c r="F183" s="296">
        <f>SUM(E170:E181)</f>
        <v>387.8858</v>
      </c>
      <c r="I183" s="326"/>
      <c r="J183" s="326"/>
    </row>
    <row r="184" ht="11.25" customHeight="1" spans="9:10">
      <c r="I184" s="326"/>
      <c r="J184" s="326"/>
    </row>
    <row r="185" ht="13.5" spans="1:10">
      <c r="A185" s="92" t="s">
        <v>143</v>
      </c>
      <c r="I185" s="326"/>
      <c r="J185" s="326"/>
    </row>
    <row r="186" ht="13.5" spans="1:10">
      <c r="A186" s="242" t="s">
        <v>28</v>
      </c>
      <c r="B186" s="243" t="s">
        <v>29</v>
      </c>
      <c r="C186" s="243" t="s">
        <v>30</v>
      </c>
      <c r="D186" s="244" t="s">
        <v>31</v>
      </c>
      <c r="E186" s="244" t="s">
        <v>32</v>
      </c>
      <c r="F186" s="245" t="s">
        <v>33</v>
      </c>
      <c r="I186" s="326"/>
      <c r="J186" s="326"/>
    </row>
    <row r="187" ht="13.5" spans="1:10">
      <c r="A187" s="246" t="s">
        <v>144</v>
      </c>
      <c r="B187" s="247" t="s">
        <v>142</v>
      </c>
      <c r="C187" s="253">
        <f>C171</f>
        <v>230</v>
      </c>
      <c r="D187" s="248">
        <v>0.74</v>
      </c>
      <c r="E187" s="249">
        <f>C187*D187</f>
        <v>170.2</v>
      </c>
      <c r="I187" s="326"/>
      <c r="J187" s="326"/>
    </row>
    <row r="188" ht="13.5" spans="6:10">
      <c r="F188" s="296">
        <f>E187</f>
        <v>170.2</v>
      </c>
      <c r="I188" s="326"/>
      <c r="J188" s="326"/>
    </row>
    <row r="189" ht="11.25" customHeight="1" spans="9:10">
      <c r="I189" s="326"/>
      <c r="J189" s="326"/>
    </row>
    <row r="190" ht="13.5" spans="1:10">
      <c r="A190" s="92" t="s">
        <v>145</v>
      </c>
      <c r="I190" s="326"/>
      <c r="J190" s="326"/>
    </row>
    <row r="191" ht="13.5" spans="1:10">
      <c r="A191" s="242" t="s">
        <v>28</v>
      </c>
      <c r="B191" s="243" t="s">
        <v>29</v>
      </c>
      <c r="C191" s="243" t="s">
        <v>30</v>
      </c>
      <c r="D191" s="244" t="s">
        <v>31</v>
      </c>
      <c r="E191" s="244" t="s">
        <v>32</v>
      </c>
      <c r="F191" s="245" t="s">
        <v>33</v>
      </c>
      <c r="I191" s="326"/>
      <c r="J191" s="326"/>
    </row>
    <row r="192" spans="1:10">
      <c r="A192" s="246" t="s">
        <v>146</v>
      </c>
      <c r="B192" s="247" t="s">
        <v>64</v>
      </c>
      <c r="C192" s="325">
        <v>6</v>
      </c>
      <c r="D192" s="248">
        <v>2500</v>
      </c>
      <c r="E192" s="249">
        <f>C192*D192</f>
        <v>15000</v>
      </c>
      <c r="I192" s="326"/>
      <c r="J192" s="326"/>
    </row>
    <row r="193" spans="1:10">
      <c r="A193" s="246" t="s">
        <v>147</v>
      </c>
      <c r="B193" s="247" t="s">
        <v>64</v>
      </c>
      <c r="C193" s="325">
        <v>2</v>
      </c>
      <c r="D193" s="327"/>
      <c r="E193" s="249"/>
      <c r="I193" s="326"/>
      <c r="J193" s="326"/>
    </row>
    <row r="194" spans="1:10">
      <c r="A194" s="246" t="s">
        <v>148</v>
      </c>
      <c r="B194" s="247" t="s">
        <v>64</v>
      </c>
      <c r="C194" s="249">
        <f>C192*C193</f>
        <v>12</v>
      </c>
      <c r="D194" s="248">
        <v>700</v>
      </c>
      <c r="E194" s="249">
        <f>C194*D194</f>
        <v>8400</v>
      </c>
      <c r="I194" s="326"/>
      <c r="J194" s="326"/>
    </row>
    <row r="195" spans="1:10">
      <c r="A195" s="250" t="s">
        <v>149</v>
      </c>
      <c r="B195" s="251" t="s">
        <v>150</v>
      </c>
      <c r="C195" s="328">
        <v>80000</v>
      </c>
      <c r="D195" s="253">
        <f>E192+E194</f>
        <v>23400</v>
      </c>
      <c r="E195" s="253">
        <f>IFERROR(D195/C195,"-")</f>
        <v>0.2925</v>
      </c>
      <c r="I195" s="326"/>
      <c r="J195" s="326"/>
    </row>
    <row r="196" ht="13.5" spans="1:10">
      <c r="A196" s="250" t="s">
        <v>151</v>
      </c>
      <c r="B196" s="251" t="s">
        <v>128</v>
      </c>
      <c r="C196" s="253">
        <f>B168</f>
        <v>230</v>
      </c>
      <c r="D196" s="253">
        <f>E195</f>
        <v>0.2925</v>
      </c>
      <c r="E196" s="253">
        <f>IFERROR(C196*D196,0)</f>
        <v>67.275</v>
      </c>
      <c r="I196" s="326"/>
      <c r="J196" s="326"/>
    </row>
    <row r="197" ht="13.5" spans="6:10">
      <c r="F197" s="296">
        <f>E196</f>
        <v>67.275</v>
      </c>
      <c r="I197" s="326"/>
      <c r="J197" s="326"/>
    </row>
    <row r="198" ht="11.25" customHeight="1" spans="9:10">
      <c r="I198" s="326"/>
      <c r="J198" s="326"/>
    </row>
    <row r="199" ht="13.5" spans="1:7">
      <c r="A199" s="280" t="s">
        <v>152</v>
      </c>
      <c r="B199" s="281"/>
      <c r="C199" s="281"/>
      <c r="D199" s="231"/>
      <c r="E199" s="282"/>
      <c r="F199" s="296">
        <f>+SUM(F129:F198)</f>
        <v>822.565034848485</v>
      </c>
      <c r="G199" s="92"/>
    </row>
    <row r="200" ht="11.25" customHeight="1" spans="7:7">
      <c r="G200" s="92"/>
    </row>
    <row r="201" ht="13.5" spans="1:7">
      <c r="A201" s="238" t="s">
        <v>153</v>
      </c>
      <c r="B201" s="238"/>
      <c r="C201" s="238"/>
      <c r="D201" s="237"/>
      <c r="E201" s="237"/>
      <c r="F201" s="329"/>
      <c r="G201" s="92"/>
    </row>
    <row r="202" ht="11.25" hidden="1" customHeight="1" spans="7:7">
      <c r="G202" s="92"/>
    </row>
    <row r="203" ht="13.5" spans="1:7">
      <c r="A203" s="242" t="s">
        <v>28</v>
      </c>
      <c r="B203" s="243" t="s">
        <v>29</v>
      </c>
      <c r="C203" s="243" t="s">
        <v>30</v>
      </c>
      <c r="D203" s="244" t="s">
        <v>31</v>
      </c>
      <c r="E203" s="244" t="s">
        <v>32</v>
      </c>
      <c r="F203" s="245" t="s">
        <v>33</v>
      </c>
      <c r="G203" s="92"/>
    </row>
    <row r="204" hidden="1" spans="1:7">
      <c r="A204" s="250" t="s">
        <v>154</v>
      </c>
      <c r="B204" s="251" t="s">
        <v>64</v>
      </c>
      <c r="C204" s="289">
        <v>0.166666666666667</v>
      </c>
      <c r="D204" s="248">
        <v>0</v>
      </c>
      <c r="E204" s="253">
        <f>C204*D204</f>
        <v>0</v>
      </c>
      <c r="F204" s="330"/>
      <c r="G204" s="92"/>
    </row>
    <row r="205" hidden="1" spans="1:7">
      <c r="A205" s="250" t="s">
        <v>155</v>
      </c>
      <c r="B205" s="251" t="s">
        <v>64</v>
      </c>
      <c r="C205" s="289">
        <v>0.166666666666667</v>
      </c>
      <c r="D205" s="248">
        <v>0</v>
      </c>
      <c r="E205" s="253">
        <f>C205*D205</f>
        <v>0</v>
      </c>
      <c r="F205" s="330"/>
      <c r="G205" s="92"/>
    </row>
    <row r="206" spans="1:7">
      <c r="A206" s="250" t="s">
        <v>156</v>
      </c>
      <c r="B206" s="251" t="s">
        <v>157</v>
      </c>
      <c r="C206" s="331">
        <f>Litros!D7</f>
        <v>2800.0002</v>
      </c>
      <c r="D206" s="248">
        <v>0.35</v>
      </c>
      <c r="E206" s="253">
        <f>C206*D206</f>
        <v>980.00007</v>
      </c>
      <c r="F206" s="330"/>
      <c r="G206" s="92"/>
    </row>
    <row r="207" ht="13.5" spans="1:7">
      <c r="A207" s="250" t="s">
        <v>158</v>
      </c>
      <c r="B207" s="251" t="s">
        <v>157</v>
      </c>
      <c r="C207" s="332">
        <f>Litros!D8</f>
        <v>400.00002</v>
      </c>
      <c r="D207" s="311">
        <v>0.35</v>
      </c>
      <c r="E207" s="253">
        <f>C207*D207</f>
        <v>140.000007</v>
      </c>
      <c r="F207" s="330"/>
      <c r="G207" s="92"/>
    </row>
    <row r="208" ht="13.5" hidden="1" spans="1:7">
      <c r="A208" s="250" t="s">
        <v>159</v>
      </c>
      <c r="B208" s="251" t="s">
        <v>160</v>
      </c>
      <c r="C208" s="289"/>
      <c r="D208" s="248"/>
      <c r="E208" s="253">
        <f>C208*D208</f>
        <v>0</v>
      </c>
      <c r="F208" s="330"/>
      <c r="G208" s="92"/>
    </row>
    <row r="209" ht="13.5" spans="1:7">
      <c r="A209" s="238"/>
      <c r="B209" s="238"/>
      <c r="C209" s="238"/>
      <c r="D209" s="238"/>
      <c r="E209" s="237"/>
      <c r="F209" s="296">
        <f>SUM(E204:E208)</f>
        <v>1120.000077</v>
      </c>
      <c r="G209" s="92"/>
    </row>
    <row r="210" ht="11.25" customHeight="1" spans="7:7">
      <c r="G210" s="92"/>
    </row>
    <row r="211" ht="13.5" spans="1:7">
      <c r="A211" s="280" t="s">
        <v>161</v>
      </c>
      <c r="B211" s="281"/>
      <c r="C211" s="281"/>
      <c r="D211" s="231"/>
      <c r="E211" s="282"/>
      <c r="F211" s="296">
        <f>+F209</f>
        <v>1120.000077</v>
      </c>
      <c r="G211" s="92"/>
    </row>
    <row r="212" ht="11.25" customHeight="1" spans="7:7">
      <c r="G212" s="92"/>
    </row>
    <row r="213" ht="13.5" spans="1:6">
      <c r="A213" s="238" t="s">
        <v>162</v>
      </c>
      <c r="B213" s="238"/>
      <c r="C213" s="238"/>
      <c r="D213" s="237"/>
      <c r="E213" s="237"/>
      <c r="F213" s="329"/>
    </row>
    <row r="214" ht="11.25" hidden="1" customHeight="1"/>
    <row r="215" ht="13.5" spans="1:6">
      <c r="A215" s="242" t="s">
        <v>28</v>
      </c>
      <c r="B215" s="243" t="s">
        <v>29</v>
      </c>
      <c r="C215" s="243" t="s">
        <v>30</v>
      </c>
      <c r="D215" s="244" t="s">
        <v>31</v>
      </c>
      <c r="E215" s="244" t="s">
        <v>32</v>
      </c>
      <c r="F215" s="245" t="s">
        <v>33</v>
      </c>
    </row>
    <row r="216" spans="1:6">
      <c r="A216" s="250" t="s">
        <v>163</v>
      </c>
      <c r="B216" s="333" t="s">
        <v>160</v>
      </c>
      <c r="C216" s="291">
        <f>C129</f>
        <v>1</v>
      </c>
      <c r="D216" s="311">
        <v>600</v>
      </c>
      <c r="E216" s="253">
        <f>+D216*C216</f>
        <v>600</v>
      </c>
      <c r="F216" s="330"/>
    </row>
    <row r="217" spans="1:6">
      <c r="A217" s="250" t="s">
        <v>164</v>
      </c>
      <c r="B217" s="333" t="s">
        <v>35</v>
      </c>
      <c r="C217" s="334">
        <v>60</v>
      </c>
      <c r="D217" s="335">
        <f>SUM(E216:E216)</f>
        <v>600</v>
      </c>
      <c r="E217" s="335">
        <f>+D217/C217</f>
        <v>10</v>
      </c>
      <c r="F217" s="330"/>
    </row>
    <row r="218" spans="1:6">
      <c r="A218" s="250" t="s">
        <v>165</v>
      </c>
      <c r="B218" s="333" t="s">
        <v>35</v>
      </c>
      <c r="C218" s="334">
        <v>1</v>
      </c>
      <c r="D218" s="311">
        <v>130</v>
      </c>
      <c r="E218" s="253">
        <f>C218*D218</f>
        <v>130</v>
      </c>
      <c r="F218" s="330"/>
    </row>
    <row r="219" ht="13.5" spans="1:6">
      <c r="A219" s="250" t="s">
        <v>165</v>
      </c>
      <c r="B219" s="333" t="s">
        <v>35</v>
      </c>
      <c r="C219" s="334">
        <v>1</v>
      </c>
      <c r="D219" s="335">
        <f>+E218</f>
        <v>130</v>
      </c>
      <c r="E219" s="335">
        <f>+D219/C219</f>
        <v>130</v>
      </c>
      <c r="F219" s="330"/>
    </row>
    <row r="220" ht="13.5" spans="1:6">
      <c r="A220" s="336"/>
      <c r="B220" s="336"/>
      <c r="D220" s="261" t="s">
        <v>50</v>
      </c>
      <c r="E220" s="262">
        <f>E157</f>
        <v>0.0454545454545455</v>
      </c>
      <c r="F220" s="337">
        <f>(E219+E217)*E220</f>
        <v>6.36363636363636</v>
      </c>
    </row>
    <row r="221" s="187" customFormat="1" ht="11.25" customHeight="1" spans="1:7">
      <c r="A221" s="92"/>
      <c r="B221" s="92"/>
      <c r="C221" s="92"/>
      <c r="D221" s="188"/>
      <c r="E221" s="188"/>
      <c r="F221" s="188"/>
      <c r="G221" s="338"/>
    </row>
    <row r="222" ht="13.5" spans="1:6">
      <c r="A222" s="280" t="s">
        <v>166</v>
      </c>
      <c r="B222" s="281"/>
      <c r="C222" s="281"/>
      <c r="D222" s="231"/>
      <c r="E222" s="282"/>
      <c r="F222" s="296">
        <f>+F220</f>
        <v>6.36363636363636</v>
      </c>
    </row>
    <row r="223" ht="11.25" customHeight="1"/>
    <row r="224" ht="17.25" customHeight="1" spans="1:6">
      <c r="A224" s="280" t="s">
        <v>167</v>
      </c>
      <c r="B224" s="293"/>
      <c r="C224" s="293"/>
      <c r="D224" s="294"/>
      <c r="E224" s="295"/>
      <c r="F224" s="275">
        <f>+F89+F123+F199+F211+F222</f>
        <v>2546.80260777828</v>
      </c>
    </row>
    <row r="225" ht="11.25" customHeight="1"/>
    <row r="226" ht="13.5" spans="1:1">
      <c r="A226" s="88" t="s">
        <v>168</v>
      </c>
    </row>
    <row r="227" ht="11.25" hidden="1" customHeight="1"/>
    <row r="228" ht="13.5" spans="1:6">
      <c r="A228" s="242" t="s">
        <v>28</v>
      </c>
      <c r="B228" s="243" t="s">
        <v>29</v>
      </c>
      <c r="C228" s="243" t="s">
        <v>30</v>
      </c>
      <c r="D228" s="244" t="s">
        <v>31</v>
      </c>
      <c r="E228" s="244" t="s">
        <v>32</v>
      </c>
      <c r="F228" s="245" t="s">
        <v>33</v>
      </c>
    </row>
    <row r="229" ht="13.5" spans="1:5">
      <c r="A229" s="246" t="s">
        <v>169</v>
      </c>
      <c r="B229" s="247" t="s">
        <v>23</v>
      </c>
      <c r="C229" s="259">
        <f>'4.BDI'!C21*100</f>
        <v>22.18</v>
      </c>
      <c r="D229" s="249">
        <f>+F224</f>
        <v>2546.80260777828</v>
      </c>
      <c r="E229" s="249">
        <f>C229*D229/100</f>
        <v>564.880818405223</v>
      </c>
    </row>
    <row r="230" ht="13.5" spans="6:6">
      <c r="F230" s="296">
        <f>+E229</f>
        <v>564.880818405223</v>
      </c>
    </row>
    <row r="231" ht="11.25" customHeight="1"/>
    <row r="232" ht="13.5" spans="1:6">
      <c r="A232" s="280" t="s">
        <v>170</v>
      </c>
      <c r="B232" s="293"/>
      <c r="C232" s="293"/>
      <c r="D232" s="294"/>
      <c r="E232" s="295"/>
      <c r="F232" s="275">
        <f>F230</f>
        <v>564.880818405223</v>
      </c>
    </row>
    <row r="233" ht="13.5" spans="1:6">
      <c r="A233" s="238"/>
      <c r="B233" s="238"/>
      <c r="C233" s="238"/>
      <c r="D233" s="237"/>
      <c r="E233" s="237"/>
      <c r="F233" s="329"/>
    </row>
    <row r="234" ht="24.75" customHeight="1" spans="1:6">
      <c r="A234" s="280" t="s">
        <v>171</v>
      </c>
      <c r="B234" s="293"/>
      <c r="C234" s="293"/>
      <c r="D234" s="294"/>
      <c r="E234" s="295"/>
      <c r="F234" s="275">
        <f>F224+F232</f>
        <v>3111.68342618351</v>
      </c>
    </row>
    <row r="235" ht="12.6" customHeight="1" spans="1:6">
      <c r="A235" s="339"/>
      <c r="B235" s="339"/>
      <c r="C235" s="339"/>
      <c r="D235" s="340"/>
      <c r="E235" s="340"/>
      <c r="F235" s="340"/>
    </row>
    <row r="236" ht="14.25" hidden="1" spans="1:5">
      <c r="A236" s="185"/>
      <c r="B236" s="185"/>
      <c r="C236" s="185"/>
      <c r="D236" s="195"/>
      <c r="E236" s="195"/>
    </row>
    <row r="237" ht="16.15" hidden="1" customHeight="1" spans="1:5">
      <c r="A237" s="341" t="s">
        <v>172</v>
      </c>
      <c r="B237" s="342"/>
      <c r="C237" s="342"/>
      <c r="D237" s="343">
        <f>C206+C207</f>
        <v>3200.00022</v>
      </c>
      <c r="E237" s="344" t="s">
        <v>173</v>
      </c>
    </row>
    <row r="238" ht="13.5" hidden="1"/>
    <row r="239" ht="25.5" hidden="1" customHeight="1" spans="1:6">
      <c r="A239" s="280" t="s">
        <v>174</v>
      </c>
      <c r="B239" s="281"/>
      <c r="C239" s="281"/>
      <c r="D239" s="231"/>
      <c r="E239" s="345" t="s">
        <v>175</v>
      </c>
      <c r="F239" s="346">
        <f>IFERROR(F234/D237,"-")</f>
        <v>0.972401003829776</v>
      </c>
    </row>
    <row r="240" ht="12.6" hidden="1" customHeight="1" spans="1:6">
      <c r="A240" s="238"/>
      <c r="B240" s="238"/>
      <c r="C240" s="238"/>
      <c r="D240" s="237"/>
      <c r="E240" s="237"/>
      <c r="F240" s="237"/>
    </row>
    <row r="241" s="86" customFormat="1" ht="9.75" customHeight="1" spans="1:7">
      <c r="A241" s="347"/>
      <c r="B241" s="188"/>
      <c r="C241" s="188"/>
      <c r="D241" s="188"/>
      <c r="E241" s="188"/>
      <c r="F241" s="188"/>
      <c r="G241" s="95"/>
    </row>
    <row r="242" s="86" customFormat="1" ht="9.75" customHeight="1" spans="1:7">
      <c r="A242" s="347"/>
      <c r="B242" s="188"/>
      <c r="C242" s="188"/>
      <c r="D242" s="188"/>
      <c r="E242" s="188"/>
      <c r="F242" s="188"/>
      <c r="G242" s="95"/>
    </row>
    <row r="243" s="86" customFormat="1" ht="9.75" customHeight="1" spans="1:7">
      <c r="A243" s="347"/>
      <c r="B243" s="188"/>
      <c r="C243" s="188"/>
      <c r="D243" s="188"/>
      <c r="E243" s="188"/>
      <c r="F243" s="188"/>
      <c r="G243" s="95"/>
    </row>
    <row r="273" ht="9" customHeight="1" spans="4:7">
      <c r="D273" s="92"/>
      <c r="E273" s="92"/>
      <c r="F273" s="92"/>
      <c r="G273" s="92"/>
    </row>
  </sheetData>
  <mergeCells count="4">
    <mergeCell ref="A12:F12"/>
    <mergeCell ref="A13:F13"/>
    <mergeCell ref="A15:F15"/>
    <mergeCell ref="A23:C23"/>
  </mergeCells>
  <hyperlinks>
    <hyperlink ref="A143" location="AbaRemun" display="3.1.2. Remuneração do Capital"/>
    <hyperlink ref="A127" location="AbaDeprec" display="3.1.1. Depreciação"/>
  </hyperlinks>
  <pageMargins left="0.905511811023622" right="0.511811023622047" top="0.748031496062992" bottom="0.748031496062992" header="0.31496062992126" footer="0.31496062992126"/>
  <pageSetup paperSize="9" scale="75" fitToHeight="4" orientation="portrait"/>
  <headerFooter alignWithMargins="0">
    <oddFooter>&amp;R&amp;P de &amp;N</oddFooter>
  </headerFooter>
  <rowBreaks count="2" manualBreakCount="2">
    <brk id="67" max="5" man="1"/>
    <brk id="142" max="5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8"/>
  <sheetViews>
    <sheetView topLeftCell="A11" workbookViewId="0">
      <selection activeCell="B14" sqref="B14"/>
    </sheetView>
  </sheetViews>
  <sheetFormatPr defaultColWidth="9.14285714285714" defaultRowHeight="12.75"/>
  <cols>
    <col min="1" max="1" width="13.5714285714286" style="76" customWidth="1"/>
    <col min="2" max="2" width="39.5714285714286" style="76" customWidth="1"/>
    <col min="3" max="3" width="20.8571428571429" style="76" customWidth="1"/>
    <col min="4" max="4" width="37.2857142857143" style="146" customWidth="1"/>
    <col min="5" max="10" width="9.14285714285714" style="76"/>
    <col min="11" max="11" width="11" style="76" customWidth="1"/>
    <col min="12" max="16384" width="9.14285714285714" style="76"/>
  </cols>
  <sheetData>
    <row r="1" spans="1:1">
      <c r="A1" s="88" t="s">
        <v>9</v>
      </c>
    </row>
    <row r="2" s="86" customFormat="1" ht="15.6" customHeight="1" spans="2:7">
      <c r="B2" s="94"/>
      <c r="C2" s="94"/>
      <c r="D2" s="94"/>
      <c r="E2" s="94"/>
      <c r="F2" s="94"/>
      <c r="G2" s="95"/>
    </row>
    <row r="3" s="86" customFormat="1" ht="15.6" hidden="1" customHeight="1" spans="1:7">
      <c r="A3" s="93" t="s">
        <v>15</v>
      </c>
      <c r="B3" s="94"/>
      <c r="C3" s="94"/>
      <c r="D3" s="94"/>
      <c r="E3" s="94"/>
      <c r="F3" s="94"/>
      <c r="G3" s="95"/>
    </row>
    <row r="4" s="86" customFormat="1" ht="16.5" customHeight="1" spans="1:7">
      <c r="A4" s="96" t="s">
        <v>176</v>
      </c>
      <c r="B4" s="97"/>
      <c r="C4" s="97"/>
      <c r="D4" s="95"/>
      <c r="E4" s="95"/>
      <c r="F4" s="95"/>
      <c r="G4" s="95"/>
    </row>
    <row r="5" s="86" customFormat="1" ht="16.5" customHeight="1" spans="1:7">
      <c r="A5" s="96" t="s">
        <v>177</v>
      </c>
      <c r="B5" s="97"/>
      <c r="C5" s="97"/>
      <c r="D5" s="95"/>
      <c r="E5" s="95"/>
      <c r="F5" s="95"/>
      <c r="G5" s="95"/>
    </row>
    <row r="6" ht="13.5"/>
    <row r="7" ht="18" spans="1:6">
      <c r="A7" s="147" t="s">
        <v>178</v>
      </c>
      <c r="B7" s="148"/>
      <c r="C7" s="149"/>
      <c r="D7" s="150"/>
      <c r="E7" s="150"/>
      <c r="F7" s="150"/>
    </row>
    <row r="8" ht="14.25" spans="1:4">
      <c r="A8" s="151" t="s">
        <v>179</v>
      </c>
      <c r="B8" s="152" t="s">
        <v>180</v>
      </c>
      <c r="C8" s="153" t="s">
        <v>181</v>
      </c>
      <c r="D8" s="154"/>
    </row>
    <row r="9" ht="14.25" spans="1:12">
      <c r="A9" s="151" t="s">
        <v>182</v>
      </c>
      <c r="B9" s="152" t="s">
        <v>183</v>
      </c>
      <c r="C9" s="155">
        <v>0.2</v>
      </c>
      <c r="D9" s="154"/>
      <c r="F9" s="146"/>
      <c r="G9" s="146"/>
      <c r="H9" s="146"/>
      <c r="I9" s="146"/>
      <c r="J9" s="146"/>
      <c r="K9" s="146"/>
      <c r="L9" s="146"/>
    </row>
    <row r="10" ht="14.25" spans="1:12">
      <c r="A10" s="151" t="s">
        <v>184</v>
      </c>
      <c r="B10" s="152" t="s">
        <v>185</v>
      </c>
      <c r="C10" s="155">
        <v>0.015</v>
      </c>
      <c r="D10" s="154"/>
      <c r="F10" s="146"/>
      <c r="G10" s="146"/>
      <c r="H10" s="146"/>
      <c r="I10" s="146"/>
      <c r="J10" s="146"/>
      <c r="K10" s="146"/>
      <c r="L10" s="146"/>
    </row>
    <row r="11" ht="14.25" spans="1:12">
      <c r="A11" s="151" t="s">
        <v>186</v>
      </c>
      <c r="B11" s="152" t="s">
        <v>187</v>
      </c>
      <c r="C11" s="155">
        <v>0.01</v>
      </c>
      <c r="D11" s="154"/>
      <c r="F11" s="146"/>
      <c r="G11" s="146"/>
      <c r="H11" s="146"/>
      <c r="I11" s="146"/>
      <c r="J11" s="146"/>
      <c r="K11" s="146"/>
      <c r="L11" s="146"/>
    </row>
    <row r="12" ht="14.25" spans="1:12">
      <c r="A12" s="151" t="s">
        <v>188</v>
      </c>
      <c r="B12" s="152" t="s">
        <v>189</v>
      </c>
      <c r="C12" s="155">
        <v>0.002</v>
      </c>
      <c r="D12" s="154"/>
      <c r="F12" s="146"/>
      <c r="G12" s="146"/>
      <c r="H12" s="146"/>
      <c r="I12" s="146"/>
      <c r="J12" s="146"/>
      <c r="K12" s="146"/>
      <c r="L12" s="146"/>
    </row>
    <row r="13" ht="14.25" spans="1:12">
      <c r="A13" s="151" t="s">
        <v>190</v>
      </c>
      <c r="B13" s="152" t="s">
        <v>191</v>
      </c>
      <c r="C13" s="155">
        <v>0.006</v>
      </c>
      <c r="D13" s="154"/>
      <c r="F13" s="146"/>
      <c r="G13" s="146"/>
      <c r="H13" s="146"/>
      <c r="I13" s="146"/>
      <c r="J13" s="146"/>
      <c r="K13" s="146"/>
      <c r="L13" s="146"/>
    </row>
    <row r="14" ht="14.25" spans="1:12">
      <c r="A14" s="151" t="s">
        <v>192</v>
      </c>
      <c r="B14" s="152" t="s">
        <v>193</v>
      </c>
      <c r="C14" s="155">
        <v>0.025</v>
      </c>
      <c r="D14" s="154"/>
      <c r="F14" s="146"/>
      <c r="G14" s="146"/>
      <c r="H14" s="146"/>
      <c r="I14" s="146"/>
      <c r="J14" s="146"/>
      <c r="K14" s="146"/>
      <c r="L14" s="146"/>
    </row>
    <row r="15" ht="14.25" spans="1:12">
      <c r="A15" s="151" t="s">
        <v>194</v>
      </c>
      <c r="B15" s="152" t="s">
        <v>195</v>
      </c>
      <c r="C15" s="155">
        <v>0.03</v>
      </c>
      <c r="D15" s="154"/>
      <c r="F15" s="146"/>
      <c r="G15" s="146"/>
      <c r="H15" s="146"/>
      <c r="I15" s="146"/>
      <c r="J15" s="146"/>
      <c r="K15" s="146"/>
      <c r="L15" s="146"/>
    </row>
    <row r="16" ht="14.25" spans="1:12">
      <c r="A16" s="151" t="s">
        <v>196</v>
      </c>
      <c r="B16" s="152" t="s">
        <v>197</v>
      </c>
      <c r="C16" s="155">
        <v>0.08</v>
      </c>
      <c r="D16" s="156"/>
      <c r="F16" s="146"/>
      <c r="G16" s="146"/>
      <c r="H16" s="146"/>
      <c r="I16" s="146"/>
      <c r="J16" s="146"/>
      <c r="K16" s="146"/>
      <c r="L16" s="146"/>
    </row>
    <row r="17" ht="15" spans="1:12">
      <c r="A17" s="151" t="s">
        <v>198</v>
      </c>
      <c r="B17" s="157" t="s">
        <v>199</v>
      </c>
      <c r="C17" s="158">
        <f>SUM(C9:C16)</f>
        <v>0.368</v>
      </c>
      <c r="D17" s="156"/>
      <c r="F17" s="146"/>
      <c r="G17" s="146"/>
      <c r="H17" s="146"/>
      <c r="I17" s="146"/>
      <c r="J17" s="146"/>
      <c r="K17" s="146"/>
      <c r="L17" s="146"/>
    </row>
    <row r="18" ht="15" spans="1:12">
      <c r="A18" s="159"/>
      <c r="B18" s="160"/>
      <c r="C18" s="161"/>
      <c r="D18" s="156"/>
      <c r="F18" s="146"/>
      <c r="G18" s="146"/>
      <c r="H18" s="146"/>
      <c r="I18" s="146"/>
      <c r="J18" s="146"/>
      <c r="K18" s="146"/>
      <c r="L18" s="146"/>
    </row>
    <row r="19" ht="14.25" spans="1:12">
      <c r="A19" s="151" t="s">
        <v>200</v>
      </c>
      <c r="B19" s="162" t="s">
        <v>201</v>
      </c>
      <c r="C19" s="155">
        <v>0.0833</v>
      </c>
      <c r="D19" s="156"/>
      <c r="F19" s="146"/>
      <c r="G19" s="146"/>
      <c r="H19" s="146"/>
      <c r="I19" s="146"/>
      <c r="J19" s="146"/>
      <c r="K19" s="146"/>
      <c r="L19" s="146"/>
    </row>
    <row r="20" ht="14.25" spans="1:12">
      <c r="A20" s="151" t="s">
        <v>202</v>
      </c>
      <c r="B20" s="162" t="s">
        <v>203</v>
      </c>
      <c r="C20" s="155">
        <v>0.0833</v>
      </c>
      <c r="D20" s="156"/>
      <c r="F20" s="146"/>
      <c r="G20" s="146"/>
      <c r="H20" s="146"/>
      <c r="I20" s="146"/>
      <c r="J20" s="146"/>
      <c r="K20" s="146"/>
      <c r="L20" s="146"/>
    </row>
    <row r="21" ht="14.25" spans="1:12">
      <c r="A21" s="151" t="s">
        <v>204</v>
      </c>
      <c r="B21" s="162" t="s">
        <v>205</v>
      </c>
      <c r="C21" s="155">
        <v>0.0006</v>
      </c>
      <c r="D21" s="156"/>
      <c r="F21" s="146"/>
      <c r="G21" s="146"/>
      <c r="H21" s="146"/>
      <c r="I21" s="146"/>
      <c r="J21" s="146"/>
      <c r="K21" s="146"/>
      <c r="L21" s="146"/>
    </row>
    <row r="22" ht="14.25" spans="1:12">
      <c r="A22" s="151" t="s">
        <v>206</v>
      </c>
      <c r="B22" s="162" t="s">
        <v>207</v>
      </c>
      <c r="C22" s="155">
        <v>0.0082</v>
      </c>
      <c r="D22" s="156"/>
      <c r="F22" s="146"/>
      <c r="G22" s="146"/>
      <c r="H22" s="146"/>
      <c r="I22" s="146"/>
      <c r="J22" s="146"/>
      <c r="K22" s="146"/>
      <c r="L22" s="146"/>
    </row>
    <row r="23" ht="14.25" spans="1:12">
      <c r="A23" s="151" t="s">
        <v>208</v>
      </c>
      <c r="B23" s="162" t="s">
        <v>209</v>
      </c>
      <c r="C23" s="155">
        <v>0.0031</v>
      </c>
      <c r="D23" s="156"/>
      <c r="F23" s="146"/>
      <c r="G23" s="146"/>
      <c r="H23" s="146"/>
      <c r="I23" s="146"/>
      <c r="J23" s="146"/>
      <c r="K23" s="146"/>
      <c r="L23" s="146"/>
    </row>
    <row r="24" ht="14.25" spans="1:12">
      <c r="A24" s="151" t="s">
        <v>210</v>
      </c>
      <c r="B24" s="162" t="s">
        <v>211</v>
      </c>
      <c r="C24" s="155">
        <v>0.0166</v>
      </c>
      <c r="D24" s="156"/>
      <c r="F24" s="146"/>
      <c r="G24" s="146"/>
      <c r="H24" s="146"/>
      <c r="I24" s="146"/>
      <c r="J24" s="146"/>
      <c r="K24" s="146"/>
      <c r="L24" s="146"/>
    </row>
    <row r="25" ht="15" spans="1:12">
      <c r="A25" s="151" t="s">
        <v>212</v>
      </c>
      <c r="B25" s="157" t="s">
        <v>213</v>
      </c>
      <c r="C25" s="158">
        <f>SUM(C19:C24)</f>
        <v>0.1951</v>
      </c>
      <c r="D25" s="163"/>
      <c r="F25" s="146"/>
      <c r="G25" s="146"/>
      <c r="H25" s="146"/>
      <c r="I25" s="146"/>
      <c r="J25" s="146"/>
      <c r="K25" s="146"/>
      <c r="L25" s="146"/>
    </row>
    <row r="26" ht="15" spans="1:12">
      <c r="A26" s="159"/>
      <c r="B26" s="160"/>
      <c r="C26" s="161"/>
      <c r="D26" s="163"/>
      <c r="F26" s="146"/>
      <c r="G26" s="146"/>
      <c r="H26" s="146"/>
      <c r="I26" s="146"/>
      <c r="J26" s="146"/>
      <c r="K26" s="146"/>
      <c r="L26" s="146"/>
    </row>
    <row r="27" ht="14.25" spans="1:12">
      <c r="A27" s="151" t="s">
        <v>214</v>
      </c>
      <c r="B27" s="152" t="s">
        <v>215</v>
      </c>
      <c r="C27" s="155">
        <v>0.029</v>
      </c>
      <c r="D27" s="156"/>
      <c r="E27" s="164"/>
      <c r="F27" s="146"/>
      <c r="G27" s="146"/>
      <c r="H27" s="146"/>
      <c r="I27" s="146"/>
      <c r="J27" s="146"/>
      <c r="K27" s="146"/>
      <c r="L27" s="146"/>
    </row>
    <row r="28" ht="14.25" spans="1:12">
      <c r="A28" s="151" t="s">
        <v>216</v>
      </c>
      <c r="B28" s="152" t="s">
        <v>217</v>
      </c>
      <c r="C28" s="155">
        <v>0.0278</v>
      </c>
      <c r="D28" s="156"/>
      <c r="F28" s="146"/>
      <c r="G28" s="146"/>
      <c r="H28" s="165"/>
      <c r="I28" s="146"/>
      <c r="J28" s="146"/>
      <c r="K28" s="146"/>
      <c r="L28" s="146"/>
    </row>
    <row r="29" ht="14.25" spans="1:12">
      <c r="A29" s="151" t="s">
        <v>218</v>
      </c>
      <c r="B29" s="152" t="s">
        <v>219</v>
      </c>
      <c r="C29" s="155">
        <f>C27*C28</f>
        <v>0.0008062</v>
      </c>
      <c r="D29" s="156"/>
      <c r="E29" s="164"/>
      <c r="F29" s="146"/>
      <c r="G29" s="146"/>
      <c r="H29" s="146"/>
      <c r="I29" s="146"/>
      <c r="J29" s="146"/>
      <c r="K29" s="146"/>
      <c r="L29" s="146"/>
    </row>
    <row r="30" ht="14.25" spans="1:12">
      <c r="A30" s="151" t="s">
        <v>220</v>
      </c>
      <c r="B30" s="152" t="s">
        <v>221</v>
      </c>
      <c r="C30" s="155">
        <v>0.0315</v>
      </c>
      <c r="D30" s="156"/>
      <c r="F30" s="146"/>
      <c r="G30" s="166"/>
      <c r="H30" s="146"/>
      <c r="I30" s="146"/>
      <c r="J30" s="146"/>
      <c r="K30" s="146"/>
      <c r="L30" s="146"/>
    </row>
    <row r="31" ht="14.25" spans="1:12">
      <c r="A31" s="151" t="s">
        <v>222</v>
      </c>
      <c r="B31" s="152" t="s">
        <v>223</v>
      </c>
      <c r="C31" s="155">
        <v>0.002</v>
      </c>
      <c r="D31" s="156"/>
      <c r="F31" s="146"/>
      <c r="G31" s="146"/>
      <c r="H31" s="146"/>
      <c r="I31" s="146"/>
      <c r="J31" s="146"/>
      <c r="K31" s="146"/>
      <c r="L31" s="146"/>
    </row>
    <row r="32" ht="15" spans="1:12">
      <c r="A32" s="151" t="s">
        <v>224</v>
      </c>
      <c r="B32" s="157" t="s">
        <v>225</v>
      </c>
      <c r="C32" s="158">
        <f>SUM(C27:C31)</f>
        <v>0.0911062</v>
      </c>
      <c r="D32" s="163"/>
      <c r="F32" s="146"/>
      <c r="G32" s="146"/>
      <c r="H32" s="146"/>
      <c r="I32" s="146"/>
      <c r="J32" s="146"/>
      <c r="K32" s="146"/>
      <c r="L32" s="146"/>
    </row>
    <row r="33" ht="15" spans="1:12">
      <c r="A33" s="159"/>
      <c r="B33" s="160"/>
      <c r="C33" s="161"/>
      <c r="D33" s="163"/>
      <c r="F33" s="146"/>
      <c r="G33" s="146"/>
      <c r="H33" s="146"/>
      <c r="I33" s="146"/>
      <c r="J33" s="146"/>
      <c r="K33" s="146"/>
      <c r="L33" s="146"/>
    </row>
    <row r="34" ht="14.25" spans="1:12">
      <c r="A34" s="151" t="s">
        <v>226</v>
      </c>
      <c r="B34" s="152" t="s">
        <v>227</v>
      </c>
      <c r="C34" s="155">
        <f>ROUND(C17*C25,4)</f>
        <v>0.0718</v>
      </c>
      <c r="D34" s="156"/>
      <c r="F34" s="146"/>
      <c r="G34" s="146"/>
      <c r="H34" s="146"/>
      <c r="I34" s="146"/>
      <c r="J34" s="146"/>
      <c r="K34" s="146"/>
      <c r="L34" s="146"/>
    </row>
    <row r="35" ht="28.5" spans="1:12">
      <c r="A35" s="151" t="s">
        <v>228</v>
      </c>
      <c r="B35" s="167" t="s">
        <v>229</v>
      </c>
      <c r="C35" s="155">
        <f>ROUND((C27*C16),4)</f>
        <v>0.0023</v>
      </c>
      <c r="D35" s="156"/>
      <c r="F35" s="146"/>
      <c r="G35" s="146"/>
      <c r="H35" s="146"/>
      <c r="I35" s="146"/>
      <c r="J35" s="146"/>
      <c r="K35" s="146"/>
      <c r="L35" s="146"/>
    </row>
    <row r="36" ht="15" spans="1:12">
      <c r="A36" s="151" t="s">
        <v>230</v>
      </c>
      <c r="B36" s="157" t="s">
        <v>231</v>
      </c>
      <c r="C36" s="158">
        <f>SUM(C34:C35)</f>
        <v>0.0741</v>
      </c>
      <c r="D36" s="168"/>
      <c r="F36" s="146"/>
      <c r="G36" s="146"/>
      <c r="H36" s="146"/>
      <c r="I36" s="146"/>
      <c r="J36" s="146"/>
      <c r="K36" s="146"/>
      <c r="L36" s="146"/>
    </row>
    <row r="37" ht="15.75" spans="1:12">
      <c r="A37" s="169"/>
      <c r="B37" s="170" t="s">
        <v>232</v>
      </c>
      <c r="C37" s="171">
        <f>C36+C32+C25+C17</f>
        <v>0.7283062</v>
      </c>
      <c r="D37" s="168"/>
      <c r="F37" s="146"/>
      <c r="G37" s="146"/>
      <c r="H37" s="146"/>
      <c r="I37" s="146"/>
      <c r="J37" s="146"/>
      <c r="K37" s="146"/>
      <c r="L37" s="146"/>
    </row>
    <row r="38" ht="15" spans="1:12">
      <c r="A38" s="156"/>
      <c r="B38" s="172"/>
      <c r="C38" s="173"/>
      <c r="D38" s="174"/>
      <c r="F38" s="146"/>
      <c r="G38" s="146"/>
      <c r="H38" s="146"/>
      <c r="I38" s="146"/>
      <c r="J38" s="146"/>
      <c r="K38" s="146"/>
      <c r="L38" s="146"/>
    </row>
    <row r="39" ht="14.25" spans="1:12">
      <c r="A39" s="156"/>
      <c r="B39" s="156"/>
      <c r="C39" s="175"/>
      <c r="D39" s="176"/>
      <c r="F39" s="146"/>
      <c r="G39" s="146"/>
      <c r="H39" s="146"/>
      <c r="I39" s="146"/>
      <c r="J39" s="146"/>
      <c r="K39" s="146"/>
      <c r="L39" s="146"/>
    </row>
    <row r="40" ht="14.25" spans="1:12">
      <c r="A40" s="154"/>
      <c r="B40" s="154"/>
      <c r="C40" s="177"/>
      <c r="D40" s="154"/>
      <c r="F40" s="146"/>
      <c r="G40" s="146"/>
      <c r="H40" s="146"/>
      <c r="I40" s="146"/>
      <c r="J40" s="146"/>
      <c r="K40" s="146"/>
      <c r="L40" s="146"/>
    </row>
    <row r="41" ht="14.25" spans="1:12">
      <c r="A41" s="154"/>
      <c r="B41" s="154"/>
      <c r="C41" s="177"/>
      <c r="D41" s="154"/>
      <c r="F41" s="146"/>
      <c r="G41" s="146"/>
      <c r="H41" s="146"/>
      <c r="I41" s="146"/>
      <c r="J41" s="146"/>
      <c r="K41" s="146"/>
      <c r="L41" s="146"/>
    </row>
    <row r="42" ht="14.25" spans="1:12">
      <c r="A42" s="154"/>
      <c r="B42" s="154"/>
      <c r="C42" s="177"/>
      <c r="D42" s="154"/>
      <c r="F42" s="146"/>
      <c r="G42" s="146"/>
      <c r="H42" s="146"/>
      <c r="I42" s="146"/>
      <c r="J42" s="146"/>
      <c r="K42" s="146"/>
      <c r="L42" s="146"/>
    </row>
    <row r="43" ht="15" spans="1:12">
      <c r="A43" s="154"/>
      <c r="B43" s="178"/>
      <c r="C43" s="179"/>
      <c r="D43" s="154"/>
      <c r="F43" s="146"/>
      <c r="G43" s="146"/>
      <c r="H43" s="146"/>
      <c r="I43" s="146"/>
      <c r="J43" s="146"/>
      <c r="K43" s="146"/>
      <c r="L43" s="146"/>
    </row>
    <row r="44" ht="15" spans="1:12">
      <c r="A44" s="168"/>
      <c r="B44" s="178"/>
      <c r="C44" s="179"/>
      <c r="D44" s="168"/>
      <c r="E44" s="146"/>
      <c r="F44" s="146"/>
      <c r="G44" s="146"/>
      <c r="H44" s="146"/>
      <c r="I44" s="146"/>
      <c r="J44" s="146"/>
      <c r="K44" s="146"/>
      <c r="L44" s="146"/>
    </row>
    <row r="45" ht="16.5" spans="1:12">
      <c r="A45" s="180"/>
      <c r="B45" s="146"/>
      <c r="C45" s="146"/>
      <c r="E45" s="146"/>
      <c r="F45" s="146"/>
      <c r="G45" s="146"/>
      <c r="H45" s="146"/>
      <c r="I45" s="146"/>
      <c r="J45" s="146"/>
      <c r="K45" s="146"/>
      <c r="L45" s="146"/>
    </row>
    <row r="46" spans="1:12">
      <c r="A46" s="181"/>
      <c r="B46" s="182"/>
      <c r="C46" s="182"/>
      <c r="E46" s="146"/>
      <c r="F46" s="146"/>
      <c r="G46" s="146"/>
      <c r="H46" s="146"/>
      <c r="I46" s="146"/>
      <c r="J46" s="146"/>
      <c r="K46" s="146"/>
      <c r="L46" s="146"/>
    </row>
    <row r="47" ht="14.25" spans="1:12">
      <c r="A47" s="154"/>
      <c r="B47" s="183"/>
      <c r="C47" s="182"/>
      <c r="E47" s="146"/>
      <c r="F47" s="146"/>
      <c r="G47" s="146"/>
      <c r="H47" s="146"/>
      <c r="I47" s="146"/>
      <c r="J47" s="146"/>
      <c r="K47" s="146"/>
      <c r="L47" s="146"/>
    </row>
    <row r="48" ht="14.25" spans="1:12">
      <c r="A48" s="154"/>
      <c r="B48" s="183"/>
      <c r="C48" s="154"/>
      <c r="E48" s="146"/>
      <c r="F48" s="146"/>
      <c r="G48" s="146"/>
      <c r="H48" s="146"/>
      <c r="I48" s="146"/>
      <c r="J48" s="146"/>
      <c r="K48" s="146"/>
      <c r="L48" s="146"/>
    </row>
    <row r="49" ht="14.25" spans="1:12">
      <c r="A49" s="154"/>
      <c r="B49" s="177"/>
      <c r="C49" s="182"/>
      <c r="E49" s="146"/>
      <c r="F49" s="146"/>
      <c r="G49" s="146"/>
      <c r="H49" s="146"/>
      <c r="I49" s="146"/>
      <c r="J49" s="146"/>
      <c r="K49" s="146"/>
      <c r="L49" s="146"/>
    </row>
    <row r="50" ht="14.25" spans="1:12">
      <c r="A50" s="154"/>
      <c r="B50" s="183"/>
      <c r="C50" s="154"/>
      <c r="E50" s="146"/>
      <c r="F50" s="146"/>
      <c r="G50" s="146"/>
      <c r="H50" s="146"/>
      <c r="I50" s="146"/>
      <c r="J50" s="146"/>
      <c r="K50" s="146"/>
      <c r="L50" s="146"/>
    </row>
    <row r="51" ht="14.25" spans="1:12">
      <c r="A51" s="154"/>
      <c r="B51" s="177"/>
      <c r="C51" s="182"/>
      <c r="E51" s="146"/>
      <c r="F51" s="146"/>
      <c r="G51" s="146"/>
      <c r="H51" s="146"/>
      <c r="I51" s="146"/>
      <c r="J51" s="146"/>
      <c r="K51" s="146"/>
      <c r="L51" s="146"/>
    </row>
    <row r="52" ht="14.25" spans="1:12">
      <c r="A52" s="154"/>
      <c r="B52" s="183"/>
      <c r="C52" s="154"/>
      <c r="E52" s="146"/>
      <c r="F52" s="146"/>
      <c r="G52" s="146"/>
      <c r="H52" s="146"/>
      <c r="I52" s="146"/>
      <c r="J52" s="146"/>
      <c r="K52" s="146"/>
      <c r="L52" s="146"/>
    </row>
    <row r="53" ht="14.25" spans="1:12">
      <c r="A53" s="154"/>
      <c r="B53" s="177"/>
      <c r="C53" s="182"/>
      <c r="E53" s="146"/>
      <c r="F53" s="146"/>
      <c r="G53" s="146"/>
      <c r="H53" s="146"/>
      <c r="I53" s="146"/>
      <c r="J53" s="146"/>
      <c r="K53" s="146"/>
      <c r="L53" s="146"/>
    </row>
    <row r="54" ht="14.25" spans="1:12">
      <c r="A54" s="154"/>
      <c r="B54" s="183"/>
      <c r="C54" s="154"/>
      <c r="E54" s="146"/>
      <c r="F54" s="146"/>
      <c r="G54" s="146"/>
      <c r="H54" s="146"/>
      <c r="I54" s="146"/>
      <c r="J54" s="146"/>
      <c r="K54" s="146"/>
      <c r="L54" s="146"/>
    </row>
    <row r="55" ht="14.25" spans="1:12">
      <c r="A55" s="154"/>
      <c r="B55" s="177"/>
      <c r="C55" s="182"/>
      <c r="E55" s="146"/>
      <c r="F55" s="146"/>
      <c r="G55" s="146"/>
      <c r="H55" s="146"/>
      <c r="I55" s="146"/>
      <c r="J55" s="146"/>
      <c r="K55" s="146"/>
      <c r="L55" s="146"/>
    </row>
    <row r="56" ht="16.5" spans="1:12">
      <c r="A56" s="180"/>
      <c r="B56" s="146"/>
      <c r="C56" s="146"/>
      <c r="E56" s="146"/>
      <c r="F56" s="146"/>
      <c r="G56" s="146"/>
      <c r="H56" s="146"/>
      <c r="I56" s="146"/>
      <c r="J56" s="146"/>
      <c r="K56" s="146"/>
      <c r="L56" s="146"/>
    </row>
    <row r="57" spans="1:12">
      <c r="A57" s="146"/>
      <c r="B57" s="146"/>
      <c r="C57" s="146"/>
      <c r="E57" s="146"/>
      <c r="F57" s="146"/>
      <c r="G57" s="146"/>
      <c r="H57" s="146"/>
      <c r="I57" s="146"/>
      <c r="J57" s="146"/>
      <c r="K57" s="146"/>
      <c r="L57" s="146"/>
    </row>
    <row r="58" spans="1:12">
      <c r="A58" s="146"/>
      <c r="B58" s="146"/>
      <c r="C58" s="146"/>
      <c r="E58" s="146"/>
      <c r="F58" s="146"/>
      <c r="G58" s="146"/>
      <c r="H58" s="146"/>
      <c r="I58" s="146"/>
      <c r="J58" s="146"/>
      <c r="K58" s="146"/>
      <c r="L58" s="146"/>
    </row>
    <row r="59" spans="1:12">
      <c r="A59" s="184"/>
      <c r="B59" s="146"/>
      <c r="C59" s="146"/>
      <c r="E59" s="146"/>
      <c r="F59" s="146"/>
      <c r="G59" s="146"/>
      <c r="H59" s="146"/>
      <c r="I59" s="146"/>
      <c r="J59" s="146"/>
      <c r="K59" s="146"/>
      <c r="L59" s="146"/>
    </row>
    <row r="60" spans="1:5">
      <c r="A60" s="146"/>
      <c r="B60" s="146"/>
      <c r="C60" s="146"/>
      <c r="E60" s="146"/>
    </row>
    <row r="61" spans="1:5">
      <c r="A61" s="146"/>
      <c r="B61" s="146"/>
      <c r="C61" s="146"/>
      <c r="E61" s="146"/>
    </row>
    <row r="62" spans="1:5">
      <c r="A62" s="146"/>
      <c r="B62" s="146"/>
      <c r="C62" s="146"/>
      <c r="E62" s="146"/>
    </row>
    <row r="63" spans="1:5">
      <c r="A63" s="146"/>
      <c r="B63" s="146"/>
      <c r="C63" s="146"/>
      <c r="E63" s="146"/>
    </row>
    <row r="64" spans="1:5">
      <c r="A64" s="146"/>
      <c r="B64" s="146"/>
      <c r="C64" s="146"/>
      <c r="E64" s="146"/>
    </row>
    <row r="65" spans="1:5">
      <c r="A65" s="146"/>
      <c r="B65" s="146"/>
      <c r="C65" s="146"/>
      <c r="E65" s="146"/>
    </row>
    <row r="66" spans="1:5">
      <c r="A66" s="146"/>
      <c r="B66" s="146"/>
      <c r="C66" s="146"/>
      <c r="E66" s="146"/>
    </row>
    <row r="67" spans="1:5">
      <c r="A67" s="146"/>
      <c r="B67" s="146"/>
      <c r="C67" s="146"/>
      <c r="E67" s="146"/>
    </row>
    <row r="68" spans="1:5">
      <c r="A68" s="146"/>
      <c r="B68" s="146"/>
      <c r="C68" s="146"/>
      <c r="E68" s="146"/>
    </row>
  </sheetData>
  <mergeCells count="1">
    <mergeCell ref="A7:C7"/>
  </mergeCells>
  <pageMargins left="0.905511811023622" right="0.511811023622047" top="0.748031496062992" bottom="0.748031496062992" header="0.31496062992126" footer="0.31496062992126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workbookViewId="0">
      <selection activeCell="B14" sqref="B14"/>
    </sheetView>
  </sheetViews>
  <sheetFormatPr defaultColWidth="9" defaultRowHeight="12.75" outlineLevelCol="7"/>
  <cols>
    <col min="1" max="1" width="41.8571428571429" customWidth="1"/>
    <col min="2" max="2" width="5.57142857142857" customWidth="1"/>
    <col min="4" max="4" width="9.71428571428571" customWidth="1"/>
    <col min="5" max="5" width="8" style="87" customWidth="1"/>
    <col min="6" max="6" width="9.71428571428571" customWidth="1"/>
  </cols>
  <sheetData>
    <row r="1" s="85" customFormat="1" ht="14.25" spans="1:5">
      <c r="A1" s="88" t="s">
        <v>9</v>
      </c>
      <c r="B1" s="89"/>
      <c r="C1" s="89"/>
      <c r="E1" s="90"/>
    </row>
    <row r="2" s="85" customFormat="1" ht="14.25" spans="1:5">
      <c r="A2" s="91" t="s">
        <v>233</v>
      </c>
      <c r="B2" s="89"/>
      <c r="C2" s="89"/>
      <c r="E2" s="90"/>
    </row>
    <row r="3" s="85" customFormat="1" ht="14.25" spans="1:5">
      <c r="A3" s="92" t="s">
        <v>234</v>
      </c>
      <c r="B3" s="89"/>
      <c r="C3" s="89"/>
      <c r="E3" s="90"/>
    </row>
    <row r="4" s="85" customFormat="1" ht="14.25" spans="1:5">
      <c r="A4" s="92"/>
      <c r="B4" s="89"/>
      <c r="C4" s="89"/>
      <c r="E4" s="90"/>
    </row>
    <row r="5" s="86" customFormat="1" ht="15.6" hidden="1" customHeight="1" spans="1:7">
      <c r="A5" s="93" t="s">
        <v>15</v>
      </c>
      <c r="B5" s="94"/>
      <c r="C5" s="94"/>
      <c r="D5" s="94"/>
      <c r="E5" s="94"/>
      <c r="F5" s="94"/>
      <c r="G5" s="95"/>
    </row>
    <row r="6" s="86" customFormat="1" ht="16.5" customHeight="1" spans="1:7">
      <c r="A6" s="96" t="s">
        <v>235</v>
      </c>
      <c r="B6" s="97"/>
      <c r="C6" s="97"/>
      <c r="D6" s="95"/>
      <c r="E6" s="95"/>
      <c r="F6" s="95"/>
      <c r="G6" s="95"/>
    </row>
    <row r="7" s="86" customFormat="1" ht="16.5" customHeight="1" spans="1:7">
      <c r="A7" s="96" t="s">
        <v>236</v>
      </c>
      <c r="B7" s="97"/>
      <c r="C7" s="97"/>
      <c r="D7" s="95"/>
      <c r="E7" s="95"/>
      <c r="F7" s="95"/>
      <c r="G7" s="95"/>
    </row>
    <row r="8" s="85" customFormat="1" ht="15" spans="2:5">
      <c r="B8" s="89"/>
      <c r="C8" s="89"/>
      <c r="E8" s="90"/>
    </row>
    <row r="9" ht="15.75" spans="1:6">
      <c r="A9" s="98" t="s">
        <v>237</v>
      </c>
      <c r="B9" s="99"/>
      <c r="C9" s="99"/>
      <c r="D9" s="99"/>
      <c r="E9" s="99"/>
      <c r="F9" s="100"/>
    </row>
    <row r="10" ht="16.5" spans="1:6">
      <c r="A10" s="101"/>
      <c r="B10" s="102"/>
      <c r="C10" s="102"/>
      <c r="D10" s="102"/>
      <c r="E10" s="102"/>
      <c r="F10" s="103"/>
    </row>
    <row r="11" ht="15" spans="1:8">
      <c r="A11" s="104"/>
      <c r="B11" s="105"/>
      <c r="C11" s="105"/>
      <c r="D11" s="106" t="s">
        <v>238</v>
      </c>
      <c r="E11" s="107"/>
      <c r="F11" s="108"/>
      <c r="G11" s="85"/>
      <c r="H11" s="85"/>
    </row>
    <row r="12" ht="15" spans="1:8">
      <c r="A12" s="109"/>
      <c r="B12" s="110"/>
      <c r="C12" s="110"/>
      <c r="D12" s="111" t="s">
        <v>239</v>
      </c>
      <c r="E12" s="112" t="s">
        <v>240</v>
      </c>
      <c r="F12" s="113" t="s">
        <v>241</v>
      </c>
      <c r="G12" s="85"/>
      <c r="H12" s="85"/>
    </row>
    <row r="13" ht="14.25" spans="1:8">
      <c r="A13" s="114" t="s">
        <v>242</v>
      </c>
      <c r="B13" s="115" t="s">
        <v>243</v>
      </c>
      <c r="C13" s="116">
        <v>0.04</v>
      </c>
      <c r="D13" s="117">
        <v>0.0297</v>
      </c>
      <c r="E13" s="118">
        <v>0.0508</v>
      </c>
      <c r="F13" s="119">
        <v>0.0627</v>
      </c>
      <c r="G13" s="85"/>
      <c r="H13" s="85"/>
    </row>
    <row r="14" ht="14.25" spans="1:8">
      <c r="A14" s="120" t="s">
        <v>244</v>
      </c>
      <c r="B14" s="121" t="s">
        <v>245</v>
      </c>
      <c r="C14" s="122">
        <v>0.0133</v>
      </c>
      <c r="D14" s="117">
        <f>0.3%+0.56%</f>
        <v>0.0086</v>
      </c>
      <c r="E14" s="118">
        <f>0.48%+0.85%</f>
        <v>0.0133</v>
      </c>
      <c r="F14" s="119">
        <f>0.82%+0.89%</f>
        <v>0.0171</v>
      </c>
      <c r="G14" s="85"/>
      <c r="H14" s="85"/>
    </row>
    <row r="15" ht="14.25" spans="1:8">
      <c r="A15" s="120" t="s">
        <v>246</v>
      </c>
      <c r="B15" s="121" t="s">
        <v>247</v>
      </c>
      <c r="C15" s="122">
        <v>0.08</v>
      </c>
      <c r="D15" s="117">
        <v>0.0778</v>
      </c>
      <c r="E15" s="118">
        <v>0.1085</v>
      </c>
      <c r="F15" s="119">
        <v>0.1355</v>
      </c>
      <c r="G15" s="85"/>
      <c r="H15" s="85"/>
    </row>
    <row r="16" ht="14.25" spans="1:8">
      <c r="A16" s="120" t="s">
        <v>248</v>
      </c>
      <c r="B16" s="121" t="s">
        <v>249</v>
      </c>
      <c r="C16" s="123">
        <f>(1+E16)^(E17/252)-1</f>
        <v>0.0026031494362051</v>
      </c>
      <c r="D16" s="117" t="s">
        <v>250</v>
      </c>
      <c r="E16" s="124">
        <v>0.14</v>
      </c>
      <c r="F16" s="125"/>
      <c r="G16" s="85"/>
      <c r="H16" s="85"/>
    </row>
    <row r="17" ht="14.25" spans="1:8">
      <c r="A17" s="120" t="s">
        <v>251</v>
      </c>
      <c r="B17" s="121" t="s">
        <v>252</v>
      </c>
      <c r="C17" s="122">
        <v>0.03</v>
      </c>
      <c r="D17" s="126" t="s">
        <v>253</v>
      </c>
      <c r="E17" s="127">
        <v>5</v>
      </c>
      <c r="F17" s="128"/>
      <c r="G17" s="85"/>
      <c r="H17" s="85"/>
    </row>
    <row r="18" ht="15" spans="1:8">
      <c r="A18" s="129" t="s">
        <v>254</v>
      </c>
      <c r="B18" s="130"/>
      <c r="C18" s="131">
        <v>0.0365</v>
      </c>
      <c r="D18" s="132"/>
      <c r="E18" s="133"/>
      <c r="F18" s="128"/>
      <c r="G18" s="85"/>
      <c r="H18" s="85"/>
    </row>
    <row r="19" ht="14.25" spans="1:8">
      <c r="A19" s="134" t="s">
        <v>255</v>
      </c>
      <c r="B19" s="135"/>
      <c r="C19" s="136"/>
      <c r="D19" s="132"/>
      <c r="E19" s="133"/>
      <c r="F19" s="128"/>
      <c r="G19" s="85"/>
      <c r="H19" s="85"/>
    </row>
    <row r="20" ht="15" spans="1:8">
      <c r="A20" s="137" t="s">
        <v>256</v>
      </c>
      <c r="B20" s="138"/>
      <c r="C20" s="139"/>
      <c r="D20" s="132"/>
      <c r="E20" s="133"/>
      <c r="F20" s="128"/>
      <c r="G20" s="85"/>
      <c r="H20" s="85"/>
    </row>
    <row r="21" ht="15.75" spans="1:8">
      <c r="A21" s="140" t="s">
        <v>257</v>
      </c>
      <c r="B21" s="141"/>
      <c r="C21" s="142">
        <f>ROUND((((1+C13+C14)*(1+C15)*(1+C16))/(1-(C17+C18))-1),4)</f>
        <v>0.2218</v>
      </c>
      <c r="D21" s="143">
        <v>0.2143</v>
      </c>
      <c r="E21" s="144">
        <v>0.2717</v>
      </c>
      <c r="F21" s="145">
        <v>0.3362</v>
      </c>
      <c r="G21" s="85"/>
      <c r="H21" s="85"/>
    </row>
    <row r="22" ht="14.25" spans="1:8">
      <c r="A22" s="85"/>
      <c r="B22" s="85"/>
      <c r="C22" s="85"/>
      <c r="D22" s="85"/>
      <c r="E22" s="90"/>
      <c r="F22" s="85"/>
      <c r="G22" s="85"/>
      <c r="H22" s="85"/>
    </row>
    <row r="23" ht="14.25" spans="1:8">
      <c r="A23" s="85"/>
      <c r="B23" s="85"/>
      <c r="C23" s="85"/>
      <c r="D23" s="85"/>
      <c r="E23" s="90"/>
      <c r="F23" s="85"/>
      <c r="G23" s="85"/>
      <c r="H23" s="85"/>
    </row>
    <row r="24" ht="14.25" spans="1:8">
      <c r="A24" s="85"/>
      <c r="B24" s="85"/>
      <c r="C24" s="85"/>
      <c r="D24" s="85"/>
      <c r="E24" s="90"/>
      <c r="F24" s="85"/>
      <c r="G24" s="85"/>
      <c r="H24" s="85"/>
    </row>
    <row r="25" ht="14.25" spans="1:8">
      <c r="A25" s="85"/>
      <c r="B25" s="85"/>
      <c r="C25" s="85"/>
      <c r="D25" s="85"/>
      <c r="E25" s="90"/>
      <c r="F25" s="85"/>
      <c r="G25" s="85"/>
      <c r="H25" s="85"/>
    </row>
  </sheetData>
  <mergeCells count="3">
    <mergeCell ref="A9:F9"/>
    <mergeCell ref="D11:F11"/>
    <mergeCell ref="B17:B18"/>
  </mergeCells>
  <pageMargins left="0.905511811023622" right="0.511811023622047" top="0.748031496062992" bottom="0.748031496062992" header="0.31496062992126" footer="0.31496062992126"/>
  <pageSetup paperSize="9" orientation="portrait"/>
  <headerFooter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7"/>
  <sheetViews>
    <sheetView workbookViewId="0">
      <selection activeCell="B14" sqref="B14"/>
    </sheetView>
  </sheetViews>
  <sheetFormatPr defaultColWidth="9.14285714285714" defaultRowHeight="19.5" customHeight="1" outlineLevelCol="1"/>
  <cols>
    <col min="1" max="1" width="24.5714285714286" style="76" customWidth="1"/>
    <col min="2" max="2" width="20.8571428571429" style="76" customWidth="1"/>
    <col min="3" max="16384" width="9.14285714285714" style="76"/>
  </cols>
  <sheetData>
    <row r="1" customHeight="1" spans="1:2">
      <c r="A1" s="77" t="s">
        <v>258</v>
      </c>
      <c r="B1" s="78"/>
    </row>
    <row r="2" s="75" customFormat="1" customHeight="1" spans="1:2">
      <c r="A2" s="79" t="s">
        <v>259</v>
      </c>
      <c r="B2" s="80" t="s">
        <v>260</v>
      </c>
    </row>
    <row r="3" customHeight="1" spans="1:2">
      <c r="A3" s="81">
        <v>1</v>
      </c>
      <c r="B3" s="82">
        <v>33.63</v>
      </c>
    </row>
    <row r="4" customHeight="1" spans="1:2">
      <c r="A4" s="81">
        <v>2</v>
      </c>
      <c r="B4" s="82">
        <v>43.13</v>
      </c>
    </row>
    <row r="5" customHeight="1" spans="1:2">
      <c r="A5" s="81">
        <v>3</v>
      </c>
      <c r="B5" s="82">
        <v>48.68</v>
      </c>
    </row>
    <row r="6" customHeight="1" spans="1:2">
      <c r="A6" s="81">
        <v>4</v>
      </c>
      <c r="B6" s="82">
        <v>52.62</v>
      </c>
    </row>
    <row r="7" customHeight="1" spans="1:2">
      <c r="A7" s="81">
        <v>5</v>
      </c>
      <c r="B7" s="82">
        <v>55.68</v>
      </c>
    </row>
    <row r="8" customHeight="1" spans="1:2">
      <c r="A8" s="81">
        <v>6</v>
      </c>
      <c r="B8" s="82">
        <v>58.18</v>
      </c>
    </row>
    <row r="9" customHeight="1" spans="1:2">
      <c r="A9" s="81">
        <v>7</v>
      </c>
      <c r="B9" s="82">
        <v>60.29</v>
      </c>
    </row>
    <row r="10" customHeight="1" spans="1:2">
      <c r="A10" s="81">
        <v>8</v>
      </c>
      <c r="B10" s="82">
        <v>62.12</v>
      </c>
    </row>
    <row r="11" customHeight="1" spans="1:2">
      <c r="A11" s="81">
        <v>9</v>
      </c>
      <c r="B11" s="82">
        <v>63.73</v>
      </c>
    </row>
    <row r="12" customHeight="1" spans="1:2">
      <c r="A12" s="81">
        <v>10</v>
      </c>
      <c r="B12" s="82">
        <v>65.18</v>
      </c>
    </row>
    <row r="13" customHeight="1" spans="1:2">
      <c r="A13" s="81">
        <v>11</v>
      </c>
      <c r="B13" s="82">
        <v>66.48</v>
      </c>
    </row>
    <row r="14" customHeight="1" spans="1:2">
      <c r="A14" s="81">
        <v>12</v>
      </c>
      <c r="B14" s="82">
        <v>67.67</v>
      </c>
    </row>
    <row r="15" customHeight="1" spans="1:2">
      <c r="A15" s="81">
        <v>13</v>
      </c>
      <c r="B15" s="82">
        <v>68.77</v>
      </c>
    </row>
    <row r="16" customHeight="1" spans="1:2">
      <c r="A16" s="81">
        <v>14</v>
      </c>
      <c r="B16" s="82">
        <v>69.79</v>
      </c>
    </row>
    <row r="17" customHeight="1" spans="1:2">
      <c r="A17" s="83">
        <v>15</v>
      </c>
      <c r="B17" s="84">
        <v>70.73</v>
      </c>
    </row>
  </sheetData>
  <mergeCells count="1">
    <mergeCell ref="A1:B1"/>
  </mergeCells>
  <pageMargins left="0.905511811023622" right="0.511811023622047" top="0.748031496062992" bottom="0.748031496062992" header="0.31496062992126" footer="0.31496062992126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workbookViewId="0">
      <selection activeCell="B14" sqref="B14"/>
    </sheetView>
  </sheetViews>
  <sheetFormatPr defaultColWidth="8.85714285714286" defaultRowHeight="15" outlineLevelCol="5"/>
  <cols>
    <col min="1" max="1" width="11.4285714285714" style="55" customWidth="1"/>
    <col min="2" max="2" width="21.2857142857143" style="55" customWidth="1"/>
    <col min="3" max="3" width="13.2857142857143" style="55" customWidth="1"/>
    <col min="4" max="4" width="13.7142857142857" style="55" customWidth="1"/>
    <col min="5" max="5" width="8.85714285714286" style="55"/>
    <col min="6" max="7" width="11.2857142857143" style="55" customWidth="1"/>
    <col min="8" max="16384" width="8.85714285714286" style="55"/>
  </cols>
  <sheetData>
    <row r="1" ht="15.75" spans="1:1">
      <c r="A1" s="39" t="s">
        <v>261</v>
      </c>
    </row>
    <row r="2" ht="15.75" spans="1:1">
      <c r="A2" s="39" t="s">
        <v>262</v>
      </c>
    </row>
    <row r="3" ht="15.75" spans="1:1">
      <c r="A3" s="39" t="s">
        <v>263</v>
      </c>
    </row>
    <row r="4" spans="1:1">
      <c r="A4" s="56"/>
    </row>
    <row r="5" spans="1:4">
      <c r="A5" s="57" t="s">
        <v>264</v>
      </c>
      <c r="B5" s="58"/>
      <c r="C5" s="58"/>
      <c r="D5" s="59"/>
    </row>
    <row r="6" spans="1:4">
      <c r="A6" s="60" t="s">
        <v>2</v>
      </c>
      <c r="B6" s="60" t="s">
        <v>265</v>
      </c>
      <c r="C6" s="60" t="s">
        <v>266</v>
      </c>
      <c r="D6" s="60" t="s">
        <v>267</v>
      </c>
    </row>
    <row r="7" spans="1:4">
      <c r="A7" s="61">
        <v>1</v>
      </c>
      <c r="B7" s="62" t="s">
        <v>268</v>
      </c>
      <c r="C7" s="63">
        <v>93.33334</v>
      </c>
      <c r="D7" s="64">
        <f>C7*30</f>
        <v>2800.0002</v>
      </c>
    </row>
    <row r="8" spans="1:4">
      <c r="A8" s="61">
        <v>2</v>
      </c>
      <c r="B8" s="62" t="s">
        <v>269</v>
      </c>
      <c r="C8" s="63">
        <v>13.333334</v>
      </c>
      <c r="D8" s="64">
        <f>C8*30</f>
        <v>400.00002</v>
      </c>
    </row>
    <row r="9" ht="9" customHeight="1" spans="1:4">
      <c r="A9" s="61"/>
      <c r="B9" s="62"/>
      <c r="C9" s="63"/>
      <c r="D9" s="64"/>
    </row>
    <row r="10" spans="1:4">
      <c r="A10" s="65" t="s">
        <v>270</v>
      </c>
      <c r="B10" s="66"/>
      <c r="C10" s="67"/>
      <c r="D10" s="64">
        <f>SUM(D7:D9)</f>
        <v>3200.00022</v>
      </c>
    </row>
    <row r="11" ht="9" customHeight="1" spans="1:4">
      <c r="A11" s="68"/>
      <c r="B11" s="69"/>
      <c r="C11" s="67"/>
      <c r="D11" s="64"/>
    </row>
    <row r="12" spans="1:4">
      <c r="A12" s="65" t="s">
        <v>271</v>
      </c>
      <c r="B12" s="66"/>
      <c r="C12" s="66"/>
      <c r="D12" s="70">
        <f>D10*12</f>
        <v>38400.00264</v>
      </c>
    </row>
    <row r="13" spans="6:6">
      <c r="F13" s="71"/>
    </row>
    <row r="14" spans="1:4">
      <c r="A14" s="72"/>
      <c r="B14" s="73"/>
      <c r="D14" s="74"/>
    </row>
    <row r="15" spans="1:4">
      <c r="A15" s="72"/>
      <c r="B15" s="73"/>
      <c r="D15" s="74"/>
    </row>
  </sheetData>
  <mergeCells count="2">
    <mergeCell ref="A10:B10"/>
    <mergeCell ref="A12:B12"/>
  </mergeCells>
  <pageMargins left="0.511811024" right="0.511811024" top="0.787401575" bottom="0.787401575" header="0.31496062" footer="0.31496062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8"/>
  <sheetViews>
    <sheetView workbookViewId="0">
      <selection activeCell="B14" sqref="B14"/>
    </sheetView>
  </sheetViews>
  <sheetFormatPr defaultColWidth="8.85714285714286" defaultRowHeight="15"/>
  <cols>
    <col min="1" max="1" width="8.85714285714286" style="38"/>
    <col min="2" max="2" width="20.7142857142857" style="38" customWidth="1"/>
    <col min="3" max="3" width="21.4285714285714" style="38" customWidth="1"/>
    <col min="4" max="5" width="8.85714285714286" style="38"/>
    <col min="6" max="6" width="13.2857142857143" style="38" customWidth="1"/>
    <col min="7" max="16384" width="8.85714285714286" style="38"/>
  </cols>
  <sheetData>
    <row r="1" ht="15.75" spans="1:1">
      <c r="A1" s="39" t="s">
        <v>261</v>
      </c>
    </row>
    <row r="2" spans="1:1">
      <c r="A2" s="40" t="s">
        <v>272</v>
      </c>
    </row>
    <row r="3" spans="1:1">
      <c r="A3" s="40" t="s">
        <v>273</v>
      </c>
    </row>
    <row r="4" spans="1:6">
      <c r="A4" s="41" t="s">
        <v>274</v>
      </c>
      <c r="B4" s="41" t="s">
        <v>275</v>
      </c>
      <c r="C4" s="41" t="s">
        <v>276</v>
      </c>
      <c r="D4" s="41" t="s">
        <v>277</v>
      </c>
      <c r="E4" s="41" t="s">
        <v>278</v>
      </c>
      <c r="F4" s="41" t="s">
        <v>279</v>
      </c>
    </row>
    <row r="5" spans="1:6">
      <c r="A5" s="42">
        <v>1</v>
      </c>
      <c r="B5" s="41" t="s">
        <v>280</v>
      </c>
      <c r="C5" s="41" t="s">
        <v>281</v>
      </c>
      <c r="D5" s="43">
        <v>0.291666666666667</v>
      </c>
      <c r="E5" s="43">
        <v>0.458333333333333</v>
      </c>
      <c r="F5" s="43">
        <v>0.166666666666667</v>
      </c>
    </row>
    <row r="6" spans="1:6">
      <c r="A6" s="42">
        <v>1</v>
      </c>
      <c r="B6" s="41" t="s">
        <v>282</v>
      </c>
      <c r="C6" s="41" t="s">
        <v>281</v>
      </c>
      <c r="D6" s="43">
        <v>0.291666666666667</v>
      </c>
      <c r="E6" s="43">
        <v>0.458333333333333</v>
      </c>
      <c r="F6" s="43">
        <v>0.166666666666667</v>
      </c>
    </row>
    <row r="7" spans="8:12">
      <c r="H7" s="44"/>
      <c r="I7" s="44"/>
      <c r="L7" s="44"/>
    </row>
    <row r="8" spans="1:8">
      <c r="A8" s="40" t="s">
        <v>283</v>
      </c>
      <c r="H8" s="45"/>
    </row>
    <row r="9" spans="1:6">
      <c r="A9" s="46" t="s">
        <v>284</v>
      </c>
      <c r="B9" s="47"/>
      <c r="C9" s="47"/>
      <c r="D9" s="47"/>
      <c r="E9" s="47"/>
      <c r="F9" s="48">
        <v>4</v>
      </c>
    </row>
    <row r="10" spans="1:6">
      <c r="A10" s="46" t="s">
        <v>285</v>
      </c>
      <c r="B10" s="47"/>
      <c r="C10" s="47"/>
      <c r="D10" s="47"/>
      <c r="E10" s="47"/>
      <c r="F10" s="49">
        <v>0.5</v>
      </c>
    </row>
    <row r="11" spans="1:6">
      <c r="A11" s="50" t="s">
        <v>286</v>
      </c>
      <c r="B11" s="47"/>
      <c r="C11" s="47"/>
      <c r="D11" s="47"/>
      <c r="E11" s="47"/>
      <c r="F11" s="48">
        <f>F9*F10</f>
        <v>2</v>
      </c>
    </row>
    <row r="12" spans="1:6">
      <c r="A12" s="50" t="s">
        <v>287</v>
      </c>
      <c r="B12" s="47"/>
      <c r="C12" s="47"/>
      <c r="D12" s="47"/>
      <c r="E12" s="47"/>
      <c r="F12" s="49">
        <v>6</v>
      </c>
    </row>
    <row r="13" spans="1:6">
      <c r="A13" s="50" t="s">
        <v>288</v>
      </c>
      <c r="B13" s="47"/>
      <c r="C13" s="47"/>
      <c r="D13" s="47"/>
      <c r="E13" s="47"/>
      <c r="F13" s="49">
        <v>7</v>
      </c>
    </row>
    <row r="14" spans="1:6">
      <c r="A14" s="50" t="s">
        <v>289</v>
      </c>
      <c r="B14" s="47"/>
      <c r="C14" s="47"/>
      <c r="D14" s="47"/>
      <c r="E14" s="47"/>
      <c r="F14" s="48">
        <f>F11/F12</f>
        <v>0.333333333333333</v>
      </c>
    </row>
    <row r="15" spans="1:6">
      <c r="A15" s="50" t="s">
        <v>290</v>
      </c>
      <c r="B15" s="47"/>
      <c r="C15" s="47"/>
      <c r="D15" s="47"/>
      <c r="E15" s="47"/>
      <c r="F15" s="49">
        <v>30</v>
      </c>
    </row>
    <row r="16" spans="1:6">
      <c r="A16" s="51" t="s">
        <v>291</v>
      </c>
      <c r="B16" s="52"/>
      <c r="C16" s="52"/>
      <c r="D16" s="52"/>
      <c r="E16" s="52"/>
      <c r="F16" s="53">
        <f>F14*F15</f>
        <v>10</v>
      </c>
    </row>
    <row r="17" spans="1:6">
      <c r="A17" s="51" t="s">
        <v>292</v>
      </c>
      <c r="B17" s="52"/>
      <c r="C17" s="52"/>
      <c r="D17" s="52"/>
      <c r="E17" s="52"/>
      <c r="F17" s="41">
        <v>220</v>
      </c>
    </row>
    <row r="18" spans="1:6">
      <c r="A18" s="51" t="s">
        <v>293</v>
      </c>
      <c r="B18" s="52"/>
      <c r="C18" s="52"/>
      <c r="D18" s="52"/>
      <c r="E18" s="52"/>
      <c r="F18" s="54">
        <f>F16/F17</f>
        <v>0.0454545454545455</v>
      </c>
    </row>
  </sheetData>
  <pageMargins left="0.511811023622047" right="0.511811023622047" top="0.78740157480315" bottom="0.78740157480315" header="0.31496062992126" footer="0.31496062992126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4"/>
  <sheetViews>
    <sheetView workbookViewId="0">
      <selection activeCell="B14" sqref="A14:B14"/>
    </sheetView>
  </sheetViews>
  <sheetFormatPr defaultColWidth="8.85714285714286" defaultRowHeight="15"/>
  <cols>
    <col min="1" max="1" width="11.7142857142857" style="2" customWidth="1"/>
    <col min="2" max="2" width="29.1428571428571" style="2" customWidth="1"/>
    <col min="3" max="3" width="8.85714285714286" style="2" customWidth="1"/>
    <col min="4" max="4" width="9" style="2" customWidth="1"/>
    <col min="5" max="5" width="5.71428571428571" style="2" customWidth="1"/>
    <col min="6" max="6" width="2.57142857142857" style="2" customWidth="1"/>
    <col min="7" max="7" width="5.14285714285714" style="2" customWidth="1"/>
    <col min="8" max="8" width="28" style="2" customWidth="1"/>
    <col min="9" max="9" width="7.28571428571429" style="2" customWidth="1"/>
    <col min="10" max="10" width="4.71428571428571" style="2" customWidth="1"/>
    <col min="11" max="11" width="15.1428571428571" style="2" customWidth="1"/>
    <col min="12" max="12" width="6.28571428571429" style="2" customWidth="1"/>
    <col min="13" max="13" width="9.28571428571429" style="2" customWidth="1"/>
    <col min="14" max="14" width="12" style="2" customWidth="1"/>
    <col min="15" max="15" width="11.5714285714286" style="2" customWidth="1"/>
    <col min="16" max="16" width="10.5714285714286" style="2" customWidth="1"/>
    <col min="17" max="16384" width="8.85714285714286" style="2"/>
  </cols>
  <sheetData>
    <row r="1" ht="18" spans="1:1">
      <c r="A1" s="3" t="s">
        <v>261</v>
      </c>
    </row>
    <row r="2" customHeight="1" spans="1:17">
      <c r="A2" s="4" t="s">
        <v>294</v>
      </c>
      <c r="M2" s="33"/>
      <c r="N2" s="34"/>
      <c r="O2" s="34"/>
      <c r="P2" s="34"/>
      <c r="Q2" s="34"/>
    </row>
    <row r="3" customHeight="1" spans="1:17">
      <c r="A3" s="5" t="s">
        <v>295</v>
      </c>
      <c r="B3" s="6"/>
      <c r="C3" s="6"/>
      <c r="D3" s="6"/>
      <c r="E3" s="6"/>
      <c r="F3" s="7"/>
      <c r="G3" s="7"/>
      <c r="M3" s="33"/>
      <c r="N3" s="7"/>
      <c r="O3" s="7"/>
      <c r="P3" s="7"/>
      <c r="Q3" s="7"/>
    </row>
    <row r="4" customHeight="1" spans="1:17">
      <c r="A4" s="5" t="s">
        <v>296</v>
      </c>
      <c r="B4" s="6"/>
      <c r="C4" s="6"/>
      <c r="D4" s="6"/>
      <c r="E4" s="6"/>
      <c r="F4" s="7"/>
      <c r="G4" s="7"/>
      <c r="M4" s="35"/>
      <c r="N4" s="36"/>
      <c r="O4" s="7"/>
      <c r="P4" s="37"/>
      <c r="Q4" s="37"/>
    </row>
    <row r="5" ht="30" spans="1:17">
      <c r="A5" s="6" t="s">
        <v>297</v>
      </c>
      <c r="B5" s="5" t="s">
        <v>3</v>
      </c>
      <c r="C5" s="8" t="s">
        <v>298</v>
      </c>
      <c r="D5" s="6" t="s">
        <v>299</v>
      </c>
      <c r="E5" s="6" t="s">
        <v>300</v>
      </c>
      <c r="F5" s="7"/>
      <c r="G5" s="7"/>
      <c r="M5" s="35"/>
      <c r="N5" s="36"/>
      <c r="O5" s="7"/>
      <c r="P5" s="37"/>
      <c r="Q5" s="37"/>
    </row>
    <row r="6" s="1" customFormat="1" ht="14.45" customHeight="1" spans="1:17">
      <c r="A6" s="6" t="s">
        <v>301</v>
      </c>
      <c r="B6" s="5" t="s">
        <v>302</v>
      </c>
      <c r="C6" s="9" t="s">
        <v>303</v>
      </c>
      <c r="D6" s="10">
        <v>15</v>
      </c>
      <c r="E6" s="11" t="s">
        <v>128</v>
      </c>
      <c r="F6" s="12"/>
      <c r="G6" s="7"/>
      <c r="M6" s="35"/>
      <c r="N6" s="36"/>
      <c r="O6" s="7"/>
      <c r="P6" s="37"/>
      <c r="Q6" s="37"/>
    </row>
    <row r="7" s="1" customFormat="1" ht="33" customHeight="1" spans="1:17">
      <c r="A7" s="5" t="s">
        <v>304</v>
      </c>
      <c r="B7" s="13" t="s">
        <v>305</v>
      </c>
      <c r="C7" s="9" t="s">
        <v>306</v>
      </c>
      <c r="D7" s="10">
        <v>100</v>
      </c>
      <c r="E7" s="11" t="s">
        <v>128</v>
      </c>
      <c r="F7" s="12"/>
      <c r="G7" s="7"/>
      <c r="M7" s="35"/>
      <c r="N7" s="36"/>
      <c r="O7" s="7"/>
      <c r="P7" s="37"/>
      <c r="Q7" s="37"/>
    </row>
    <row r="8" spans="1:17">
      <c r="A8" s="6"/>
      <c r="B8" s="6"/>
      <c r="C8" s="14"/>
      <c r="D8" s="10"/>
      <c r="E8" s="15"/>
      <c r="F8" s="12"/>
      <c r="G8" s="12"/>
      <c r="M8" s="35"/>
      <c r="N8" s="36"/>
      <c r="O8" s="7"/>
      <c r="P8" s="37"/>
      <c r="Q8" s="37"/>
    </row>
    <row r="9" customHeight="1" spans="1:17">
      <c r="A9" s="16" t="s">
        <v>307</v>
      </c>
      <c r="B9" s="17"/>
      <c r="C9" s="17"/>
      <c r="D9" s="18">
        <f>SUM(D6:D8)*2</f>
        <v>230</v>
      </c>
      <c r="E9" s="15" t="s">
        <v>128</v>
      </c>
      <c r="F9" s="12"/>
      <c r="G9" s="12"/>
      <c r="M9" s="7"/>
      <c r="N9" s="34"/>
      <c r="O9" s="34"/>
      <c r="P9" s="34"/>
      <c r="Q9" s="34"/>
    </row>
    <row r="10" spans="1:13">
      <c r="A10" s="19"/>
      <c r="B10" s="20"/>
      <c r="C10" s="20"/>
      <c r="D10" s="20"/>
      <c r="E10" s="21"/>
      <c r="G10" s="12"/>
      <c r="M10" s="35"/>
    </row>
    <row r="11" ht="90" hidden="1" spans="1:5">
      <c r="A11" s="22" t="s">
        <v>308</v>
      </c>
      <c r="B11" s="23" t="s">
        <v>309</v>
      </c>
      <c r="C11" s="23"/>
      <c r="D11" s="24"/>
      <c r="E11" s="25" t="s">
        <v>310</v>
      </c>
    </row>
    <row r="12" hidden="1" customHeight="1" spans="1:5">
      <c r="A12" s="19"/>
      <c r="B12" s="20"/>
      <c r="C12" s="20"/>
      <c r="D12" s="20"/>
      <c r="E12" s="21"/>
    </row>
    <row r="13" hidden="1" spans="1:5">
      <c r="A13" s="26" t="s">
        <v>311</v>
      </c>
      <c r="B13" s="27"/>
      <c r="C13" s="27"/>
      <c r="D13" s="10" t="e">
        <f>(D6+D7)/D11</f>
        <v>#DIV/0!</v>
      </c>
      <c r="E13" s="28" t="s">
        <v>128</v>
      </c>
    </row>
    <row r="14" ht="15.75" hidden="1" spans="1:5">
      <c r="A14" s="29" t="s">
        <v>312</v>
      </c>
      <c r="B14" s="30"/>
      <c r="C14" s="30"/>
      <c r="D14" s="31" t="e">
        <f>SUM(D13)*2</f>
        <v>#DIV/0!</v>
      </c>
      <c r="E14" s="32" t="s">
        <v>128</v>
      </c>
    </row>
  </sheetData>
  <mergeCells count="7">
    <mergeCell ref="A3:E3"/>
    <mergeCell ref="A4:E4"/>
    <mergeCell ref="A9:C9"/>
    <mergeCell ref="A10:E10"/>
    <mergeCell ref="A12:E12"/>
    <mergeCell ref="A13:B13"/>
    <mergeCell ref="A14:B14"/>
  </mergeCells>
  <pageMargins left="0.511811023622047" right="0.511811023622047" top="0.78740157480315" bottom="0.78740157480315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dmlu</Company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1. Resumo</vt:lpstr>
      <vt:lpstr>2. Coleta Resíduos Saúde</vt:lpstr>
      <vt:lpstr>3.Encargos Sociais</vt:lpstr>
      <vt:lpstr>4.BDI</vt:lpstr>
      <vt:lpstr>5. Depreciação</vt:lpstr>
      <vt:lpstr>Litros</vt:lpstr>
      <vt:lpstr>Horários</vt:lpstr>
      <vt:lpstr>Roteiros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V. Ambiental 02</cp:lastModifiedBy>
  <dcterms:created xsi:type="dcterms:W3CDTF">2000-12-13T10:02:00Z</dcterms:created>
  <cp:lastPrinted>2026-02-26T14:19:00Z</cp:lastPrinted>
  <dcterms:modified xsi:type="dcterms:W3CDTF">2026-03-16T14:30:34Z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8D9BCDA6E1D3479B83A55C819900EFD5_13</vt:lpwstr>
  </property>
  <property fmtid="{D5CDD505-2E9C-101B-9397-08002B2CF9AE}" pid="3" name="KSOProductBuildVer">
    <vt:lpwstr>1046-12.2.0.13215</vt:lpwstr>
  </property>
</Properties>
</file>