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0.100.100.112\Rede Licitações\ANO DE 2025\EDITAIS\PREGÃO ELETRÔNICO\004 TRANSPORTE SAÚDE - RP-CANDELÁRIA\"/>
    </mc:Choice>
  </mc:AlternateContent>
  <xr:revisionPtr revIDLastSave="0" documentId="8_{7E8239E2-2EE0-40C9-85D4-7063ED0B7A90}" xr6:coauthVersionLast="47" xr6:coauthVersionMax="47" xr10:uidLastSave="{00000000-0000-0000-0000-000000000000}"/>
  <bookViews>
    <workbookView xWindow="-120" yWindow="-120" windowWidth="25440" windowHeight="15270" activeTab="6" xr2:uid="{00000000-000D-0000-FFFF-FFFF00000000}"/>
  </bookViews>
  <sheets>
    <sheet name="CAGED" sheetId="3" r:id="rId1"/>
    <sheet name="Encargos" sheetId="4" r:id="rId2"/>
    <sheet name="Mão de obra" sheetId="5" r:id="rId3"/>
    <sheet name="Remuneração de capital" sheetId="6" r:id="rId4"/>
    <sheet name="Impostos e manutenção" sheetId="7" r:id="rId5"/>
    <sheet name="BDI" sheetId="8" r:id="rId6"/>
    <sheet name="Composição de custos" sheetId="2" r:id="rId7"/>
  </sheets>
  <externalReferences>
    <externalReference r:id="rId8"/>
  </externalReferences>
  <calcPr calcId="191029"/>
</workbook>
</file>

<file path=xl/calcChain.xml><?xml version="1.0" encoding="utf-8"?>
<calcChain xmlns="http://schemas.openxmlformats.org/spreadsheetml/2006/main">
  <c r="D22" i="7" l="1"/>
  <c r="C4" i="6" l="1"/>
  <c r="D24" i="7"/>
  <c r="C14" i="4" l="1"/>
  <c r="C15" i="4"/>
  <c r="C16" i="4"/>
  <c r="C17" i="4"/>
  <c r="C55" i="5" l="1"/>
  <c r="C50" i="5"/>
  <c r="C45" i="5"/>
  <c r="D12" i="6" l="1"/>
  <c r="D25" i="6"/>
  <c r="E17" i="5" l="1"/>
  <c r="E25" i="6" l="1"/>
  <c r="C14" i="6"/>
  <c r="C13" i="6"/>
  <c r="C16" i="6" s="1"/>
  <c r="E12" i="6"/>
  <c r="D15" i="6" l="1"/>
  <c r="E15" i="6" s="1"/>
  <c r="D16" i="6" s="1"/>
  <c r="E16" i="6" s="1"/>
  <c r="E17" i="6" s="1"/>
  <c r="D18" i="6" l="1"/>
  <c r="E18" i="6" s="1"/>
  <c r="C11" i="8" l="1"/>
  <c r="C19" i="8" s="1"/>
  <c r="B1" i="7"/>
  <c r="E10" i="7" s="1"/>
  <c r="C8" i="7"/>
  <c r="E8" i="7" s="1"/>
  <c r="C7" i="7"/>
  <c r="E7" i="7" s="1"/>
  <c r="C6" i="7"/>
  <c r="E6" i="7" s="1"/>
  <c r="C39" i="7"/>
  <c r="E39" i="7" s="1"/>
  <c r="E37" i="7"/>
  <c r="D26" i="7"/>
  <c r="D18" i="7"/>
  <c r="C18" i="7"/>
  <c r="C26" i="7" s="1"/>
  <c r="C8" i="6"/>
  <c r="D27" i="7" l="1"/>
  <c r="E26" i="7"/>
  <c r="F7" i="7"/>
  <c r="F8" i="7"/>
  <c r="F6" i="7"/>
  <c r="E32" i="6"/>
  <c r="E19" i="6"/>
  <c r="F19" i="6" s="1"/>
  <c r="B10" i="2" s="1"/>
  <c r="D9" i="7"/>
  <c r="E9" i="7" s="1"/>
  <c r="F10" i="7" s="1"/>
  <c r="D40" i="7"/>
  <c r="E40" i="7" s="1"/>
  <c r="D41" i="7" s="1"/>
  <c r="E41" i="7" s="1"/>
  <c r="F42" i="7" s="1"/>
  <c r="B15" i="2" s="1"/>
  <c r="C20" i="7"/>
  <c r="E20" i="7" s="1"/>
  <c r="E24" i="7"/>
  <c r="E32" i="7"/>
  <c r="F33" i="7" s="1"/>
  <c r="B14" i="2" s="1"/>
  <c r="E18" i="7"/>
  <c r="C22" i="7"/>
  <c r="E22" i="7" s="1"/>
  <c r="F28" i="7" l="1"/>
  <c r="B13" i="2" s="1"/>
  <c r="B12" i="2"/>
  <c r="C7" i="6"/>
  <c r="C28" i="6" s="1"/>
  <c r="D29" i="6" s="1"/>
  <c r="E29" i="6" s="1"/>
  <c r="E30" i="6" s="1"/>
  <c r="D31" i="6" s="1"/>
  <c r="E31" i="6" s="1"/>
  <c r="F32" i="6" s="1"/>
  <c r="B11" i="2" s="1"/>
  <c r="E56" i="5"/>
  <c r="F44" i="7" l="1"/>
  <c r="B9" i="2"/>
  <c r="C27" i="6"/>
  <c r="E38" i="5"/>
  <c r="E55" i="5"/>
  <c r="E50" i="5"/>
  <c r="F51" i="5" s="1"/>
  <c r="B7" i="2" s="1"/>
  <c r="A50" i="5"/>
  <c r="A55" i="5" s="1"/>
  <c r="D33" i="5"/>
  <c r="C33" i="5"/>
  <c r="C30" i="5"/>
  <c r="C27" i="5"/>
  <c r="C24" i="5"/>
  <c r="D22" i="5"/>
  <c r="D21" i="5"/>
  <c r="D28" i="5" s="1"/>
  <c r="E28" i="5" s="1"/>
  <c r="D12" i="5"/>
  <c r="E12" i="5" s="1"/>
  <c r="D9" i="5"/>
  <c r="E9" i="5" s="1"/>
  <c r="E8" i="5"/>
  <c r="E6" i="5"/>
  <c r="D45" i="5" s="1"/>
  <c r="D10" i="5" l="1"/>
  <c r="E10" i="5" s="1"/>
  <c r="E13" i="5" s="1"/>
  <c r="E33" i="5"/>
  <c r="E45" i="5"/>
  <c r="F46" i="5" s="1"/>
  <c r="B6" i="2" s="1"/>
  <c r="F56" i="5"/>
  <c r="D24" i="5"/>
  <c r="E24" i="5" s="1"/>
  <c r="D25" i="5"/>
  <c r="E25" i="5" s="1"/>
  <c r="D30" i="5"/>
  <c r="E30" i="5" s="1"/>
  <c r="E21" i="5"/>
  <c r="D27" i="5"/>
  <c r="E27" i="5" s="1"/>
  <c r="B8" i="2" l="1"/>
  <c r="D14" i="5"/>
  <c r="D31" i="5"/>
  <c r="E31" i="5" s="1"/>
  <c r="E34" i="5" s="1"/>
  <c r="D35" i="5" l="1"/>
  <c r="C11" i="4" l="1"/>
  <c r="C19" i="3"/>
  <c r="C17" i="3"/>
  <c r="C21" i="3" l="1"/>
  <c r="C20" i="3"/>
  <c r="C22" i="3" l="1"/>
  <c r="C29" i="4" l="1"/>
  <c r="C19" i="4"/>
  <c r="C28" i="4" s="1"/>
  <c r="C30" i="4" l="1"/>
  <c r="C26" i="4"/>
  <c r="C31" i="4" l="1"/>
  <c r="C14" i="5" s="1"/>
  <c r="E14" i="5" s="1"/>
  <c r="E15" i="5" s="1"/>
  <c r="D16" i="5" s="1"/>
  <c r="E16" i="5" s="1"/>
  <c r="F17" i="5" s="1"/>
  <c r="B4" i="2" s="1"/>
  <c r="C35" i="5" l="1"/>
  <c r="E35" i="5" s="1"/>
  <c r="E36" i="5" s="1"/>
  <c r="D37" i="5" s="1"/>
  <c r="E37" i="5" s="1"/>
  <c r="F38" i="5" s="1"/>
  <c r="F59" i="5" s="1"/>
  <c r="F15" i="8" s="1"/>
  <c r="D19" i="8" s="1"/>
  <c r="E19" i="8" s="1"/>
  <c r="F20" i="8" s="1"/>
  <c r="F22" i="8" s="1"/>
  <c r="B16" i="2" s="1"/>
  <c r="B5" i="2" l="1"/>
  <c r="B3" i="2" s="1"/>
  <c r="B17" i="2" s="1"/>
  <c r="C5" i="2" l="1"/>
  <c r="C21" i="2"/>
  <c r="C3" i="2"/>
  <c r="C12" i="2"/>
  <c r="C6" i="2"/>
  <c r="C15" i="2"/>
  <c r="C7" i="2"/>
  <c r="C11" i="2"/>
  <c r="C14" i="2"/>
  <c r="C8" i="2"/>
  <c r="C13" i="2"/>
  <c r="C10" i="2"/>
  <c r="C9" i="2"/>
  <c r="C4" i="2"/>
  <c r="C16" i="2"/>
  <c r="C17" i="2" l="1"/>
</calcChain>
</file>

<file path=xl/sharedStrings.xml><?xml version="1.0" encoding="utf-8"?>
<sst xmlns="http://schemas.openxmlformats.org/spreadsheetml/2006/main" count="364" uniqueCount="223">
  <si>
    <t>unidade</t>
  </si>
  <si>
    <t>R$</t>
  </si>
  <si>
    <t>anos</t>
  </si>
  <si>
    <t>km/l</t>
  </si>
  <si>
    <t>km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</si>
  <si>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</si>
  <si>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</si>
  <si>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</si>
  <si>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</si>
  <si>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</si>
  <si>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</si>
  <si>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</si>
  <si>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</si>
  <si>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</si>
  <si>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</si>
  <si>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</si>
  <si>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>Indicadores</t>
  </si>
  <si>
    <t>Estoque Médio</t>
  </si>
  <si>
    <t>% Demitidos s/ Justa Causa em relação ao Estoque Médio</t>
  </si>
  <si>
    <t>Taxa de Rotatividade</t>
  </si>
  <si>
    <t>Rotatividade temporal (meses)</t>
  </si>
  <si>
    <t>Dias ano</t>
  </si>
  <si>
    <t>1/3 de férias (dias)</t>
  </si>
  <si>
    <t>Férias (dias)</t>
  </si>
  <si>
    <t>13º Salário (dias)</t>
  </si>
  <si>
    <t>Dias de Aviso prévio</t>
  </si>
  <si>
    <t>FGTS</t>
  </si>
  <si>
    <t>Multa FGTS</t>
  </si>
  <si>
    <t>Estoque recuperado início do Período 01-12-2018</t>
  </si>
  <si>
    <t>Estoque recuperado final do Período 30-11-2019</t>
  </si>
  <si>
    <t>Variação Emprego Absoluta de 01-12-2018 a 30-11-2019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</si>
  <si>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</si>
  <si>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</si>
  <si>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</si>
  <si>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</si>
  <si>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</si>
  <si>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</si>
  <si>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</si>
  <si>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</si>
  <si>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</si>
  <si>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</si>
  <si>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</si>
  <si>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</si>
  <si>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</si>
  <si>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</si>
  <si>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</si>
  <si>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</si>
  <si>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</si>
  <si>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</si>
  <si>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</si>
  <si>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</si>
  <si>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</si>
  <si>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</si>
  <si>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</si>
  <si>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</si>
  <si>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</si>
  <si>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</si>
  <si>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</si>
  <si>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</si>
  <si>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</si>
  <si>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</si>
  <si>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</si>
  <si>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</si>
  <si>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</si>
  <si>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</si>
  <si>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</si>
  <si>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</si>
  <si>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</si>
  <si>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</si>
  <si>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</si>
  <si>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</si>
  <si>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</si>
  <si>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</si>
  <si>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</si>
  <si>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</si>
  <si>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</si>
  <si>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</si>
  <si>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</si>
  <si>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</si>
  <si>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</si>
  <si>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</si>
  <si>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</si>
  <si>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</si>
  <si>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</si>
  <si>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</si>
  <si>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1. Mão-de-obra</t>
  </si>
  <si>
    <t>Discriminação</t>
  </si>
  <si>
    <t>Unidade</t>
  </si>
  <si>
    <t>Quantidade</t>
  </si>
  <si>
    <t>Custo unitário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</si>
  <si>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</si>
  <si>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</si>
  <si>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mês</t>
  </si>
  <si>
    <t>Horas Extras (100%)</t>
  </si>
  <si>
    <t>hora</t>
  </si>
  <si>
    <t>Horas Extras (50%)</t>
  </si>
  <si>
    <t>Descanso Semanal Remunerado (DSR) - hora extra</t>
  </si>
  <si>
    <t>Adicional de Insalubridade</t>
  </si>
  <si>
    <t>%</t>
  </si>
  <si>
    <t>Soma</t>
  </si>
  <si>
    <t>Encargos Sociais</t>
  </si>
  <si>
    <t>Total do Efetivo</t>
  </si>
  <si>
    <t>homem</t>
  </si>
  <si>
    <t>Fator de utilização</t>
  </si>
  <si>
    <t>Adicional Noturno</t>
  </si>
  <si>
    <t>horas trabalhadas</t>
  </si>
  <si>
    <t>hora contabilizada</t>
  </si>
  <si>
    <t>Horas Extras Noturnas (100%)</t>
  </si>
  <si>
    <t>Horas Extras Noturnas (50%)</t>
  </si>
  <si>
    <t>Piso da categoria (2)</t>
  </si>
  <si>
    <t>Salário mínimo nacional (1)</t>
  </si>
  <si>
    <t>Base de cálculo da Insalubridade</t>
  </si>
  <si>
    <t>Total por Motorista</t>
  </si>
  <si>
    <t>Vale Transporte</t>
  </si>
  <si>
    <t>Dias Trabalhados por mês</t>
  </si>
  <si>
    <t>dia</t>
  </si>
  <si>
    <t>vale</t>
  </si>
  <si>
    <t>Motorista</t>
  </si>
  <si>
    <t>Fator de utilização (FU)</t>
  </si>
  <si>
    <t>Custo do chassis</t>
  </si>
  <si>
    <t>Taxa de juros anual nominal</t>
  </si>
  <si>
    <t>Remuneração mensal de capital do chassis</t>
  </si>
  <si>
    <t>Total por veículo</t>
  </si>
  <si>
    <t>Total da frota</t>
  </si>
  <si>
    <t>Valor do veículo proposto (V0)*</t>
  </si>
  <si>
    <t>Vida útil estimada</t>
  </si>
  <si>
    <t>Valor residual</t>
  </si>
  <si>
    <t>% de depreciação</t>
  </si>
  <si>
    <t>Depreciação acumulada</t>
  </si>
  <si>
    <t>Vida útil utilizada (idade do veículo)</t>
  </si>
  <si>
    <t>Dados de Depreciação</t>
  </si>
  <si>
    <t>Investimento médio</t>
  </si>
  <si>
    <t>IPVA</t>
  </si>
  <si>
    <t>Licenciamento e Seguro obrigatório</t>
  </si>
  <si>
    <t>Seguro contra terceiros</t>
  </si>
  <si>
    <t>Impostos e seguros mensais</t>
  </si>
  <si>
    <t>Quilometragem mensal</t>
  </si>
  <si>
    <t>Consumo</t>
  </si>
  <si>
    <t>Custo de óleo diesel / km rodado</t>
  </si>
  <si>
    <t>Custo mensal com óleo diesel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</si>
  <si>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</si>
  <si>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</si>
  <si>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</si>
  <si>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</si>
  <si>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</si>
  <si>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óleo hidráulico / 1.000 km</t>
  </si>
  <si>
    <t>Custo mensal com óleo hidráulico</t>
  </si>
  <si>
    <t>Custo de graxa /1.000 km rodados</t>
  </si>
  <si>
    <t>kg/1.000 km</t>
  </si>
  <si>
    <t>Custo mensal com graxa</t>
  </si>
  <si>
    <t>Custo com consumos/km rodado</t>
  </si>
  <si>
    <t>R$/km rodado</t>
  </si>
  <si>
    <t>Custo do jogo de pneus xxx/xx Rxx</t>
  </si>
  <si>
    <t>Número de recapagens por pneu</t>
  </si>
  <si>
    <t>Custo de recapagem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</si>
  <si>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</si>
  <si>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km/jogo</t>
  </si>
  <si>
    <t>Custo mensal com pneus</t>
  </si>
  <si>
    <t>Custo de manutenção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</si>
  <si>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</si>
  <si>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</si>
  <si>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</si>
  <si>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</si>
  <si>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</si>
  <si>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</si>
  <si>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</si>
  <si>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</si>
  <si>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</si>
  <si>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</si>
  <si>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</si>
  <si>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</si>
  <si>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</si>
  <si>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</si>
  <si>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</si>
  <si>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</si>
  <si>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Custo (R$/mês)</t>
  </si>
  <si>
    <t>Idade do veículo</t>
  </si>
  <si>
    <t>Depreciação do chassis</t>
  </si>
  <si>
    <t>Vida útil</t>
  </si>
  <si>
    <t>Valor do inicial veículo</t>
  </si>
  <si>
    <t>Custo de aquisição (valor inicial)</t>
  </si>
  <si>
    <t>R$/mês</t>
  </si>
  <si>
    <t>CUSTO TOTAL MÃO-DE-OBRA</t>
  </si>
  <si>
    <t>CUSTO TOTAL DE IMPOSTOS E MANUTENÇÃO</t>
  </si>
  <si>
    <t>CUSTO TOTAL MENSAL COM DESPESAS OPERACIONAIS</t>
  </si>
  <si>
    <t>Benefícios e despesas indiretas</t>
  </si>
  <si>
    <t>CUSTO MENSAL COM BDI (R$/mês)</t>
  </si>
  <si>
    <t>Depreciação mensal veículos</t>
  </si>
  <si>
    <t>1.1. Motorista dia</t>
  </si>
  <si>
    <t>1.2. Motorista noite</t>
  </si>
  <si>
    <t>1.3. Vale transporte</t>
  </si>
  <si>
    <t>1.4. Vale Refeição (diário)</t>
  </si>
  <si>
    <t>1.5. Auxílio alimentção (mensal)</t>
  </si>
  <si>
    <t>2. Veículos</t>
  </si>
  <si>
    <t>2.1. Depreciação</t>
  </si>
  <si>
    <t>2.2. Remuneração de capital</t>
  </si>
  <si>
    <t>2.3. Impostos e seguros</t>
  </si>
  <si>
    <t>2.4. Consumos</t>
  </si>
  <si>
    <t>2.5. Manutenção</t>
  </si>
  <si>
    <t>2.6. Pneus</t>
  </si>
  <si>
    <t>3. BDI</t>
  </si>
  <si>
    <t>PREÇO TOTAL MENSAL (1+2+3)</t>
  </si>
  <si>
    <t>1. CAGED</t>
  </si>
  <si>
    <t>3. Composição da mão-de-obra</t>
  </si>
  <si>
    <t>3.1. Motorista Turno do Dia</t>
  </si>
  <si>
    <t>3.2. Motorista Turno Noite</t>
  </si>
  <si>
    <t>3.3. Vale Transporte</t>
  </si>
  <si>
    <t>3.4. Vale-refeição (diário)</t>
  </si>
  <si>
    <t>3.5. Auxílio Alimentação (mensal)</t>
  </si>
  <si>
    <t>5. Impostos e manutenção</t>
  </si>
  <si>
    <t>5.1. Impostos e Seguros</t>
  </si>
  <si>
    <t>5.2. Consumos</t>
  </si>
  <si>
    <t>5.3. Manutenção preventiva e corretiva</t>
  </si>
  <si>
    <t>5.4. Pneus</t>
  </si>
  <si>
    <t>6. Composição do BDI - Benefícios e Despesas Indiretas</t>
  </si>
  <si>
    <t>6.1. Benefícios e Despesas Indiretas - BDI</t>
  </si>
  <si>
    <t>7. Transporte Escolar - Planilha de composição de custos</t>
  </si>
  <si>
    <t>4. Depreciação e Remuneração de Capital</t>
  </si>
  <si>
    <t>4.1. Depreciação</t>
  </si>
  <si>
    <t>4.2. Remuneração do Capital</t>
  </si>
  <si>
    <t>PREÇO POR KM RODADO</t>
  </si>
  <si>
    <t xml:space="preserve">Quilometragem total </t>
  </si>
  <si>
    <t>Rio Grande do Sul  - Transporte de passageiros - CNAE: 4923-0/02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</si>
</sst>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00_-;\-* #,##0.0000_-;_-* &quot;-&quot;????_-;_-@_-"/>
    <numFmt numFmtId="165" formatCode="_(* #,##0.00_);_(* \(#,##0.00\);_(* &quot;-&quot;??_);_(@_)"/>
    <numFmt numFmtId="166" formatCode="0.0000"/>
    <numFmt numFmtId="167" formatCode="_(* #,##0_);_(* \(#,##0\);_(* &quot;-&quot;??_);_(@_)"/>
    <numFmt numFmtId="168" formatCode="_(* #,##0.000_);_(* \(#,##0.00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14"/>
      <color theme="1"/>
      <name val="Arial"/>
      <family val="2"/>
    </font>
    <font>
      <b/>
      <u/>
      <sz val="1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sz val="14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212">
    <xf numFmtId="0" fontId="0" fillId="0" borderId="0" xfId="0"/>
    <xf numFmtId="4" fontId="0" fillId="0" borderId="0" xfId="0" applyNumberFormat="1"/>
    <xf numFmtId="43" fontId="0" fillId="0" borderId="0" xfId="1" applyFont="1"/>
    <xf numFmtId="164" fontId="0" fillId="0" borderId="0" xfId="1" applyNumberFormat="1" applyFont="1"/>
    <xf numFmtId="0" fontId="8" fillId="0" borderId="3" xfId="2" applyFont="1" applyBorder="1"/>
    <xf numFmtId="0" fontId="8" fillId="0" borderId="18" xfId="2" applyFont="1" applyBorder="1"/>
    <xf numFmtId="0" fontId="8" fillId="0" borderId="9" xfId="2" applyFont="1" applyBorder="1"/>
    <xf numFmtId="0" fontId="8" fillId="0" borderId="19" xfId="2" applyFont="1" applyBorder="1"/>
    <xf numFmtId="0" fontId="8" fillId="0" borderId="6" xfId="2" applyFont="1" applyBorder="1"/>
    <xf numFmtId="0" fontId="8" fillId="0" borderId="11" xfId="2" applyFont="1" applyBorder="1"/>
    <xf numFmtId="0" fontId="5" fillId="0" borderId="4" xfId="2" applyFont="1" applyBorder="1"/>
    <xf numFmtId="0" fontId="5" fillId="0" borderId="9" xfId="2" applyFont="1" applyBorder="1"/>
    <xf numFmtId="0" fontId="5" fillId="0" borderId="18" xfId="2" applyFont="1" applyBorder="1"/>
    <xf numFmtId="0" fontId="5" fillId="0" borderId="20" xfId="2" applyFont="1" applyBorder="1"/>
    <xf numFmtId="0" fontId="5" fillId="0" borderId="15" xfId="2" applyFont="1" applyBorder="1"/>
    <xf numFmtId="0" fontId="5" fillId="0" borderId="16" xfId="2" applyFont="1" applyBorder="1"/>
    <xf numFmtId="0" fontId="6" fillId="0" borderId="19" xfId="2" applyFont="1" applyBorder="1"/>
    <xf numFmtId="0" fontId="5" fillId="0" borderId="6" xfId="2" applyFont="1" applyBorder="1"/>
    <xf numFmtId="166" fontId="6" fillId="0" borderId="6" xfId="2" applyNumberFormat="1" applyFont="1" applyBorder="1"/>
    <xf numFmtId="9" fontId="8" fillId="0" borderId="6" xfId="3" applyFont="1" applyBorder="1"/>
    <xf numFmtId="10" fontId="8" fillId="0" borderId="6" xfId="3" applyNumberFormat="1" applyFont="1" applyBorder="1"/>
    <xf numFmtId="9" fontId="6" fillId="0" borderId="12" xfId="3" applyFont="1" applyBorder="1"/>
    <xf numFmtId="0" fontId="5" fillId="0" borderId="22" xfId="2" applyFont="1" applyBorder="1"/>
    <xf numFmtId="0" fontId="9" fillId="0" borderId="9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/>
    </xf>
    <xf numFmtId="0" fontId="9" fillId="0" borderId="6" xfId="2" applyFont="1" applyBorder="1" applyAlignment="1">
      <alignment horizontal="left" vertical="center"/>
    </xf>
    <xf numFmtId="10" fontId="9" fillId="0" borderId="6" xfId="2" applyNumberFormat="1" applyFont="1" applyBorder="1" applyAlignment="1">
      <alignment horizontal="right" vertical="center"/>
    </xf>
    <xf numFmtId="10" fontId="10" fillId="0" borderId="6" xfId="2" applyNumberFormat="1" applyFont="1" applyBorder="1" applyAlignment="1">
      <alignment horizontal="right" vertical="center"/>
    </xf>
    <xf numFmtId="0" fontId="9" fillId="2" borderId="9" xfId="2" applyFont="1" applyFill="1" applyBorder="1" applyAlignment="1">
      <alignment horizontal="left" vertical="center"/>
    </xf>
    <xf numFmtId="0" fontId="10" fillId="2" borderId="1" xfId="2" applyFont="1" applyFill="1" applyBorder="1" applyAlignment="1">
      <alignment horizontal="left" vertical="center"/>
    </xf>
    <xf numFmtId="10" fontId="10" fillId="2" borderId="6" xfId="2" applyNumberFormat="1" applyFont="1" applyFill="1" applyBorder="1" applyAlignment="1">
      <alignment horizontal="right" vertical="center"/>
    </xf>
    <xf numFmtId="0" fontId="11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 wrapText="1"/>
    </xf>
    <xf numFmtId="0" fontId="9" fillId="4" borderId="10" xfId="2" applyFont="1" applyFill="1" applyBorder="1" applyAlignment="1">
      <alignment horizontal="left" vertical="center"/>
    </xf>
    <xf numFmtId="0" fontId="10" fillId="4" borderId="13" xfId="2" applyFont="1" applyFill="1" applyBorder="1" applyAlignment="1">
      <alignment horizontal="left" vertical="center"/>
    </xf>
    <xf numFmtId="10" fontId="10" fillId="4" borderId="14" xfId="2" applyNumberFormat="1" applyFont="1" applyFill="1" applyBorder="1" applyAlignment="1">
      <alignment horizontal="right" vertical="center"/>
    </xf>
    <xf numFmtId="0" fontId="13" fillId="6" borderId="23" xfId="0" applyFont="1" applyFill="1" applyBorder="1" applyAlignment="1">
      <alignment horizontal="center" vertical="center"/>
    </xf>
    <xf numFmtId="0" fontId="13" fillId="6" borderId="24" xfId="0" applyFont="1" applyFill="1" applyBorder="1" applyAlignment="1">
      <alignment horizontal="center" vertical="center"/>
    </xf>
    <xf numFmtId="165" fontId="13" fillId="6" borderId="24" xfId="4" applyFont="1" applyFill="1" applyBorder="1" applyAlignment="1">
      <alignment horizontal="center" vertical="center"/>
    </xf>
    <xf numFmtId="165" fontId="13" fillId="6" borderId="25" xfId="4" applyFont="1" applyFill="1" applyBorder="1" applyAlignment="1">
      <alignment horizontal="center" vertical="center"/>
    </xf>
    <xf numFmtId="0" fontId="4" fillId="0" borderId="26" xfId="0" applyFont="1" applyBorder="1" applyAlignment="1">
      <alignment vertical="center"/>
    </xf>
    <xf numFmtId="0" fontId="4" fillId="0" borderId="26" xfId="0" applyFont="1" applyBorder="1" applyAlignment="1">
      <alignment horizontal="center" vertical="center"/>
    </xf>
    <xf numFmtId="165" fontId="4" fillId="0" borderId="26" xfId="4" applyFont="1" applyBorder="1" applyAlignment="1">
      <alignment horizontal="center" vertical="center"/>
    </xf>
    <xf numFmtId="165" fontId="4" fillId="0" borderId="0" xfId="4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5" fontId="4" fillId="0" borderId="1" xfId="4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1" xfId="4" applyFont="1" applyFill="1" applyBorder="1" applyAlignment="1">
      <alignment horizontal="center" vertical="center"/>
    </xf>
    <xf numFmtId="0" fontId="12" fillId="0" borderId="27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165" fontId="12" fillId="0" borderId="0" xfId="4" applyFont="1" applyAlignment="1">
      <alignment horizontal="center" vertical="center"/>
    </xf>
    <xf numFmtId="165" fontId="12" fillId="0" borderId="27" xfId="4" applyFont="1" applyBorder="1" applyAlignment="1">
      <alignment horizontal="center" vertical="center"/>
    </xf>
    <xf numFmtId="165" fontId="4" fillId="7" borderId="1" xfId="4" applyFont="1" applyFill="1" applyBorder="1" applyAlignment="1">
      <alignment horizontal="center" vertical="center"/>
    </xf>
    <xf numFmtId="165" fontId="4" fillId="0" borderId="0" xfId="4" applyFont="1" applyAlignment="1">
      <alignment horizontal="right" vertical="center"/>
    </xf>
    <xf numFmtId="165" fontId="4" fillId="0" borderId="1" xfId="4" applyFont="1" applyBorder="1" applyAlignment="1">
      <alignment vertical="center"/>
    </xf>
    <xf numFmtId="165" fontId="12" fillId="6" borderId="28" xfId="4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165" fontId="12" fillId="0" borderId="1" xfId="4" applyFont="1" applyBorder="1" applyAlignment="1">
      <alignment horizontal="center" vertical="center"/>
    </xf>
    <xf numFmtId="165" fontId="12" fillId="0" borderId="0" xfId="4" applyFont="1" applyAlignment="1">
      <alignment vertical="center"/>
    </xf>
    <xf numFmtId="0" fontId="12" fillId="0" borderId="29" xfId="0" applyFont="1" applyBorder="1" applyAlignment="1">
      <alignment horizontal="center" vertical="center"/>
    </xf>
    <xf numFmtId="165" fontId="12" fillId="0" borderId="29" xfId="4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67" fontId="4" fillId="0" borderId="1" xfId="4" applyNumberFormat="1" applyFont="1" applyBorder="1" applyAlignment="1">
      <alignment horizontal="center" vertical="center"/>
    </xf>
    <xf numFmtId="167" fontId="4" fillId="0" borderId="1" xfId="4" applyNumberFormat="1" applyFont="1" applyBorder="1" applyAlignment="1">
      <alignment vertical="center"/>
    </xf>
    <xf numFmtId="165" fontId="12" fillId="6" borderId="30" xfId="4" applyFont="1" applyFill="1" applyBorder="1" applyAlignment="1">
      <alignment vertical="center"/>
    </xf>
    <xf numFmtId="165" fontId="12" fillId="0" borderId="0" xfId="4" applyFont="1" applyFill="1" applyBorder="1" applyAlignment="1">
      <alignment vertical="center"/>
    </xf>
    <xf numFmtId="167" fontId="4" fillId="0" borderId="1" xfId="4" applyNumberFormat="1" applyFont="1" applyFill="1" applyBorder="1" applyAlignment="1">
      <alignment vertical="center"/>
    </xf>
    <xf numFmtId="0" fontId="13" fillId="6" borderId="32" xfId="0" applyFont="1" applyFill="1" applyBorder="1" applyAlignment="1">
      <alignment horizontal="center" vertical="center"/>
    </xf>
    <xf numFmtId="0" fontId="13" fillId="6" borderId="33" xfId="0" applyFont="1" applyFill="1" applyBorder="1" applyAlignment="1">
      <alignment horizontal="center" vertical="center"/>
    </xf>
    <xf numFmtId="165" fontId="13" fillId="6" borderId="33" xfId="4" applyFont="1" applyFill="1" applyBorder="1" applyAlignment="1">
      <alignment horizontal="center" vertical="center"/>
    </xf>
    <xf numFmtId="165" fontId="4" fillId="0" borderId="0" xfId="4" applyFont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12" fillId="0" borderId="34" xfId="0" applyFont="1" applyBorder="1" applyAlignment="1">
      <alignment vertical="center"/>
    </xf>
    <xf numFmtId="0" fontId="12" fillId="0" borderId="34" xfId="0" applyFont="1" applyBorder="1" applyAlignment="1">
      <alignment horizontal="center" vertical="center"/>
    </xf>
    <xf numFmtId="165" fontId="12" fillId="0" borderId="34" xfId="4" applyFont="1" applyFill="1" applyBorder="1" applyAlignment="1">
      <alignment horizontal="center" vertical="center"/>
    </xf>
    <xf numFmtId="165" fontId="12" fillId="0" borderId="34" xfId="4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12" fillId="6" borderId="30" xfId="4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0" applyNumberFormat="1"/>
    <xf numFmtId="165" fontId="12" fillId="0" borderId="0" xfId="4" applyFont="1" applyBorder="1" applyAlignment="1">
      <alignment horizontal="center" vertical="center"/>
    </xf>
    <xf numFmtId="3" fontId="4" fillId="0" borderId="0" xfId="0" applyNumberFormat="1" applyFont="1" applyAlignment="1">
      <alignment vertical="center"/>
    </xf>
    <xf numFmtId="168" fontId="4" fillId="0" borderId="26" xfId="4" applyNumberFormat="1" applyFont="1" applyBorder="1" applyAlignment="1">
      <alignment horizontal="center" vertical="center"/>
    </xf>
    <xf numFmtId="168" fontId="4" fillId="0" borderId="1" xfId="4" applyNumberFormat="1" applyFont="1" applyBorder="1" applyAlignment="1">
      <alignment horizontal="center" vertical="center"/>
    </xf>
    <xf numFmtId="167" fontId="12" fillId="0" borderId="1" xfId="4" applyNumberFormat="1" applyFont="1" applyBorder="1" applyAlignment="1">
      <alignment horizontal="center" vertical="center"/>
    </xf>
    <xf numFmtId="168" fontId="12" fillId="0" borderId="1" xfId="4" applyNumberFormat="1" applyFont="1" applyBorder="1" applyAlignment="1">
      <alignment horizontal="center" vertical="center"/>
    </xf>
    <xf numFmtId="165" fontId="4" fillId="0" borderId="26" xfId="4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10" fontId="5" fillId="0" borderId="9" xfId="3" applyNumberFormat="1" applyFont="1" applyBorder="1" applyAlignment="1">
      <alignment horizontal="right"/>
    </xf>
    <xf numFmtId="10" fontId="5" fillId="0" borderId="1" xfId="3" applyNumberFormat="1" applyFont="1" applyBorder="1" applyAlignment="1">
      <alignment horizontal="right"/>
    </xf>
    <xf numFmtId="10" fontId="5" fillId="0" borderId="6" xfId="3" applyNumberFormat="1" applyFont="1" applyBorder="1" applyAlignment="1">
      <alignment horizontal="right"/>
    </xf>
    <xf numFmtId="0" fontId="5" fillId="0" borderId="9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0" fontId="5" fillId="0" borderId="6" xfId="0" applyNumberFormat="1" applyFont="1" applyBorder="1" applyAlignment="1">
      <alignment horizontal="center" vertical="center"/>
    </xf>
    <xf numFmtId="10" fontId="5" fillId="0" borderId="6" xfId="3" applyNumberFormat="1" applyFont="1" applyBorder="1"/>
    <xf numFmtId="0" fontId="5" fillId="0" borderId="9" xfId="0" applyFont="1" applyBorder="1" applyAlignment="1">
      <alignment horizontal="right"/>
    </xf>
    <xf numFmtId="0" fontId="5" fillId="0" borderId="6" xfId="0" applyFont="1" applyBorder="1"/>
    <xf numFmtId="0" fontId="5" fillId="0" borderId="10" xfId="0" applyFont="1" applyBorder="1" applyAlignment="1">
      <alignment horizontal="left" vertical="center"/>
    </xf>
    <xf numFmtId="0" fontId="5" fillId="0" borderId="9" xfId="0" applyFont="1" applyBorder="1"/>
    <xf numFmtId="0" fontId="5" fillId="0" borderId="1" xfId="0" applyFont="1" applyBorder="1" applyAlignment="1">
      <alignment horizontal="center"/>
    </xf>
    <xf numFmtId="0" fontId="5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10" fontId="5" fillId="0" borderId="37" xfId="0" applyNumberFormat="1" applyFont="1" applyBorder="1" applyAlignment="1">
      <alignment vertical="center"/>
    </xf>
    <xf numFmtId="0" fontId="5" fillId="0" borderId="11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/>
    </xf>
    <xf numFmtId="0" fontId="5" fillId="0" borderId="39" xfId="0" applyFont="1" applyBorder="1" applyAlignment="1">
      <alignment vertical="center"/>
    </xf>
    <xf numFmtId="0" fontId="6" fillId="2" borderId="31" xfId="0" applyFont="1" applyFill="1" applyBorder="1" applyAlignment="1">
      <alignment vertical="center" wrapText="1"/>
    </xf>
    <xf numFmtId="0" fontId="5" fillId="2" borderId="40" xfId="0" applyFont="1" applyFill="1" applyBorder="1" applyAlignment="1">
      <alignment vertical="center"/>
    </xf>
    <xf numFmtId="10" fontId="5" fillId="0" borderId="10" xfId="3" applyNumberFormat="1" applyFont="1" applyBorder="1" applyAlignment="1">
      <alignment horizontal="right"/>
    </xf>
    <xf numFmtId="10" fontId="5" fillId="0" borderId="13" xfId="3" applyNumberFormat="1" applyFont="1" applyBorder="1" applyAlignment="1">
      <alignment horizontal="right"/>
    </xf>
    <xf numFmtId="10" fontId="5" fillId="0" borderId="14" xfId="3" applyNumberFormat="1" applyFont="1" applyBorder="1" applyAlignment="1">
      <alignment horizontal="right"/>
    </xf>
    <xf numFmtId="0" fontId="17" fillId="0" borderId="0" xfId="0" applyFont="1" applyAlignment="1">
      <alignment horizontal="left" vertical="center" wrapText="1"/>
    </xf>
    <xf numFmtId="165" fontId="4" fillId="8" borderId="26" xfId="4" applyFont="1" applyFill="1" applyBorder="1" applyAlignment="1">
      <alignment horizontal="center" vertical="center"/>
    </xf>
    <xf numFmtId="3" fontId="0" fillId="9" borderId="0" xfId="0" applyNumberFormat="1" applyFill="1"/>
    <xf numFmtId="0" fontId="4" fillId="8" borderId="1" xfId="0" applyFont="1" applyFill="1" applyBorder="1" applyAlignment="1">
      <alignment horizontal="center" vertical="center"/>
    </xf>
    <xf numFmtId="3" fontId="4" fillId="8" borderId="1" xfId="0" applyNumberFormat="1" applyFont="1" applyFill="1" applyBorder="1" applyAlignment="1">
      <alignment horizontal="center" vertical="center"/>
    </xf>
    <xf numFmtId="0" fontId="0" fillId="9" borderId="0" xfId="0" applyFill="1"/>
    <xf numFmtId="165" fontId="4" fillId="8" borderId="1" xfId="4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4" fontId="0" fillId="9" borderId="0" xfId="0" applyNumberFormat="1" applyFill="1"/>
    <xf numFmtId="0" fontId="12" fillId="0" borderId="0" xfId="0" applyFont="1" applyAlignment="1">
      <alignment vertical="center"/>
    </xf>
    <xf numFmtId="0" fontId="12" fillId="0" borderId="31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165" fontId="4" fillId="0" borderId="40" xfId="4" applyFont="1" applyBorder="1" applyAlignment="1">
      <alignment vertical="center"/>
    </xf>
    <xf numFmtId="165" fontId="4" fillId="0" borderId="28" xfId="4" applyFont="1" applyBorder="1" applyAlignment="1">
      <alignment vertical="center"/>
    </xf>
    <xf numFmtId="43" fontId="0" fillId="0" borderId="0" xfId="1" applyFont="1" applyAlignment="1">
      <alignment horizontal="center"/>
    </xf>
    <xf numFmtId="9" fontId="12" fillId="9" borderId="28" xfId="3" applyFont="1" applyFill="1" applyBorder="1" applyAlignment="1">
      <alignment vertical="center"/>
    </xf>
    <xf numFmtId="165" fontId="4" fillId="9" borderId="26" xfId="4" applyFont="1" applyFill="1" applyBorder="1" applyAlignment="1">
      <alignment horizontal="center" vertical="center"/>
    </xf>
    <xf numFmtId="2" fontId="4" fillId="9" borderId="1" xfId="0" applyNumberFormat="1" applyFont="1" applyFill="1" applyBorder="1" applyAlignment="1">
      <alignment horizontal="center" vertical="center"/>
    </xf>
    <xf numFmtId="1" fontId="4" fillId="9" borderId="1" xfId="0" applyNumberFormat="1" applyFont="1" applyFill="1" applyBorder="1" applyAlignment="1">
      <alignment horizontal="center" vertical="center"/>
    </xf>
    <xf numFmtId="165" fontId="4" fillId="9" borderId="0" xfId="4" applyFont="1" applyFill="1" applyAlignment="1">
      <alignment vertical="center"/>
    </xf>
    <xf numFmtId="0" fontId="4" fillId="9" borderId="0" xfId="0" applyFont="1" applyFill="1" applyAlignment="1">
      <alignment vertical="center"/>
    </xf>
    <xf numFmtId="165" fontId="4" fillId="9" borderId="1" xfId="4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vertical="center"/>
    </xf>
    <xf numFmtId="4" fontId="4" fillId="9" borderId="26" xfId="0" applyNumberFormat="1" applyFont="1" applyFill="1" applyBorder="1" applyAlignment="1">
      <alignment horizontal="center" vertical="center"/>
    </xf>
    <xf numFmtId="168" fontId="4" fillId="9" borderId="26" xfId="4" applyNumberFormat="1" applyFont="1" applyFill="1" applyBorder="1" applyAlignment="1">
      <alignment horizontal="center" vertical="center"/>
    </xf>
    <xf numFmtId="4" fontId="4" fillId="9" borderId="1" xfId="0" applyNumberFormat="1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center" vertical="center"/>
    </xf>
    <xf numFmtId="10" fontId="5" fillId="9" borderId="2" xfId="0" applyNumberFormat="1" applyFont="1" applyFill="1" applyBorder="1" applyAlignment="1">
      <alignment horizontal="center" vertical="center"/>
    </xf>
    <xf numFmtId="10" fontId="5" fillId="9" borderId="6" xfId="0" applyNumberFormat="1" applyFont="1" applyFill="1" applyBorder="1" applyAlignment="1">
      <alignment horizontal="center" vertical="center"/>
    </xf>
    <xf numFmtId="10" fontId="5" fillId="9" borderId="14" xfId="0" applyNumberFormat="1" applyFont="1" applyFill="1" applyBorder="1" applyAlignment="1">
      <alignment horizontal="center" vertical="center"/>
    </xf>
    <xf numFmtId="10" fontId="5" fillId="9" borderId="1" xfId="3" applyNumberFormat="1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10" fontId="9" fillId="4" borderId="6" xfId="2" applyNumberFormat="1" applyFont="1" applyFill="1" applyBorder="1" applyAlignment="1">
      <alignment horizontal="right" vertical="center"/>
    </xf>
    <xf numFmtId="0" fontId="10" fillId="4" borderId="1" xfId="2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43" fontId="2" fillId="0" borderId="1" xfId="1" applyFont="1" applyBorder="1" applyAlignment="1"/>
    <xf numFmtId="43" fontId="0" fillId="0" borderId="1" xfId="1" applyFont="1" applyBorder="1" applyAlignment="1"/>
    <xf numFmtId="165" fontId="12" fillId="3" borderId="31" xfId="4" applyFont="1" applyFill="1" applyBorder="1" applyAlignment="1">
      <alignment vertical="center"/>
    </xf>
    <xf numFmtId="0" fontId="2" fillId="3" borderId="31" xfId="0" applyFont="1" applyFill="1" applyBorder="1"/>
    <xf numFmtId="0" fontId="2" fillId="3" borderId="40" xfId="0" applyFont="1" applyFill="1" applyBorder="1"/>
    <xf numFmtId="0" fontId="0" fillId="3" borderId="40" xfId="0" applyFill="1" applyBorder="1"/>
    <xf numFmtId="0" fontId="2" fillId="3" borderId="30" xfId="0" applyFont="1" applyFill="1" applyBorder="1"/>
    <xf numFmtId="165" fontId="2" fillId="3" borderId="30" xfId="0" applyNumberFormat="1" applyFont="1" applyFill="1" applyBorder="1"/>
    <xf numFmtId="0" fontId="19" fillId="0" borderId="0" xfId="0" applyFont="1" applyAlignment="1">
      <alignment horizontal="left"/>
    </xf>
    <xf numFmtId="165" fontId="12" fillId="0" borderId="30" xfId="4" applyFont="1" applyBorder="1" applyAlignment="1">
      <alignment vertical="center"/>
    </xf>
    <xf numFmtId="9" fontId="2" fillId="0" borderId="30" xfId="0" applyNumberFormat="1" applyFont="1" applyBorder="1"/>
    <xf numFmtId="165" fontId="12" fillId="0" borderId="0" xfId="4" applyFont="1" applyBorder="1" applyAlignment="1">
      <alignment vertical="center"/>
    </xf>
    <xf numFmtId="9" fontId="2" fillId="0" borderId="0" xfId="0" applyNumberFormat="1" applyFont="1"/>
    <xf numFmtId="0" fontId="12" fillId="3" borderId="30" xfId="0" applyFont="1" applyFill="1" applyBorder="1" applyAlignment="1">
      <alignment horizontal="center" vertical="center"/>
    </xf>
    <xf numFmtId="10" fontId="6" fillId="2" borderId="30" xfId="0" applyNumberFormat="1" applyFont="1" applyFill="1" applyBorder="1" applyAlignment="1">
      <alignment horizontal="center" vertical="center" wrapText="1"/>
    </xf>
    <xf numFmtId="0" fontId="5" fillId="0" borderId="4" xfId="0" applyFont="1" applyBorder="1"/>
    <xf numFmtId="0" fontId="8" fillId="9" borderId="6" xfId="0" applyFont="1" applyFill="1" applyBorder="1"/>
    <xf numFmtId="0" fontId="5" fillId="9" borderId="6" xfId="0" applyFont="1" applyFill="1" applyBorder="1"/>
    <xf numFmtId="0" fontId="5" fillId="9" borderId="19" xfId="0" applyFont="1" applyFill="1" applyBorder="1"/>
    <xf numFmtId="0" fontId="5" fillId="9" borderId="21" xfId="0" applyFont="1" applyFill="1" applyBorder="1"/>
    <xf numFmtId="10" fontId="5" fillId="0" borderId="6" xfId="2" applyNumberFormat="1" applyFont="1" applyBorder="1" applyAlignment="1">
      <alignment horizontal="right" vertical="center"/>
    </xf>
    <xf numFmtId="43" fontId="12" fillId="0" borderId="41" xfId="1" applyFont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165" fontId="12" fillId="0" borderId="21" xfId="4" applyFont="1" applyBorder="1" applyAlignment="1">
      <alignment horizontal="center" vertical="center"/>
    </xf>
    <xf numFmtId="0" fontId="2" fillId="0" borderId="9" xfId="0" applyFont="1" applyBorder="1"/>
    <xf numFmtId="10" fontId="12" fillId="0" borderId="6" xfId="3" applyNumberFormat="1" applyFont="1" applyBorder="1" applyAlignment="1">
      <alignment vertical="center"/>
    </xf>
    <xf numFmtId="0" fontId="0" fillId="0" borderId="9" xfId="0" applyBorder="1"/>
    <xf numFmtId="10" fontId="0" fillId="0" borderId="6" xfId="3" applyNumberFormat="1" applyFont="1" applyBorder="1" applyAlignment="1">
      <alignment vertical="center"/>
    </xf>
    <xf numFmtId="10" fontId="2" fillId="0" borderId="6" xfId="3" applyNumberFormat="1" applyFont="1" applyBorder="1" applyAlignment="1">
      <alignment vertical="center"/>
    </xf>
    <xf numFmtId="10" fontId="4" fillId="0" borderId="6" xfId="3" applyNumberFormat="1" applyFont="1" applyBorder="1" applyAlignment="1">
      <alignment vertical="center"/>
    </xf>
    <xf numFmtId="0" fontId="2" fillId="0" borderId="10" xfId="0" applyFont="1" applyBorder="1"/>
    <xf numFmtId="10" fontId="12" fillId="0" borderId="14" xfId="3" applyNumberFormat="1" applyFont="1" applyBorder="1" applyAlignment="1">
      <alignment vertical="center"/>
    </xf>
    <xf numFmtId="165" fontId="12" fillId="0" borderId="35" xfId="4" applyFont="1" applyBorder="1" applyAlignment="1">
      <alignment vertical="center"/>
    </xf>
    <xf numFmtId="0" fontId="0" fillId="0" borderId="36" xfId="0" applyBorder="1"/>
    <xf numFmtId="9" fontId="2" fillId="0" borderId="37" xfId="0" applyNumberFormat="1" applyFont="1" applyBorder="1"/>
    <xf numFmtId="0" fontId="21" fillId="0" borderId="0" xfId="5" applyFont="1" applyAlignment="1" applyProtection="1">
      <alignment horizontal="left" vertical="center"/>
    </xf>
    <xf numFmtId="0" fontId="2" fillId="0" borderId="0" xfId="0" applyFont="1"/>
    <xf numFmtId="43" fontId="0" fillId="9" borderId="0" xfId="1" applyFont="1" applyFill="1" applyAlignment="1">
      <alignment horizontal="center"/>
    </xf>
    <xf numFmtId="43" fontId="2" fillId="3" borderId="30" xfId="1" applyFont="1" applyFill="1" applyBorder="1"/>
    <xf numFmtId="165" fontId="12" fillId="8" borderId="30" xfId="4" applyFont="1" applyFill="1" applyBorder="1" applyAlignment="1">
      <alignment horizontal="center" vertical="center"/>
    </xf>
    <xf numFmtId="165" fontId="12" fillId="8" borderId="30" xfId="4" applyFont="1" applyFill="1" applyBorder="1" applyAlignment="1">
      <alignment vertical="center"/>
    </xf>
    <xf numFmtId="43" fontId="2" fillId="8" borderId="1" xfId="1" applyFont="1" applyFill="1" applyBorder="1" applyAlignment="1"/>
    <xf numFmtId="43" fontId="2" fillId="8" borderId="13" xfId="1" applyFont="1" applyFill="1" applyBorder="1" applyAlignment="1"/>
    <xf numFmtId="164" fontId="0" fillId="8" borderId="0" xfId="1" applyNumberFormat="1" applyFont="1" applyFill="1"/>
    <xf numFmtId="0" fontId="7" fillId="5" borderId="5" xfId="2" applyFont="1" applyFill="1" applyBorder="1" applyAlignment="1">
      <alignment horizontal="center"/>
    </xf>
    <xf numFmtId="0" fontId="7" fillId="5" borderId="17" xfId="2" applyFont="1" applyFill="1" applyBorder="1" applyAlignment="1">
      <alignment horizontal="center"/>
    </xf>
    <xf numFmtId="0" fontId="7" fillId="3" borderId="7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/>
    </xf>
    <xf numFmtId="0" fontId="18" fillId="3" borderId="40" xfId="0" applyFont="1" applyFill="1" applyBorder="1" applyAlignment="1">
      <alignment horizontal="center"/>
    </xf>
    <xf numFmtId="0" fontId="18" fillId="3" borderId="28" xfId="0" applyFont="1" applyFill="1" applyBorder="1" applyAlignment="1">
      <alignment horizontal="center"/>
    </xf>
    <xf numFmtId="165" fontId="7" fillId="3" borderId="31" xfId="4" applyFont="1" applyFill="1" applyBorder="1" applyAlignment="1">
      <alignment horizontal="center" vertical="center"/>
    </xf>
    <xf numFmtId="165" fontId="20" fillId="3" borderId="40" xfId="4" applyFont="1" applyFill="1" applyBorder="1" applyAlignment="1">
      <alignment horizontal="center" vertical="center"/>
    </xf>
    <xf numFmtId="165" fontId="20" fillId="3" borderId="28" xfId="4" applyFont="1" applyFill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/>
    </xf>
    <xf numFmtId="0" fontId="7" fillId="5" borderId="40" xfId="0" applyFont="1" applyFill="1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2" fillId="3" borderId="40" xfId="0" applyFont="1" applyFill="1" applyBorder="1" applyAlignment="1">
      <alignment horizontal="center"/>
    </xf>
    <xf numFmtId="0" fontId="22" fillId="3" borderId="28" xfId="0" applyFont="1" applyFill="1" applyBorder="1" applyAlignment="1">
      <alignment horizontal="center"/>
    </xf>
  </cellXfs>
  <cellStyles count="6">
    <cellStyle name="Hiperlink" xfId="5" builtinId="8"/>
    <cellStyle name="Normal" xfId="0" builtinId="0"/>
    <cellStyle name="Normal 2" xfId="2" xr:uid="{00000000-0005-0000-0000-000002000000}"/>
    <cellStyle name="Porcentagem 2" xfId="3" xr:uid="{00000000-0005-0000-0000-000003000000}"/>
    <cellStyle name="Vírgula" xfId="1" builtinId="3"/>
    <cellStyle name="Vírgula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OPARDO15\Lost%20Files\TRASNPORTE%20ESCOLAR%202022.xlsx\PLANILHA%20NOVA%20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GED"/>
      <sheetName val="Encargos"/>
      <sheetName val="Mão de obra"/>
      <sheetName val="Remuneração de capital"/>
      <sheetName val="Impostos e manutenção"/>
      <sheetName val="BDI"/>
      <sheetName val="Composição de custos"/>
    </sheetNames>
    <sheetDataSet>
      <sheetData sheetId="0"/>
      <sheetData sheetId="1">
        <row r="14">
          <cell r="C14">
            <v>8.3299999999999999E-2</v>
          </cell>
        </row>
        <row r="15">
          <cell r="C15">
            <v>5.9999999999999995E-4</v>
          </cell>
        </row>
        <row r="16">
          <cell r="C16">
            <v>8.2000000000000007E-3</v>
          </cell>
        </row>
        <row r="17">
          <cell r="C17">
            <v>1E-4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29"/>
  <sheetViews>
    <sheetView workbookViewId="0">
      <selection activeCell="B2" sqref="B2"/>
    </sheetView>
  </sheetViews>
  <sheetFormatPr defaultRowHeight="15" x14ac:dyDescent="0.25"/>
  <cols>
    <col min="2" max="2" width="73.5703125" bestFit="1" customWidth="1"/>
    <col min="3" max="3" width="17.85546875" customWidth="1"/>
  </cols>
  <sheetData>
    <row r="1" spans="2:3" ht="18" x14ac:dyDescent="0.25">
      <c r="B1" s="194" t="s">
        <v>202</v>
      </c>
      <c r="C1" s="195"/>
    </row>
    <row r="2" spans="2:3" x14ac:dyDescent="0.25">
      <c r="B2" s="4" t="s">
        <v>222</v>
      </c>
      <c r="C2" s="10"/>
    </row>
    <row r="3" spans="2:3" x14ac:dyDescent="0.25">
      <c r="B3" s="5" t="s">
        <v>5</v>
      </c>
      <c r="C3" s="166">
        <v>808</v>
      </c>
    </row>
    <row r="4" spans="2:3" x14ac:dyDescent="0.25">
      <c r="B4" s="6" t="s">
        <v>6</v>
      </c>
      <c r="C4" s="166">
        <v>765</v>
      </c>
    </row>
    <row r="5" spans="2:3" x14ac:dyDescent="0.25">
      <c r="B5" s="11" t="s">
        <v>7</v>
      </c>
      <c r="C5" s="167">
        <v>2</v>
      </c>
    </row>
    <row r="6" spans="2:3" x14ac:dyDescent="0.25">
      <c r="B6" s="11" t="s">
        <v>8</v>
      </c>
      <c r="C6" s="167">
        <v>504</v>
      </c>
    </row>
    <row r="7" spans="2:3" x14ac:dyDescent="0.25">
      <c r="B7" s="11" t="s">
        <v>9</v>
      </c>
      <c r="C7" s="167">
        <v>130</v>
      </c>
    </row>
    <row r="8" spans="2:3" x14ac:dyDescent="0.25">
      <c r="B8" s="11" t="s">
        <v>10</v>
      </c>
      <c r="C8" s="167">
        <v>6</v>
      </c>
    </row>
    <row r="9" spans="2:3" x14ac:dyDescent="0.25">
      <c r="B9" s="11" t="s">
        <v>11</v>
      </c>
      <c r="C9" s="167">
        <v>116</v>
      </c>
    </row>
    <row r="10" spans="2:3" x14ac:dyDescent="0.25">
      <c r="B10" s="11" t="s">
        <v>12</v>
      </c>
      <c r="C10" s="167">
        <v>1</v>
      </c>
    </row>
    <row r="11" spans="2:3" x14ac:dyDescent="0.25">
      <c r="B11" s="11" t="s">
        <v>13</v>
      </c>
      <c r="C11" s="167">
        <v>3</v>
      </c>
    </row>
    <row r="12" spans="2:3" x14ac:dyDescent="0.25">
      <c r="B12" s="12" t="s">
        <v>14</v>
      </c>
      <c r="C12" s="168">
        <v>0</v>
      </c>
    </row>
    <row r="13" spans="2:3" x14ac:dyDescent="0.25">
      <c r="B13" s="22" t="s">
        <v>15</v>
      </c>
      <c r="C13" s="168">
        <v>0</v>
      </c>
    </row>
    <row r="14" spans="2:3" x14ac:dyDescent="0.25">
      <c r="B14" s="4" t="s">
        <v>16</v>
      </c>
      <c r="C14" s="165"/>
    </row>
    <row r="15" spans="2:3" x14ac:dyDescent="0.25">
      <c r="B15" s="13" t="s">
        <v>28</v>
      </c>
      <c r="C15" s="169">
        <v>0</v>
      </c>
    </row>
    <row r="16" spans="2:3" x14ac:dyDescent="0.25">
      <c r="B16" s="11" t="s">
        <v>29</v>
      </c>
      <c r="C16" s="167">
        <v>43</v>
      </c>
    </row>
    <row r="17" spans="2:3" x14ac:dyDescent="0.25">
      <c r="B17" s="11" t="s">
        <v>30</v>
      </c>
      <c r="C17" s="17">
        <f>C3-C4</f>
        <v>43</v>
      </c>
    </row>
    <row r="18" spans="2:3" x14ac:dyDescent="0.25">
      <c r="B18" s="14"/>
      <c r="C18" s="15"/>
    </row>
    <row r="19" spans="2:3" x14ac:dyDescent="0.25">
      <c r="B19" s="5" t="s">
        <v>17</v>
      </c>
      <c r="C19" s="16">
        <f>MEDIAN(C15,C16)</f>
        <v>21.5</v>
      </c>
    </row>
    <row r="20" spans="2:3" x14ac:dyDescent="0.25">
      <c r="B20" s="6" t="s">
        <v>18</v>
      </c>
      <c r="C20" s="20">
        <f>C6/C19</f>
        <v>23.441860465116278</v>
      </c>
    </row>
    <row r="21" spans="2:3" x14ac:dyDescent="0.25">
      <c r="B21" s="6" t="s">
        <v>19</v>
      </c>
      <c r="C21" s="20">
        <f>MEDIAN(C3,C4)/C19</f>
        <v>36.581395348837212</v>
      </c>
    </row>
    <row r="22" spans="2:3" x14ac:dyDescent="0.25">
      <c r="B22" s="6" t="s">
        <v>20</v>
      </c>
      <c r="C22" s="18">
        <f>12/C21</f>
        <v>0.32803560076287347</v>
      </c>
    </row>
    <row r="23" spans="2:3" x14ac:dyDescent="0.25">
      <c r="B23" s="6" t="s">
        <v>21</v>
      </c>
      <c r="C23" s="8">
        <v>360</v>
      </c>
    </row>
    <row r="24" spans="2:3" x14ac:dyDescent="0.25">
      <c r="B24" s="6" t="s">
        <v>22</v>
      </c>
      <c r="C24" s="8">
        <v>10</v>
      </c>
    </row>
    <row r="25" spans="2:3" x14ac:dyDescent="0.25">
      <c r="B25" s="5" t="s">
        <v>23</v>
      </c>
      <c r="C25" s="7">
        <v>30</v>
      </c>
    </row>
    <row r="26" spans="2:3" x14ac:dyDescent="0.25">
      <c r="B26" s="5" t="s">
        <v>24</v>
      </c>
      <c r="C26" s="7">
        <v>30</v>
      </c>
    </row>
    <row r="27" spans="2:3" x14ac:dyDescent="0.25">
      <c r="B27" s="5" t="s">
        <v>25</v>
      </c>
      <c r="C27" s="7">
        <v>36</v>
      </c>
    </row>
    <row r="28" spans="2:3" x14ac:dyDescent="0.25">
      <c r="B28" s="6" t="s">
        <v>26</v>
      </c>
      <c r="C28" s="19">
        <v>0.08</v>
      </c>
    </row>
    <row r="29" spans="2:3" ht="15.75" thickBot="1" x14ac:dyDescent="0.3">
      <c r="B29" s="9" t="s">
        <v>27</v>
      </c>
      <c r="C29" s="21">
        <v>0.5</v>
      </c>
    </row>
  </sheetData>
  <mergeCells count="1">
    <mergeCell ref="B1:C1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1"/>
  <sheetViews>
    <sheetView topLeftCell="A4" workbookViewId="0">
      <selection activeCell="F30" sqref="F30"/>
    </sheetView>
  </sheetViews>
  <sheetFormatPr defaultRowHeight="15" x14ac:dyDescent="0.25"/>
  <cols>
    <col min="1" max="1" width="7.5703125" bestFit="1" customWidth="1"/>
    <col min="2" max="2" width="39.5703125" bestFit="1" customWidth="1"/>
    <col min="3" max="3" width="13.7109375" customWidth="1"/>
  </cols>
  <sheetData>
    <row r="1" spans="1:3" ht="18" x14ac:dyDescent="0.25">
      <c r="A1" s="196" t="s">
        <v>31</v>
      </c>
      <c r="B1" s="197"/>
      <c r="C1" s="198"/>
    </row>
    <row r="2" spans="1:3" x14ac:dyDescent="0.25">
      <c r="A2" s="23" t="s">
        <v>32</v>
      </c>
      <c r="B2" s="24" t="s">
        <v>33</v>
      </c>
      <c r="C2" s="25" t="s">
        <v>34</v>
      </c>
    </row>
    <row r="3" spans="1:3" x14ac:dyDescent="0.25">
      <c r="A3" s="23" t="s">
        <v>35</v>
      </c>
      <c r="B3" s="24" t="s">
        <v>36</v>
      </c>
      <c r="C3" s="26">
        <v>0.2</v>
      </c>
    </row>
    <row r="4" spans="1:3" x14ac:dyDescent="0.25">
      <c r="A4" s="23" t="s">
        <v>37</v>
      </c>
      <c r="B4" s="24" t="s">
        <v>38</v>
      </c>
      <c r="C4" s="26">
        <v>0</v>
      </c>
    </row>
    <row r="5" spans="1:3" x14ac:dyDescent="0.25">
      <c r="A5" s="23" t="s">
        <v>39</v>
      </c>
      <c r="B5" s="24" t="s">
        <v>40</v>
      </c>
      <c r="C5" s="26">
        <v>0</v>
      </c>
    </row>
    <row r="6" spans="1:3" x14ac:dyDescent="0.25">
      <c r="A6" s="23" t="s">
        <v>41</v>
      </c>
      <c r="B6" s="24" t="s">
        <v>42</v>
      </c>
      <c r="C6" s="26">
        <v>0</v>
      </c>
    </row>
    <row r="7" spans="1:3" x14ac:dyDescent="0.25">
      <c r="A7" s="23" t="s">
        <v>43</v>
      </c>
      <c r="B7" s="24" t="s">
        <v>44</v>
      </c>
      <c r="C7" s="26">
        <v>0</v>
      </c>
    </row>
    <row r="8" spans="1:3" x14ac:dyDescent="0.25">
      <c r="A8" s="23" t="s">
        <v>45</v>
      </c>
      <c r="B8" s="24" t="s">
        <v>46</v>
      </c>
      <c r="C8" s="26">
        <v>0</v>
      </c>
    </row>
    <row r="9" spans="1:3" x14ac:dyDescent="0.25">
      <c r="A9" s="23" t="s">
        <v>47</v>
      </c>
      <c r="B9" s="24" t="s">
        <v>48</v>
      </c>
      <c r="C9" s="26">
        <v>0.03</v>
      </c>
    </row>
    <row r="10" spans="1:3" x14ac:dyDescent="0.25">
      <c r="A10" s="23" t="s">
        <v>49</v>
      </c>
      <c r="B10" s="24" t="s">
        <v>26</v>
      </c>
      <c r="C10" s="26">
        <v>0.08</v>
      </c>
    </row>
    <row r="11" spans="1:3" x14ac:dyDescent="0.25">
      <c r="A11" s="23" t="s">
        <v>50</v>
      </c>
      <c r="B11" s="148" t="s">
        <v>51</v>
      </c>
      <c r="C11" s="27">
        <f>SUM(C3:C10)</f>
        <v>0.31</v>
      </c>
    </row>
    <row r="12" spans="1:3" x14ac:dyDescent="0.25">
      <c r="A12" s="28"/>
      <c r="B12" s="29"/>
      <c r="C12" s="30"/>
    </row>
    <row r="13" spans="1:3" x14ac:dyDescent="0.25">
      <c r="A13" s="23" t="s">
        <v>52</v>
      </c>
      <c r="B13" s="31" t="s">
        <v>53</v>
      </c>
      <c r="C13" s="170">
        <v>0</v>
      </c>
    </row>
    <row r="14" spans="1:3" x14ac:dyDescent="0.25">
      <c r="A14" s="23" t="s">
        <v>54</v>
      </c>
      <c r="B14" s="31" t="s">
        <v>55</v>
      </c>
      <c r="C14" s="26">
        <f>[1]Encargos!C14</f>
        <v>8.3299999999999999E-2</v>
      </c>
    </row>
    <row r="15" spans="1:3" x14ac:dyDescent="0.25">
      <c r="A15" s="23" t="s">
        <v>56</v>
      </c>
      <c r="B15" s="31" t="s">
        <v>57</v>
      </c>
      <c r="C15" s="147">
        <f>[1]Encargos!C15</f>
        <v>5.9999999999999995E-4</v>
      </c>
    </row>
    <row r="16" spans="1:3" x14ac:dyDescent="0.25">
      <c r="A16" s="23" t="s">
        <v>58</v>
      </c>
      <c r="B16" s="31" t="s">
        <v>59</v>
      </c>
      <c r="C16" s="147">
        <f>[1]Encargos!C16</f>
        <v>8.2000000000000007E-3</v>
      </c>
    </row>
    <row r="17" spans="1:3" x14ac:dyDescent="0.25">
      <c r="A17" s="23" t="s">
        <v>60</v>
      </c>
      <c r="B17" s="31" t="s">
        <v>61</v>
      </c>
      <c r="C17" s="147">
        <f>[1]Encargos!C17</f>
        <v>1E-4</v>
      </c>
    </row>
    <row r="18" spans="1:3" x14ac:dyDescent="0.25">
      <c r="A18" s="23" t="s">
        <v>62</v>
      </c>
      <c r="B18" s="31" t="s">
        <v>63</v>
      </c>
      <c r="C18" s="147">
        <v>0</v>
      </c>
    </row>
    <row r="19" spans="1:3" x14ac:dyDescent="0.25">
      <c r="A19" s="23" t="s">
        <v>64</v>
      </c>
      <c r="B19" s="148" t="s">
        <v>65</v>
      </c>
      <c r="C19" s="27">
        <f>SUM(C13:C18)</f>
        <v>9.2200000000000004E-2</v>
      </c>
    </row>
    <row r="20" spans="1:3" x14ac:dyDescent="0.25">
      <c r="A20" s="28"/>
      <c r="B20" s="29"/>
      <c r="C20" s="30"/>
    </row>
    <row r="21" spans="1:3" x14ac:dyDescent="0.25">
      <c r="A21" s="23" t="s">
        <v>66</v>
      </c>
      <c r="B21" s="24" t="s">
        <v>67</v>
      </c>
      <c r="C21" s="26">
        <v>0</v>
      </c>
    </row>
    <row r="22" spans="1:3" x14ac:dyDescent="0.25">
      <c r="A22" s="23" t="s">
        <v>68</v>
      </c>
      <c r="B22" s="24" t="s">
        <v>69</v>
      </c>
      <c r="C22" s="26">
        <v>0</v>
      </c>
    </row>
    <row r="23" spans="1:3" x14ac:dyDescent="0.25">
      <c r="A23" s="23" t="s">
        <v>70</v>
      </c>
      <c r="B23" s="24" t="s">
        <v>71</v>
      </c>
      <c r="C23" s="26">
        <v>0</v>
      </c>
    </row>
    <row r="24" spans="1:3" x14ac:dyDescent="0.25">
      <c r="A24" s="23" t="s">
        <v>72</v>
      </c>
      <c r="B24" s="24" t="s">
        <v>73</v>
      </c>
      <c r="C24" s="26">
        <v>0</v>
      </c>
    </row>
    <row r="25" spans="1:3" x14ac:dyDescent="0.25">
      <c r="A25" s="23" t="s">
        <v>74</v>
      </c>
      <c r="B25" s="24" t="s">
        <v>75</v>
      </c>
      <c r="C25" s="26">
        <v>0</v>
      </c>
    </row>
    <row r="26" spans="1:3" x14ac:dyDescent="0.25">
      <c r="A26" s="23" t="s">
        <v>76</v>
      </c>
      <c r="B26" s="148" t="s">
        <v>77</v>
      </c>
      <c r="C26" s="27">
        <f>SUM(C21:C25)</f>
        <v>0</v>
      </c>
    </row>
    <row r="27" spans="1:3" x14ac:dyDescent="0.25">
      <c r="A27" s="28"/>
      <c r="B27" s="29"/>
      <c r="C27" s="30"/>
    </row>
    <row r="28" spans="1:3" x14ac:dyDescent="0.25">
      <c r="A28" s="23" t="s">
        <v>78</v>
      </c>
      <c r="B28" s="24" t="s">
        <v>79</v>
      </c>
      <c r="C28" s="26">
        <f>ROUND(C11*C19,4)</f>
        <v>2.86E-2</v>
      </c>
    </row>
    <row r="29" spans="1:3" ht="28.5" x14ac:dyDescent="0.25">
      <c r="A29" s="23" t="s">
        <v>80</v>
      </c>
      <c r="B29" s="32" t="s">
        <v>81</v>
      </c>
      <c r="C29" s="26">
        <f>ROUND((C21*C10),4)</f>
        <v>0</v>
      </c>
    </row>
    <row r="30" spans="1:3" x14ac:dyDescent="0.25">
      <c r="A30" s="23" t="s">
        <v>82</v>
      </c>
      <c r="B30" s="148" t="s">
        <v>83</v>
      </c>
      <c r="C30" s="27">
        <f>SUM(C28:C29)</f>
        <v>2.86E-2</v>
      </c>
    </row>
    <row r="31" spans="1:3" ht="15.75" thickBot="1" x14ac:dyDescent="0.3">
      <c r="A31" s="33"/>
      <c r="B31" s="34" t="s">
        <v>84</v>
      </c>
      <c r="C31" s="35">
        <f>C30+C26+C19+C11</f>
        <v>0.43080000000000002</v>
      </c>
    </row>
  </sheetData>
  <mergeCells count="1">
    <mergeCell ref="A1:C1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9"/>
  <sheetViews>
    <sheetView topLeftCell="A58" workbookViewId="0">
      <selection activeCell="C44" sqref="C44"/>
    </sheetView>
  </sheetViews>
  <sheetFormatPr defaultRowHeight="15" x14ac:dyDescent="0.25"/>
  <cols>
    <col min="1" max="1" width="44.85546875" bestFit="1" customWidth="1"/>
    <col min="2" max="2" width="16.140625" bestFit="1" customWidth="1"/>
    <col min="3" max="3" width="10.28515625" bestFit="1" customWidth="1"/>
    <col min="4" max="4" width="17.7109375" bestFit="1" customWidth="1"/>
    <col min="5" max="5" width="12.42578125" customWidth="1"/>
    <col min="6" max="6" width="18" customWidth="1"/>
  </cols>
  <sheetData>
    <row r="1" spans="1:6" ht="15.75" thickBot="1" x14ac:dyDescent="0.3">
      <c r="A1" s="152" t="s">
        <v>118</v>
      </c>
      <c r="B1" s="129">
        <v>1</v>
      </c>
    </row>
    <row r="2" spans="1:6" ht="15.75" thickBot="1" x14ac:dyDescent="0.3"/>
    <row r="3" spans="1:6" ht="18.75" thickBot="1" x14ac:dyDescent="0.3">
      <c r="A3" s="199" t="s">
        <v>203</v>
      </c>
      <c r="B3" s="200"/>
      <c r="C3" s="200"/>
      <c r="D3" s="200"/>
      <c r="E3" s="200"/>
      <c r="F3" s="201"/>
    </row>
    <row r="4" spans="1:6" ht="15.75" thickBot="1" x14ac:dyDescent="0.3">
      <c r="A4" s="47" t="s">
        <v>204</v>
      </c>
      <c r="B4" s="47"/>
      <c r="C4" s="47"/>
      <c r="D4" s="43"/>
      <c r="E4" s="43"/>
      <c r="F4" s="43"/>
    </row>
    <row r="5" spans="1:6" ht="15.75" thickBot="1" x14ac:dyDescent="0.3">
      <c r="A5" s="36" t="s">
        <v>86</v>
      </c>
      <c r="B5" s="37" t="s">
        <v>87</v>
      </c>
      <c r="C5" s="37" t="s">
        <v>88</v>
      </c>
      <c r="D5" s="38" t="s">
        <v>89</v>
      </c>
      <c r="E5" s="38" t="s">
        <v>90</v>
      </c>
      <c r="F5" s="39" t="s">
        <v>91</v>
      </c>
    </row>
    <row r="6" spans="1:6" x14ac:dyDescent="0.25">
      <c r="A6" s="40" t="s">
        <v>109</v>
      </c>
      <c r="B6" s="41" t="s">
        <v>92</v>
      </c>
      <c r="C6" s="41">
        <v>1</v>
      </c>
      <c r="D6" s="130"/>
      <c r="E6" s="42">
        <f>C6*D6</f>
        <v>0</v>
      </c>
      <c r="F6" s="43"/>
    </row>
    <row r="7" spans="1:6" x14ac:dyDescent="0.25">
      <c r="A7" s="40" t="s">
        <v>110</v>
      </c>
      <c r="B7" s="41" t="s">
        <v>92</v>
      </c>
      <c r="C7" s="41">
        <v>1</v>
      </c>
      <c r="D7" s="130"/>
      <c r="E7" s="42"/>
      <c r="F7" s="43"/>
    </row>
    <row r="8" spans="1:6" x14ac:dyDescent="0.25">
      <c r="A8" s="44" t="s">
        <v>93</v>
      </c>
      <c r="B8" s="45" t="s">
        <v>94</v>
      </c>
      <c r="C8" s="131">
        <v>0</v>
      </c>
      <c r="D8" s="46"/>
      <c r="E8" s="46">
        <f>C8*D8</f>
        <v>0</v>
      </c>
      <c r="F8" s="43"/>
    </row>
    <row r="9" spans="1:6" x14ac:dyDescent="0.25">
      <c r="A9" s="44" t="s">
        <v>95</v>
      </c>
      <c r="B9" s="45" t="s">
        <v>94</v>
      </c>
      <c r="C9" s="131">
        <v>0</v>
      </c>
      <c r="D9" s="46">
        <f>D6/220*1.5</f>
        <v>0</v>
      </c>
      <c r="E9" s="46">
        <f>C9*D9</f>
        <v>0</v>
      </c>
      <c r="F9" s="43"/>
    </row>
    <row r="10" spans="1:6" x14ac:dyDescent="0.25">
      <c r="A10" s="44" t="s">
        <v>96</v>
      </c>
      <c r="B10" s="45" t="s">
        <v>1</v>
      </c>
      <c r="C10" s="47"/>
      <c r="D10" s="46">
        <f>63/302*(SUM(E8:E9))</f>
        <v>0</v>
      </c>
      <c r="E10" s="46">
        <f>D10</f>
        <v>0</v>
      </c>
      <c r="F10" s="43"/>
    </row>
    <row r="11" spans="1:6" x14ac:dyDescent="0.25">
      <c r="A11" s="44" t="s">
        <v>111</v>
      </c>
      <c r="B11" s="45"/>
      <c r="C11" s="132">
        <v>2373</v>
      </c>
      <c r="D11" s="46"/>
      <c r="E11" s="46"/>
      <c r="F11" s="43"/>
    </row>
    <row r="12" spans="1:6" x14ac:dyDescent="0.25">
      <c r="A12" s="44" t="s">
        <v>97</v>
      </c>
      <c r="B12" s="45" t="s">
        <v>98</v>
      </c>
      <c r="C12" s="121">
        <v>0</v>
      </c>
      <c r="D12" s="48">
        <f>IF(C11=2,SUM(E6:E10),IF(C11=1,(SUM(E6:E10))*D7/D6,0))</f>
        <v>0</v>
      </c>
      <c r="E12" s="46">
        <f>C12*D12/100</f>
        <v>0</v>
      </c>
      <c r="F12" s="43"/>
    </row>
    <row r="13" spans="1:6" x14ac:dyDescent="0.25">
      <c r="A13" s="57" t="s">
        <v>99</v>
      </c>
      <c r="B13" s="50"/>
      <c r="C13" s="50"/>
      <c r="D13" s="51"/>
      <c r="E13" s="58">
        <f>SUM(E6:E12)</f>
        <v>0</v>
      </c>
      <c r="F13" s="59"/>
    </row>
    <row r="14" spans="1:6" x14ac:dyDescent="0.25">
      <c r="A14" s="44" t="s">
        <v>100</v>
      </c>
      <c r="B14" s="45" t="s">
        <v>98</v>
      </c>
      <c r="C14" s="53">
        <f>Encargos!$C$31*100</f>
        <v>43.08</v>
      </c>
      <c r="D14" s="46">
        <f>E13</f>
        <v>0</v>
      </c>
      <c r="E14" s="46">
        <f>D14*C14/100</f>
        <v>0</v>
      </c>
      <c r="F14" s="43"/>
    </row>
    <row r="15" spans="1:6" x14ac:dyDescent="0.25">
      <c r="A15" s="57" t="s">
        <v>112</v>
      </c>
      <c r="B15" s="60"/>
      <c r="C15" s="60"/>
      <c r="D15" s="61"/>
      <c r="E15" s="58">
        <f>E13+E14</f>
        <v>0</v>
      </c>
      <c r="F15" s="59"/>
    </row>
    <row r="16" spans="1:6" ht="15.75" thickBot="1" x14ac:dyDescent="0.3">
      <c r="A16" s="44" t="s">
        <v>101</v>
      </c>
      <c r="B16" s="45" t="s">
        <v>102</v>
      </c>
      <c r="C16" s="121">
        <v>1</v>
      </c>
      <c r="D16" s="46">
        <f>E15</f>
        <v>0</v>
      </c>
      <c r="E16" s="46">
        <f>C16*D16</f>
        <v>0</v>
      </c>
      <c r="F16" s="43"/>
    </row>
    <row r="17" spans="1:6" ht="15.75" thickBot="1" x14ac:dyDescent="0.3">
      <c r="A17" s="47"/>
      <c r="B17" s="47"/>
      <c r="C17" s="47"/>
      <c r="D17" s="54" t="s">
        <v>103</v>
      </c>
      <c r="E17" s="55">
        <f>$B$1</f>
        <v>1</v>
      </c>
      <c r="F17" s="56">
        <f>E16*E17</f>
        <v>0</v>
      </c>
    </row>
    <row r="18" spans="1:6" x14ac:dyDescent="0.25">
      <c r="A18" s="47"/>
      <c r="B18" s="47"/>
      <c r="C18" s="47"/>
      <c r="D18" s="43"/>
      <c r="E18" s="43"/>
      <c r="F18" s="43"/>
    </row>
    <row r="19" spans="1:6" ht="15.75" thickBot="1" x14ac:dyDescent="0.3">
      <c r="A19" s="47" t="s">
        <v>205</v>
      </c>
      <c r="B19" s="47"/>
      <c r="C19" s="47"/>
      <c r="D19" s="43"/>
      <c r="E19" s="43"/>
      <c r="F19" s="43"/>
    </row>
    <row r="20" spans="1:6" ht="15.75" thickBot="1" x14ac:dyDescent="0.3">
      <c r="A20" s="36" t="s">
        <v>86</v>
      </c>
      <c r="B20" s="37" t="s">
        <v>87</v>
      </c>
      <c r="C20" s="37" t="s">
        <v>88</v>
      </c>
      <c r="D20" s="38" t="s">
        <v>89</v>
      </c>
      <c r="E20" s="38" t="s">
        <v>90</v>
      </c>
      <c r="F20" s="39" t="s">
        <v>91</v>
      </c>
    </row>
    <row r="21" spans="1:6" x14ac:dyDescent="0.25">
      <c r="A21" s="40" t="s">
        <v>109</v>
      </c>
      <c r="B21" s="41" t="s">
        <v>92</v>
      </c>
      <c r="C21" s="41">
        <v>1</v>
      </c>
      <c r="D21" s="42">
        <f>D6</f>
        <v>0</v>
      </c>
      <c r="E21" s="42">
        <f>C21*D21</f>
        <v>0</v>
      </c>
      <c r="F21" s="43"/>
    </row>
    <row r="22" spans="1:6" x14ac:dyDescent="0.25">
      <c r="A22" s="40" t="s">
        <v>110</v>
      </c>
      <c r="B22" s="41" t="s">
        <v>92</v>
      </c>
      <c r="C22" s="41">
        <v>1</v>
      </c>
      <c r="D22" s="46">
        <f>D7</f>
        <v>0</v>
      </c>
      <c r="E22" s="46"/>
      <c r="F22" s="43"/>
    </row>
    <row r="23" spans="1:6" x14ac:dyDescent="0.25">
      <c r="A23" s="44" t="s">
        <v>104</v>
      </c>
      <c r="B23" s="45" t="s">
        <v>105</v>
      </c>
      <c r="C23" s="131">
        <v>0</v>
      </c>
      <c r="D23" s="44"/>
      <c r="E23" s="44"/>
      <c r="F23" s="43"/>
    </row>
    <row r="24" spans="1:6" x14ac:dyDescent="0.25">
      <c r="A24" s="44"/>
      <c r="B24" s="45" t="s">
        <v>106</v>
      </c>
      <c r="C24" s="46">
        <f>C23*8/7</f>
        <v>0</v>
      </c>
      <c r="D24" s="46">
        <f>D21/220*0.2</f>
        <v>0</v>
      </c>
      <c r="E24" s="46">
        <f>C23*D24</f>
        <v>0</v>
      </c>
      <c r="F24" s="43"/>
    </row>
    <row r="25" spans="1:6" x14ac:dyDescent="0.25">
      <c r="A25" s="44" t="s">
        <v>93</v>
      </c>
      <c r="B25" s="45" t="s">
        <v>94</v>
      </c>
      <c r="C25" s="131">
        <v>0</v>
      </c>
      <c r="D25" s="46">
        <f>D21/220*2</f>
        <v>0</v>
      </c>
      <c r="E25" s="46">
        <f>C25*D25</f>
        <v>0</v>
      </c>
      <c r="F25" s="43"/>
    </row>
    <row r="26" spans="1:6" x14ac:dyDescent="0.25">
      <c r="A26" s="44" t="s">
        <v>107</v>
      </c>
      <c r="B26" s="45" t="s">
        <v>105</v>
      </c>
      <c r="C26" s="131">
        <v>0</v>
      </c>
      <c r="D26" s="46"/>
      <c r="E26" s="46"/>
      <c r="F26" s="43"/>
    </row>
    <row r="27" spans="1:6" x14ac:dyDescent="0.25">
      <c r="A27" s="44"/>
      <c r="B27" s="45" t="s">
        <v>106</v>
      </c>
      <c r="C27" s="46">
        <f>C26*8/7</f>
        <v>0</v>
      </c>
      <c r="D27" s="46">
        <f>D21/220*2*1.2</f>
        <v>0</v>
      </c>
      <c r="E27" s="46">
        <f>C27*D27</f>
        <v>0</v>
      </c>
      <c r="F27" s="43"/>
    </row>
    <row r="28" spans="1:6" x14ac:dyDescent="0.25">
      <c r="A28" s="44" t="s">
        <v>95</v>
      </c>
      <c r="B28" s="45" t="s">
        <v>94</v>
      </c>
      <c r="C28" s="131">
        <v>0</v>
      </c>
      <c r="D28" s="46">
        <f>D21/220*1.5</f>
        <v>0</v>
      </c>
      <c r="E28" s="46">
        <f>C28*D28</f>
        <v>0</v>
      </c>
      <c r="F28" s="43"/>
    </row>
    <row r="29" spans="1:6" x14ac:dyDescent="0.25">
      <c r="A29" s="44" t="s">
        <v>108</v>
      </c>
      <c r="B29" s="45" t="s">
        <v>105</v>
      </c>
      <c r="C29" s="131">
        <v>0</v>
      </c>
      <c r="D29" s="46"/>
      <c r="E29" s="46"/>
      <c r="F29" s="43"/>
    </row>
    <row r="30" spans="1:6" x14ac:dyDescent="0.25">
      <c r="A30" s="44"/>
      <c r="B30" s="45" t="s">
        <v>106</v>
      </c>
      <c r="C30" s="46">
        <f>C29*8/7</f>
        <v>0</v>
      </c>
      <c r="D30" s="46">
        <f>D21/220*1.5*1.2</f>
        <v>0</v>
      </c>
      <c r="E30" s="46">
        <f>C30*D30</f>
        <v>0</v>
      </c>
      <c r="F30" s="43"/>
    </row>
    <row r="31" spans="1:6" x14ac:dyDescent="0.25">
      <c r="A31" s="44" t="s">
        <v>96</v>
      </c>
      <c r="B31" s="45" t="s">
        <v>1</v>
      </c>
      <c r="C31" s="47"/>
      <c r="D31" s="46">
        <f>63/302*(SUM(E25:E30))</f>
        <v>0</v>
      </c>
      <c r="E31" s="46">
        <f>D31</f>
        <v>0</v>
      </c>
      <c r="F31" s="43"/>
    </row>
    <row r="32" spans="1:6" x14ac:dyDescent="0.25">
      <c r="A32" s="44" t="s">
        <v>111</v>
      </c>
      <c r="B32" s="45"/>
      <c r="C32" s="132">
        <v>0</v>
      </c>
      <c r="D32" s="46"/>
      <c r="E32" s="46"/>
      <c r="F32" s="43"/>
    </row>
    <row r="33" spans="1:6" x14ac:dyDescent="0.25">
      <c r="A33" s="44" t="s">
        <v>97</v>
      </c>
      <c r="B33" s="45" t="s">
        <v>98</v>
      </c>
      <c r="C33" s="48">
        <f>+C12</f>
        <v>0</v>
      </c>
      <c r="D33" s="48">
        <f>IF(C32=2,SUM(E21:E31),IF(C32=1,SUM(E21:E31)*D22/D21,0))</f>
        <v>0</v>
      </c>
      <c r="E33" s="46">
        <f>C33*D33/100</f>
        <v>0</v>
      </c>
      <c r="F33" s="43"/>
    </row>
    <row r="34" spans="1:6" x14ac:dyDescent="0.25">
      <c r="A34" s="49" t="s">
        <v>99</v>
      </c>
      <c r="B34" s="50"/>
      <c r="C34" s="50"/>
      <c r="D34" s="51"/>
      <c r="E34" s="52">
        <f>SUM(E21:E33)</f>
        <v>0</v>
      </c>
      <c r="F34" s="59"/>
    </row>
    <row r="35" spans="1:6" x14ac:dyDescent="0.25">
      <c r="A35" s="44" t="s">
        <v>100</v>
      </c>
      <c r="B35" s="45" t="s">
        <v>98</v>
      </c>
      <c r="C35" s="53">
        <f>Encargos!$C$31*100</f>
        <v>43.08</v>
      </c>
      <c r="D35" s="46">
        <f>E34</f>
        <v>0</v>
      </c>
      <c r="E35" s="46">
        <f>D35*C35/100</f>
        <v>0</v>
      </c>
      <c r="F35" s="43"/>
    </row>
    <row r="36" spans="1:6" x14ac:dyDescent="0.25">
      <c r="A36" s="49" t="s">
        <v>112</v>
      </c>
      <c r="B36" s="50"/>
      <c r="C36" s="50"/>
      <c r="D36" s="51"/>
      <c r="E36" s="52">
        <f>E34+E35</f>
        <v>0</v>
      </c>
      <c r="F36" s="59"/>
    </row>
    <row r="37" spans="1:6" ht="15.75" thickBot="1" x14ac:dyDescent="0.3">
      <c r="A37" s="44" t="s">
        <v>101</v>
      </c>
      <c r="B37" s="45" t="s">
        <v>102</v>
      </c>
      <c r="C37" s="121">
        <v>0</v>
      </c>
      <c r="D37" s="46">
        <f>E36</f>
        <v>0</v>
      </c>
      <c r="E37" s="46">
        <f>C37*D37</f>
        <v>0</v>
      </c>
      <c r="F37" s="43"/>
    </row>
    <row r="38" spans="1:6" ht="15.75" thickBot="1" x14ac:dyDescent="0.3">
      <c r="A38" s="47"/>
      <c r="B38" s="47"/>
      <c r="C38" s="47"/>
      <c r="D38" s="54" t="s">
        <v>103</v>
      </c>
      <c r="E38" s="55">
        <f>$B$1</f>
        <v>1</v>
      </c>
      <c r="F38" s="56">
        <f>E37*E38</f>
        <v>0</v>
      </c>
    </row>
    <row r="41" spans="1:6" ht="15.75" thickBot="1" x14ac:dyDescent="0.3">
      <c r="A41" s="47" t="s">
        <v>206</v>
      </c>
      <c r="B41" s="62"/>
      <c r="C41" s="47"/>
      <c r="D41" s="47"/>
      <c r="E41" s="47"/>
      <c r="F41" s="43"/>
    </row>
    <row r="42" spans="1:6" ht="15.75" thickBot="1" x14ac:dyDescent="0.3">
      <c r="A42" s="36" t="s">
        <v>86</v>
      </c>
      <c r="B42" s="37" t="s">
        <v>87</v>
      </c>
      <c r="C42" s="37" t="s">
        <v>88</v>
      </c>
      <c r="D42" s="38" t="s">
        <v>89</v>
      </c>
      <c r="E42" s="38" t="s">
        <v>90</v>
      </c>
      <c r="F42" s="39" t="s">
        <v>91</v>
      </c>
    </row>
    <row r="43" spans="1:6" x14ac:dyDescent="0.25">
      <c r="A43" s="44" t="s">
        <v>113</v>
      </c>
      <c r="B43" s="45" t="s">
        <v>1</v>
      </c>
      <c r="C43" s="63">
        <v>0</v>
      </c>
      <c r="D43" s="133"/>
      <c r="E43" s="46"/>
      <c r="F43" s="43"/>
    </row>
    <row r="44" spans="1:6" x14ac:dyDescent="0.25">
      <c r="A44" s="44" t="s">
        <v>114</v>
      </c>
      <c r="B44" s="45" t="s">
        <v>115</v>
      </c>
      <c r="C44" s="134"/>
      <c r="D44" s="46"/>
      <c r="E44" s="46"/>
      <c r="F44" s="43"/>
    </row>
    <row r="45" spans="1:6" ht="15.75" thickBot="1" x14ac:dyDescent="0.3">
      <c r="A45" s="40" t="s">
        <v>117</v>
      </c>
      <c r="B45" s="41" t="s">
        <v>116</v>
      </c>
      <c r="C45" s="64">
        <f>$C44*2*(C37+C16)</f>
        <v>0</v>
      </c>
      <c r="D45" s="42" t="str">
        <f>IFERROR((($C$44*2*$D$43)-(E6*0.06*C44/26))/($C$44*2),"-")</f>
        <v>-</v>
      </c>
      <c r="E45" s="42" t="str">
        <f>IFERROR(C45*D45,"-")</f>
        <v>-</v>
      </c>
      <c r="F45" s="43"/>
    </row>
    <row r="46" spans="1:6" ht="15.75" thickBot="1" x14ac:dyDescent="0.3">
      <c r="A46" s="47"/>
      <c r="B46" s="47"/>
      <c r="C46" s="47"/>
      <c r="D46" s="43"/>
      <c r="E46" s="43"/>
      <c r="F46" s="65">
        <f>SUM(E45:E45)</f>
        <v>0</v>
      </c>
    </row>
    <row r="47" spans="1:6" x14ac:dyDescent="0.25">
      <c r="A47" s="47"/>
      <c r="B47" s="47"/>
      <c r="C47" s="47"/>
      <c r="D47" s="43"/>
      <c r="E47" s="43"/>
      <c r="F47" s="43"/>
    </row>
    <row r="48" spans="1:6" ht="15.75" thickBot="1" x14ac:dyDescent="0.3">
      <c r="A48" s="47" t="s">
        <v>207</v>
      </c>
      <c r="B48" s="47"/>
      <c r="C48" s="47"/>
      <c r="D48" s="43"/>
      <c r="E48" s="43"/>
      <c r="F48" s="66"/>
    </row>
    <row r="49" spans="1:6" ht="15.75" thickBot="1" x14ac:dyDescent="0.3">
      <c r="A49" s="36" t="s">
        <v>86</v>
      </c>
      <c r="B49" s="37" t="s">
        <v>87</v>
      </c>
      <c r="C49" s="37" t="s">
        <v>88</v>
      </c>
      <c r="D49" s="38" t="s">
        <v>89</v>
      </c>
      <c r="E49" s="38" t="s">
        <v>90</v>
      </c>
      <c r="F49" s="39" t="s">
        <v>91</v>
      </c>
    </row>
    <row r="50" spans="1:6" ht="15.75" thickBot="1" x14ac:dyDescent="0.3">
      <c r="A50" s="44" t="str">
        <f>+A45</f>
        <v>Motorista</v>
      </c>
      <c r="B50" s="45" t="s">
        <v>0</v>
      </c>
      <c r="C50" s="67">
        <f>C44*(C37+C16)</f>
        <v>0</v>
      </c>
      <c r="D50" s="135">
        <v>0</v>
      </c>
      <c r="E50" s="55">
        <f>C50*D50</f>
        <v>0</v>
      </c>
      <c r="F50" s="66"/>
    </row>
    <row r="51" spans="1:6" ht="15.75" thickBot="1" x14ac:dyDescent="0.3">
      <c r="A51" s="47"/>
      <c r="B51" s="47"/>
      <c r="C51" s="47"/>
      <c r="D51" s="43"/>
      <c r="E51" s="43"/>
      <c r="F51" s="65">
        <f>SUM(E50:E50)</f>
        <v>0</v>
      </c>
    </row>
    <row r="52" spans="1:6" x14ac:dyDescent="0.25">
      <c r="A52" s="47"/>
      <c r="B52" s="47"/>
      <c r="C52" s="47"/>
      <c r="D52" s="43"/>
      <c r="E52" s="43"/>
      <c r="F52" s="43"/>
    </row>
    <row r="53" spans="1:6" ht="15.75" thickBot="1" x14ac:dyDescent="0.3">
      <c r="A53" s="47" t="s">
        <v>208</v>
      </c>
      <c r="B53" s="47"/>
      <c r="C53" s="47"/>
      <c r="D53" s="43"/>
      <c r="E53" s="43"/>
      <c r="F53" s="66"/>
    </row>
    <row r="54" spans="1:6" ht="15.75" thickBot="1" x14ac:dyDescent="0.3">
      <c r="A54" s="36" t="s">
        <v>86</v>
      </c>
      <c r="B54" s="37" t="s">
        <v>87</v>
      </c>
      <c r="C54" s="37" t="s">
        <v>88</v>
      </c>
      <c r="D54" s="38" t="s">
        <v>89</v>
      </c>
      <c r="E54" s="38" t="s">
        <v>90</v>
      </c>
      <c r="F54" s="39" t="s">
        <v>91</v>
      </c>
    </row>
    <row r="55" spans="1:6" ht="15.75" thickBot="1" x14ac:dyDescent="0.3">
      <c r="A55" s="44" t="str">
        <f>+A50</f>
        <v>Motorista</v>
      </c>
      <c r="B55" s="45" t="s">
        <v>0</v>
      </c>
      <c r="C55" s="67">
        <f>C16+C37</f>
        <v>1</v>
      </c>
      <c r="D55" s="135">
        <v>0</v>
      </c>
      <c r="E55" s="55">
        <f>C55*D55</f>
        <v>0</v>
      </c>
      <c r="F55" s="66"/>
    </row>
    <row r="56" spans="1:6" ht="15.75" thickBot="1" x14ac:dyDescent="0.3">
      <c r="A56" s="47"/>
      <c r="B56" s="47"/>
      <c r="C56" s="47"/>
      <c r="D56" s="54" t="s">
        <v>103</v>
      </c>
      <c r="E56" s="55">
        <f>$B$1</f>
        <v>1</v>
      </c>
      <c r="F56" s="65">
        <f>SUM(E55:E55)*E56</f>
        <v>0</v>
      </c>
    </row>
    <row r="58" spans="1:6" ht="15.75" thickBot="1" x14ac:dyDescent="0.3"/>
    <row r="59" spans="1:6" ht="15.75" thickBot="1" x14ac:dyDescent="0.3">
      <c r="A59" s="156" t="s">
        <v>182</v>
      </c>
      <c r="B59" s="156" t="s">
        <v>181</v>
      </c>
      <c r="C59" s="155"/>
      <c r="D59" s="155"/>
      <c r="E59" s="155"/>
      <c r="F59" s="157">
        <f>F56+F51+F46+F38+F17</f>
        <v>0</v>
      </c>
    </row>
  </sheetData>
  <mergeCells count="1">
    <mergeCell ref="A3:F3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6"/>
  <sheetViews>
    <sheetView topLeftCell="A13" workbookViewId="0">
      <selection activeCell="C5" sqref="C5"/>
    </sheetView>
  </sheetViews>
  <sheetFormatPr defaultRowHeight="15" x14ac:dyDescent="0.25"/>
  <cols>
    <col min="1" max="1" width="47" bestFit="1" customWidth="1"/>
    <col min="2" max="2" width="8.42578125" bestFit="1" customWidth="1"/>
    <col min="3" max="3" width="12.85546875" bestFit="1" customWidth="1"/>
    <col min="4" max="4" width="17.7109375" bestFit="1" customWidth="1"/>
    <col min="5" max="5" width="11.28515625" bestFit="1" customWidth="1"/>
    <col min="6" max="6" width="19" customWidth="1"/>
  </cols>
  <sheetData>
    <row r="1" spans="1:6" x14ac:dyDescent="0.25">
      <c r="A1" s="158" t="s">
        <v>130</v>
      </c>
    </row>
    <row r="2" spans="1:6" x14ac:dyDescent="0.25">
      <c r="A2" t="s">
        <v>179</v>
      </c>
      <c r="B2" s="80" t="s">
        <v>1</v>
      </c>
      <c r="C2" s="122"/>
    </row>
    <row r="3" spans="1:6" x14ac:dyDescent="0.25">
      <c r="A3" t="s">
        <v>125</v>
      </c>
      <c r="B3" s="80" t="s">
        <v>2</v>
      </c>
      <c r="C3" s="116"/>
    </row>
    <row r="4" spans="1:6" x14ac:dyDescent="0.25">
      <c r="A4" t="s">
        <v>127</v>
      </c>
      <c r="B4" s="80" t="s">
        <v>98</v>
      </c>
      <c r="C4" s="1" t="e">
        <f>100/C3</f>
        <v>#DIV/0!</v>
      </c>
    </row>
    <row r="5" spans="1:6" x14ac:dyDescent="0.25">
      <c r="A5" t="s">
        <v>126</v>
      </c>
      <c r="B5" s="80" t="s">
        <v>1</v>
      </c>
      <c r="C5" s="122"/>
    </row>
    <row r="6" spans="1:6" x14ac:dyDescent="0.25">
      <c r="A6" t="s">
        <v>129</v>
      </c>
      <c r="B6" s="80" t="s">
        <v>2</v>
      </c>
      <c r="C6" s="119">
        <v>0</v>
      </c>
    </row>
    <row r="7" spans="1:6" ht="15.75" thickBot="1" x14ac:dyDescent="0.3">
      <c r="A7" t="s">
        <v>128</v>
      </c>
      <c r="B7" s="80" t="s">
        <v>1</v>
      </c>
      <c r="C7" s="2" t="e">
        <f>((C2-C5)*(C4%*C6))</f>
        <v>#DIV/0!</v>
      </c>
    </row>
    <row r="8" spans="1:6" ht="15.75" thickBot="1" x14ac:dyDescent="0.3">
      <c r="A8" s="182" t="s">
        <v>118</v>
      </c>
      <c r="B8" s="183"/>
      <c r="C8" s="184">
        <f>'Mão de obra'!B1</f>
        <v>1</v>
      </c>
    </row>
    <row r="9" spans="1:6" ht="18.75" thickBot="1" x14ac:dyDescent="0.3">
      <c r="A9" s="199" t="s">
        <v>217</v>
      </c>
      <c r="B9" s="200"/>
      <c r="C9" s="200"/>
      <c r="D9" s="200"/>
      <c r="E9" s="200"/>
      <c r="F9" s="201"/>
    </row>
    <row r="10" spans="1:6" ht="15.75" thickBot="1" x14ac:dyDescent="0.3">
      <c r="A10" s="185" t="s">
        <v>218</v>
      </c>
      <c r="B10" s="47"/>
      <c r="C10" s="47"/>
      <c r="D10" s="43"/>
      <c r="E10" s="43"/>
      <c r="F10" s="43"/>
    </row>
    <row r="11" spans="1:6" ht="15.75" thickBot="1" x14ac:dyDescent="0.3">
      <c r="A11" s="36" t="s">
        <v>86</v>
      </c>
      <c r="B11" s="37" t="s">
        <v>87</v>
      </c>
      <c r="C11" s="37" t="s">
        <v>88</v>
      </c>
      <c r="D11" s="38" t="s">
        <v>89</v>
      </c>
      <c r="E11" s="38" t="s">
        <v>90</v>
      </c>
      <c r="F11" s="39" t="s">
        <v>91</v>
      </c>
    </row>
    <row r="12" spans="1:6" x14ac:dyDescent="0.25">
      <c r="A12" s="40" t="s">
        <v>180</v>
      </c>
      <c r="B12" s="41" t="s">
        <v>0</v>
      </c>
      <c r="C12" s="41">
        <v>1</v>
      </c>
      <c r="D12" s="115">
        <f>C2</f>
        <v>0</v>
      </c>
      <c r="E12" s="42">
        <f>C12*D12</f>
        <v>0</v>
      </c>
      <c r="F12" s="43"/>
    </row>
    <row r="13" spans="1:6" x14ac:dyDescent="0.25">
      <c r="A13" s="44" t="s">
        <v>178</v>
      </c>
      <c r="B13" s="45" t="s">
        <v>2</v>
      </c>
      <c r="C13" s="118">
        <f>C3</f>
        <v>0</v>
      </c>
      <c r="D13" s="48"/>
      <c r="E13" s="46"/>
      <c r="F13" s="43"/>
    </row>
    <row r="14" spans="1:6" x14ac:dyDescent="0.25">
      <c r="A14" s="44" t="s">
        <v>176</v>
      </c>
      <c r="B14" s="45" t="s">
        <v>2</v>
      </c>
      <c r="C14" s="117">
        <f>C6</f>
        <v>0</v>
      </c>
      <c r="D14" s="46"/>
      <c r="E14" s="46"/>
      <c r="F14" s="71"/>
    </row>
    <row r="15" spans="1:6" x14ac:dyDescent="0.25">
      <c r="A15" s="44" t="s">
        <v>177</v>
      </c>
      <c r="B15" s="45" t="s">
        <v>98</v>
      </c>
      <c r="C15" s="120">
        <v>100</v>
      </c>
      <c r="D15" s="46">
        <f>E12</f>
        <v>0</v>
      </c>
      <c r="E15" s="46">
        <f>C15*(D15-C5)/100</f>
        <v>0</v>
      </c>
      <c r="F15" s="43"/>
    </row>
    <row r="16" spans="1:6" ht="15.75" thickBot="1" x14ac:dyDescent="0.3">
      <c r="A16" s="73" t="s">
        <v>187</v>
      </c>
      <c r="B16" s="74" t="s">
        <v>92</v>
      </c>
      <c r="C16" s="74">
        <f>C13*12</f>
        <v>0</v>
      </c>
      <c r="D16" s="76">
        <f>IF(C14&lt;=C13,E15,0)</f>
        <v>0</v>
      </c>
      <c r="E16" s="76">
        <f>IFERROR(D16/C16,0)</f>
        <v>0</v>
      </c>
      <c r="F16" s="43"/>
    </row>
    <row r="17" spans="1:6" ht="15.75" thickTop="1" x14ac:dyDescent="0.25">
      <c r="A17" s="49" t="s">
        <v>122</v>
      </c>
      <c r="B17" s="50"/>
      <c r="C17" s="50"/>
      <c r="D17" s="51"/>
      <c r="E17" s="52">
        <f>E16</f>
        <v>0</v>
      </c>
      <c r="F17" s="43"/>
    </row>
    <row r="18" spans="1:6" ht="15.75" thickBot="1" x14ac:dyDescent="0.3">
      <c r="A18" s="57" t="s">
        <v>123</v>
      </c>
      <c r="B18" s="77" t="s">
        <v>0</v>
      </c>
      <c r="C18" s="121">
        <v>1</v>
      </c>
      <c r="D18" s="58">
        <f>E17</f>
        <v>0</v>
      </c>
      <c r="E18" s="52">
        <f>C18*D18</f>
        <v>0</v>
      </c>
      <c r="F18" s="43"/>
    </row>
    <row r="19" spans="1:6" ht="15.75" thickBot="1" x14ac:dyDescent="0.3">
      <c r="A19" s="114"/>
      <c r="B19" s="114"/>
      <c r="C19" s="114"/>
      <c r="D19" s="54" t="s">
        <v>103</v>
      </c>
      <c r="E19" s="55">
        <f>C8</f>
        <v>1</v>
      </c>
      <c r="F19" s="79">
        <f>E18*E19</f>
        <v>0</v>
      </c>
    </row>
    <row r="20" spans="1:6" x14ac:dyDescent="0.25">
      <c r="C20" s="81"/>
      <c r="F20" s="43"/>
    </row>
    <row r="21" spans="1:6" x14ac:dyDescent="0.25">
      <c r="C21" s="81"/>
      <c r="F21" s="43"/>
    </row>
    <row r="22" spans="1:6" x14ac:dyDescent="0.25">
      <c r="F22" s="43"/>
    </row>
    <row r="23" spans="1:6" ht="15.75" thickBot="1" x14ac:dyDescent="0.3">
      <c r="A23" s="185" t="s">
        <v>219</v>
      </c>
      <c r="B23" s="47"/>
      <c r="C23" s="47"/>
      <c r="D23" s="43"/>
      <c r="E23" s="43"/>
      <c r="F23" s="43"/>
    </row>
    <row r="24" spans="1:6" ht="15.75" thickBot="1" x14ac:dyDescent="0.3">
      <c r="A24" s="68" t="s">
        <v>86</v>
      </c>
      <c r="B24" s="69" t="s">
        <v>87</v>
      </c>
      <c r="C24" s="69" t="s">
        <v>88</v>
      </c>
      <c r="D24" s="38" t="s">
        <v>89</v>
      </c>
      <c r="E24" s="70" t="s">
        <v>90</v>
      </c>
      <c r="F24" s="39" t="s">
        <v>91</v>
      </c>
    </row>
    <row r="25" spans="1:6" x14ac:dyDescent="0.25">
      <c r="A25" s="44" t="s">
        <v>119</v>
      </c>
      <c r="B25" s="45" t="s">
        <v>0</v>
      </c>
      <c r="C25" s="41">
        <v>1</v>
      </c>
      <c r="D25" s="46">
        <f>C2</f>
        <v>0</v>
      </c>
      <c r="E25" s="46">
        <f>C25*D25</f>
        <v>0</v>
      </c>
    </row>
    <row r="26" spans="1:6" x14ac:dyDescent="0.25">
      <c r="A26" s="44" t="s">
        <v>120</v>
      </c>
      <c r="B26" s="45" t="s">
        <v>98</v>
      </c>
      <c r="C26" s="121">
        <v>6.5</v>
      </c>
      <c r="D26" s="46"/>
      <c r="E26" s="46"/>
    </row>
    <row r="27" spans="1:6" x14ac:dyDescent="0.25">
      <c r="A27" s="44" t="s">
        <v>124</v>
      </c>
      <c r="B27" s="45" t="s">
        <v>1</v>
      </c>
      <c r="C27" s="72" t="e">
        <f>C2-C5-C7</f>
        <v>#DIV/0!</v>
      </c>
      <c r="D27" s="46"/>
      <c r="E27" s="46"/>
    </row>
    <row r="28" spans="1:6" x14ac:dyDescent="0.25">
      <c r="A28" s="44" t="s">
        <v>131</v>
      </c>
      <c r="B28" s="45" t="s">
        <v>1</v>
      </c>
      <c r="C28" s="48" t="e">
        <f>((C2-C7)-(C5))*((C3+1)/(2*C3))+(C5)</f>
        <v>#DIV/0!</v>
      </c>
      <c r="D28" s="46"/>
      <c r="E28" s="46"/>
      <c r="F28" s="43"/>
    </row>
    <row r="29" spans="1:6" ht="15.75" thickBot="1" x14ac:dyDescent="0.3">
      <c r="A29" s="73" t="s">
        <v>121</v>
      </c>
      <c r="B29" s="74" t="s">
        <v>1</v>
      </c>
      <c r="C29" s="74"/>
      <c r="D29" s="75" t="e">
        <f>C26*C28/12/100</f>
        <v>#DIV/0!</v>
      </c>
      <c r="E29" s="76" t="e">
        <f>D29</f>
        <v>#DIV/0!</v>
      </c>
    </row>
    <row r="30" spans="1:6" ht="15.75" thickTop="1" x14ac:dyDescent="0.25">
      <c r="A30" s="49" t="s">
        <v>122</v>
      </c>
      <c r="B30" s="50"/>
      <c r="C30" s="50"/>
      <c r="D30" s="51"/>
      <c r="E30" s="52" t="e">
        <f>E29</f>
        <v>#DIV/0!</v>
      </c>
      <c r="F30" s="71"/>
    </row>
    <row r="31" spans="1:6" ht="15.75" thickBot="1" x14ac:dyDescent="0.3">
      <c r="A31" s="57" t="s">
        <v>123</v>
      </c>
      <c r="B31" s="77" t="s">
        <v>0</v>
      </c>
      <c r="C31" s="45">
        <v>1</v>
      </c>
      <c r="D31" s="58" t="e">
        <f>E30</f>
        <v>#DIV/0!</v>
      </c>
      <c r="E31" s="52" t="e">
        <f>C31*D31</f>
        <v>#DIV/0!</v>
      </c>
      <c r="F31" s="71"/>
    </row>
    <row r="32" spans="1:6" ht="15.75" thickBot="1" x14ac:dyDescent="0.3">
      <c r="A32" s="47"/>
      <c r="B32" s="47"/>
      <c r="C32" s="78"/>
      <c r="D32" s="54" t="s">
        <v>103</v>
      </c>
      <c r="E32" s="55">
        <f>C8</f>
        <v>1</v>
      </c>
      <c r="F32" s="79" t="e">
        <f>E31*E32</f>
        <v>#DIV/0!</v>
      </c>
    </row>
    <row r="33" spans="6:6" x14ac:dyDescent="0.25">
      <c r="F33" s="71"/>
    </row>
    <row r="34" spans="6:6" x14ac:dyDescent="0.25">
      <c r="F34" s="71"/>
    </row>
    <row r="35" spans="6:6" x14ac:dyDescent="0.25">
      <c r="F35" s="71"/>
    </row>
    <row r="36" spans="6:6" x14ac:dyDescent="0.25">
      <c r="F36" s="71"/>
    </row>
  </sheetData>
  <mergeCells count="1">
    <mergeCell ref="A9:F9"/>
  </mergeCells>
  <hyperlinks>
    <hyperlink ref="A23" location="AbaRemun" display="3.1.2. Remuneração do Capital" xr:uid="{00000000-0004-0000-0300-000000000000}"/>
    <hyperlink ref="A10" location="AbaDeprec" display="3.1.1. Depreciação" xr:uid="{00000000-0004-0000-0300-000001000000}"/>
  </hyperlink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4"/>
  <sheetViews>
    <sheetView topLeftCell="A34" workbookViewId="0">
      <selection activeCell="C40" sqref="C40"/>
    </sheetView>
  </sheetViews>
  <sheetFormatPr defaultRowHeight="15" x14ac:dyDescent="0.25"/>
  <cols>
    <col min="1" max="1" width="41.7109375" bestFit="1" customWidth="1"/>
    <col min="2" max="2" width="13.7109375" bestFit="1" customWidth="1"/>
    <col min="3" max="3" width="10.28515625" bestFit="1" customWidth="1"/>
    <col min="4" max="4" width="18" customWidth="1"/>
    <col min="5" max="5" width="11.5703125" customWidth="1"/>
    <col min="6" max="6" width="17.140625" customWidth="1"/>
  </cols>
  <sheetData>
    <row r="1" spans="1:6" ht="15.75" thickBot="1" x14ac:dyDescent="0.3">
      <c r="A1" s="159" t="s">
        <v>118</v>
      </c>
      <c r="B1" s="160">
        <f>'Mão de obra'!B1</f>
        <v>1</v>
      </c>
    </row>
    <row r="2" spans="1:6" ht="15.75" thickBot="1" x14ac:dyDescent="0.3">
      <c r="A2" s="161"/>
      <c r="B2" s="162"/>
    </row>
    <row r="3" spans="1:6" ht="18.75" thickBot="1" x14ac:dyDescent="0.3">
      <c r="A3" s="202" t="s">
        <v>209</v>
      </c>
      <c r="B3" s="203"/>
      <c r="C3" s="203"/>
      <c r="D3" s="203"/>
      <c r="E3" s="203"/>
      <c r="F3" s="204"/>
    </row>
    <row r="4" spans="1:6" ht="15.75" thickBot="1" x14ac:dyDescent="0.3">
      <c r="A4" s="47" t="s">
        <v>210</v>
      </c>
      <c r="B4" s="47"/>
      <c r="C4" s="47"/>
      <c r="D4" s="43"/>
      <c r="E4" s="43"/>
      <c r="F4" s="43"/>
    </row>
    <row r="5" spans="1:6" ht="15.75" thickBot="1" x14ac:dyDescent="0.3">
      <c r="A5" s="36" t="s">
        <v>86</v>
      </c>
      <c r="B5" s="37" t="s">
        <v>87</v>
      </c>
      <c r="C5" s="37" t="s">
        <v>88</v>
      </c>
      <c r="D5" s="38" t="s">
        <v>89</v>
      </c>
      <c r="E5" s="38" t="s">
        <v>90</v>
      </c>
      <c r="F5" s="39" t="s">
        <v>91</v>
      </c>
    </row>
    <row r="6" spans="1:6" x14ac:dyDescent="0.25">
      <c r="A6" s="40" t="s">
        <v>132</v>
      </c>
      <c r="B6" s="41" t="s">
        <v>0</v>
      </c>
      <c r="C6" s="42">
        <f>'Remuneração de capital'!C31</f>
        <v>1</v>
      </c>
      <c r="D6" s="42">
        <v>0</v>
      </c>
      <c r="E6" s="42">
        <f>C6*D6</f>
        <v>0</v>
      </c>
      <c r="F6" s="43">
        <f>E6*E10</f>
        <v>0</v>
      </c>
    </row>
    <row r="7" spans="1:6" x14ac:dyDescent="0.25">
      <c r="A7" s="44" t="s">
        <v>133</v>
      </c>
      <c r="B7" s="45" t="s">
        <v>0</v>
      </c>
      <c r="C7" s="42">
        <f>'Remuneração de capital'!C31</f>
        <v>1</v>
      </c>
      <c r="D7" s="135">
        <v>104.36</v>
      </c>
      <c r="E7" s="46">
        <f>C7*D7</f>
        <v>104.36</v>
      </c>
      <c r="F7" s="43">
        <f>E7*E10</f>
        <v>104.36</v>
      </c>
    </row>
    <row r="8" spans="1:6" x14ac:dyDescent="0.25">
      <c r="A8" s="149" t="s">
        <v>134</v>
      </c>
      <c r="B8" s="45" t="s">
        <v>0</v>
      </c>
      <c r="C8" s="42">
        <f>'Remuneração de capital'!C31</f>
        <v>1</v>
      </c>
      <c r="D8" s="135">
        <v>6590</v>
      </c>
      <c r="E8" s="46">
        <f>C8*D8</f>
        <v>6590</v>
      </c>
      <c r="F8" s="82">
        <f>E8*E10</f>
        <v>6590</v>
      </c>
    </row>
    <row r="9" spans="1:6" ht="15.75" thickBot="1" x14ac:dyDescent="0.3">
      <c r="A9" s="57" t="s">
        <v>135</v>
      </c>
      <c r="B9" s="77" t="s">
        <v>92</v>
      </c>
      <c r="C9" s="77">
        <v>12</v>
      </c>
      <c r="D9" s="58">
        <f>SUM(E6:E8)</f>
        <v>6694.36</v>
      </c>
      <c r="E9" s="58">
        <f>D9/C9</f>
        <v>557.86333333333334</v>
      </c>
      <c r="F9" s="43"/>
    </row>
    <row r="10" spans="1:6" ht="15.75" thickBot="1" x14ac:dyDescent="0.3">
      <c r="A10" s="47"/>
      <c r="B10" s="47"/>
      <c r="C10" s="47"/>
      <c r="D10" s="54" t="s">
        <v>103</v>
      </c>
      <c r="E10" s="55">
        <f>B1</f>
        <v>1</v>
      </c>
      <c r="F10" s="56">
        <f>E9*E10</f>
        <v>557.86333333333334</v>
      </c>
    </row>
    <row r="11" spans="1:6" x14ac:dyDescent="0.25">
      <c r="A11" s="47"/>
      <c r="B11" s="47"/>
      <c r="C11" s="47"/>
      <c r="D11" s="43"/>
      <c r="E11" s="43"/>
      <c r="F11" s="43"/>
    </row>
    <row r="12" spans="1:6" x14ac:dyDescent="0.25">
      <c r="A12" s="47" t="s">
        <v>211</v>
      </c>
      <c r="B12" s="83"/>
      <c r="C12" s="47"/>
      <c r="D12" s="43"/>
      <c r="E12" s="43"/>
      <c r="F12" s="43"/>
    </row>
    <row r="13" spans="1:6" x14ac:dyDescent="0.25">
      <c r="A13" s="47"/>
      <c r="B13" s="83"/>
      <c r="C13" s="47"/>
      <c r="D13" s="43"/>
      <c r="E13" s="43"/>
      <c r="F13" s="43"/>
    </row>
    <row r="14" spans="1:6" x14ac:dyDescent="0.25">
      <c r="A14" s="57" t="s">
        <v>136</v>
      </c>
      <c r="B14" s="136">
        <v>2640</v>
      </c>
      <c r="C14" s="47"/>
      <c r="D14" s="43"/>
      <c r="E14" s="43"/>
      <c r="F14" s="43"/>
    </row>
    <row r="15" spans="1:6" ht="15.75" thickBot="1" x14ac:dyDescent="0.3">
      <c r="A15" s="47"/>
      <c r="B15" s="83"/>
      <c r="C15" s="47"/>
      <c r="D15" s="43"/>
      <c r="E15" s="43"/>
      <c r="F15" s="43"/>
    </row>
    <row r="16" spans="1:6" ht="15.75" thickBot="1" x14ac:dyDescent="0.3">
      <c r="A16" s="36" t="s">
        <v>86</v>
      </c>
      <c r="B16" s="37" t="s">
        <v>87</v>
      </c>
      <c r="C16" s="37" t="s">
        <v>137</v>
      </c>
      <c r="D16" s="38" t="s">
        <v>89</v>
      </c>
      <c r="E16" s="38" t="s">
        <v>90</v>
      </c>
      <c r="F16" s="39" t="s">
        <v>91</v>
      </c>
    </row>
    <row r="17" spans="1:6" x14ac:dyDescent="0.25">
      <c r="A17" s="40" t="s">
        <v>138</v>
      </c>
      <c r="B17" s="41" t="s">
        <v>3</v>
      </c>
      <c r="C17" s="137"/>
      <c r="D17" s="138"/>
      <c r="E17" s="42">
        <v>0</v>
      </c>
      <c r="F17" s="43"/>
    </row>
    <row r="18" spans="1:6" x14ac:dyDescent="0.25">
      <c r="A18" s="44" t="s">
        <v>139</v>
      </c>
      <c r="B18" s="45" t="s">
        <v>4</v>
      </c>
      <c r="C18" s="63">
        <f>B14</f>
        <v>2640</v>
      </c>
      <c r="D18" s="84" t="str">
        <f>IFERROR(+D17/C17,"-")</f>
        <v>-</v>
      </c>
      <c r="E18" s="46" t="str">
        <f>IFERROR(C18*D18,"-")</f>
        <v>-</v>
      </c>
      <c r="F18" s="43"/>
    </row>
    <row r="19" spans="1:6" x14ac:dyDescent="0.25">
      <c r="A19" s="44" t="s">
        <v>140</v>
      </c>
      <c r="B19" s="45" t="s">
        <v>141</v>
      </c>
      <c r="C19" s="139"/>
      <c r="D19" s="135"/>
      <c r="E19" s="46"/>
      <c r="F19" s="43"/>
    </row>
    <row r="20" spans="1:6" x14ac:dyDescent="0.25">
      <c r="A20" s="44" t="s">
        <v>142</v>
      </c>
      <c r="B20" s="45" t="s">
        <v>4</v>
      </c>
      <c r="C20" s="63">
        <f>C18</f>
        <v>2640</v>
      </c>
      <c r="D20" s="85">
        <v>7.0000000000000001E-3</v>
      </c>
      <c r="E20" s="46">
        <f>C20*D20</f>
        <v>18.48</v>
      </c>
      <c r="F20" s="43"/>
    </row>
    <row r="21" spans="1:6" x14ac:dyDescent="0.25">
      <c r="A21" s="44" t="s">
        <v>143</v>
      </c>
      <c r="B21" s="45" t="s">
        <v>141</v>
      </c>
      <c r="C21" s="139"/>
      <c r="D21" s="135"/>
      <c r="E21" s="46"/>
      <c r="F21" s="43"/>
    </row>
    <row r="22" spans="1:6" x14ac:dyDescent="0.25">
      <c r="A22" s="44" t="s">
        <v>144</v>
      </c>
      <c r="B22" s="45" t="s">
        <v>4</v>
      </c>
      <c r="C22" s="63">
        <f>C18</f>
        <v>2640</v>
      </c>
      <c r="D22" s="85">
        <f>+C21*D21/1000</f>
        <v>0</v>
      </c>
      <c r="E22" s="46">
        <f>C22*D22</f>
        <v>0</v>
      </c>
      <c r="F22" s="43"/>
    </row>
    <row r="23" spans="1:6" x14ac:dyDescent="0.25">
      <c r="A23" s="44" t="s">
        <v>145</v>
      </c>
      <c r="B23" s="45" t="s">
        <v>141</v>
      </c>
      <c r="C23" s="139"/>
      <c r="D23" s="135"/>
      <c r="E23" s="46"/>
      <c r="F23" s="43"/>
    </row>
    <row r="24" spans="1:6" x14ac:dyDescent="0.25">
      <c r="A24" s="44" t="s">
        <v>146</v>
      </c>
      <c r="B24" s="45" t="s">
        <v>4</v>
      </c>
      <c r="C24" s="63">
        <v>2640</v>
      </c>
      <c r="D24" s="85">
        <f>+C23*D23/1000</f>
        <v>0</v>
      </c>
      <c r="E24" s="46">
        <f>C24*D24</f>
        <v>0</v>
      </c>
      <c r="F24" s="43"/>
    </row>
    <row r="25" spans="1:6" x14ac:dyDescent="0.25">
      <c r="A25" s="44" t="s">
        <v>147</v>
      </c>
      <c r="B25" s="45" t="s">
        <v>148</v>
      </c>
      <c r="C25" s="139"/>
      <c r="D25" s="135"/>
      <c r="E25" s="46"/>
      <c r="F25" s="43"/>
    </row>
    <row r="26" spans="1:6" x14ac:dyDescent="0.25">
      <c r="A26" s="44" t="s">
        <v>149</v>
      </c>
      <c r="B26" s="45" t="s">
        <v>4</v>
      </c>
      <c r="C26" s="63">
        <f>C18</f>
        <v>2640</v>
      </c>
      <c r="D26" s="85">
        <f>+C25*D25/1000</f>
        <v>0</v>
      </c>
      <c r="E26" s="46">
        <f>C26*D26</f>
        <v>0</v>
      </c>
      <c r="F26" s="43"/>
    </row>
    <row r="27" spans="1:6" ht="15.75" thickBot="1" x14ac:dyDescent="0.3">
      <c r="A27" s="57" t="s">
        <v>150</v>
      </c>
      <c r="B27" s="77" t="s">
        <v>151</v>
      </c>
      <c r="C27" s="86"/>
      <c r="D27" s="87">
        <f>IFERROR(D18+D20+D22+D24+D26,0)</f>
        <v>0</v>
      </c>
      <c r="E27" s="46"/>
      <c r="F27" s="43"/>
    </row>
    <row r="28" spans="1:6" ht="15.75" thickBot="1" x14ac:dyDescent="0.3">
      <c r="A28" s="47"/>
      <c r="B28" s="47"/>
      <c r="C28" s="47"/>
      <c r="D28" s="43"/>
      <c r="E28" s="43"/>
      <c r="F28" s="79">
        <f>SUM(E17:E26)</f>
        <v>18.48</v>
      </c>
    </row>
    <row r="29" spans="1:6" x14ac:dyDescent="0.25">
      <c r="A29" s="47"/>
      <c r="B29" s="47"/>
      <c r="C29" s="47"/>
      <c r="D29" s="43"/>
      <c r="E29" s="43"/>
      <c r="F29" s="43"/>
    </row>
    <row r="30" spans="1:6" ht="15.75" thickBot="1" x14ac:dyDescent="0.3">
      <c r="A30" s="47" t="s">
        <v>212</v>
      </c>
      <c r="B30" s="47"/>
      <c r="C30" s="47"/>
      <c r="D30" s="43"/>
      <c r="E30" s="43"/>
      <c r="F30" s="43"/>
    </row>
    <row r="31" spans="1:6" ht="15.75" thickBot="1" x14ac:dyDescent="0.3">
      <c r="A31" s="36" t="s">
        <v>86</v>
      </c>
      <c r="B31" s="37" t="s">
        <v>87</v>
      </c>
      <c r="C31" s="37" t="s">
        <v>88</v>
      </c>
      <c r="D31" s="38" t="s">
        <v>89</v>
      </c>
      <c r="E31" s="38" t="s">
        <v>90</v>
      </c>
      <c r="F31" s="39" t="s">
        <v>91</v>
      </c>
    </row>
    <row r="32" spans="1:6" ht="15.75" thickBot="1" x14ac:dyDescent="0.3">
      <c r="A32" s="40" t="s">
        <v>158</v>
      </c>
      <c r="B32" s="41" t="s">
        <v>151</v>
      </c>
      <c r="C32" s="63">
        <v>2640</v>
      </c>
      <c r="D32" s="130"/>
      <c r="E32" s="42">
        <f>C32*D32</f>
        <v>0</v>
      </c>
      <c r="F32" s="43"/>
    </row>
    <row r="33" spans="1:6" ht="15.75" thickBot="1" x14ac:dyDescent="0.3">
      <c r="A33" s="47"/>
      <c r="B33" s="47"/>
      <c r="C33" s="47"/>
      <c r="D33" s="43"/>
      <c r="E33" s="43"/>
      <c r="F33" s="79">
        <f>E32</f>
        <v>0</v>
      </c>
    </row>
    <row r="34" spans="1:6" x14ac:dyDescent="0.25">
      <c r="A34" s="47"/>
      <c r="B34" s="47"/>
      <c r="C34" s="47"/>
      <c r="D34" s="43"/>
      <c r="E34" s="43"/>
      <c r="F34" s="43"/>
    </row>
    <row r="35" spans="1:6" ht="15.75" thickBot="1" x14ac:dyDescent="0.3">
      <c r="A35" s="47" t="s">
        <v>213</v>
      </c>
      <c r="B35" s="47"/>
      <c r="C35" s="47"/>
      <c r="D35" s="43"/>
      <c r="E35" s="43"/>
      <c r="F35" s="43"/>
    </row>
    <row r="36" spans="1:6" ht="15.75" thickBot="1" x14ac:dyDescent="0.3">
      <c r="A36" s="36" t="s">
        <v>86</v>
      </c>
      <c r="B36" s="37" t="s">
        <v>87</v>
      </c>
      <c r="C36" s="37" t="s">
        <v>88</v>
      </c>
      <c r="D36" s="38" t="s">
        <v>89</v>
      </c>
      <c r="E36" s="38" t="s">
        <v>90</v>
      </c>
      <c r="F36" s="39" t="s">
        <v>91</v>
      </c>
    </row>
    <row r="37" spans="1:6" x14ac:dyDescent="0.25">
      <c r="A37" s="40" t="s">
        <v>152</v>
      </c>
      <c r="B37" s="41" t="s">
        <v>0</v>
      </c>
      <c r="C37" s="140"/>
      <c r="D37" s="130"/>
      <c r="E37" s="42">
        <f>C37*D37</f>
        <v>0</v>
      </c>
      <c r="F37" s="43"/>
    </row>
    <row r="38" spans="1:6" x14ac:dyDescent="0.25">
      <c r="A38" s="40" t="s">
        <v>153</v>
      </c>
      <c r="B38" s="41" t="s">
        <v>0</v>
      </c>
      <c r="C38" s="140">
        <v>0</v>
      </c>
      <c r="D38" s="88"/>
      <c r="E38" s="42"/>
      <c r="F38" s="43"/>
    </row>
    <row r="39" spans="1:6" x14ac:dyDescent="0.25">
      <c r="A39" s="40" t="s">
        <v>154</v>
      </c>
      <c r="B39" s="41" t="s">
        <v>0</v>
      </c>
      <c r="C39" s="42">
        <f>C37*C38</f>
        <v>0</v>
      </c>
      <c r="D39" s="130">
        <v>0</v>
      </c>
      <c r="E39" s="42">
        <f>C39*D39</f>
        <v>0</v>
      </c>
      <c r="F39" s="43"/>
    </row>
    <row r="40" spans="1:6" x14ac:dyDescent="0.25">
      <c r="A40" s="44" t="s">
        <v>155</v>
      </c>
      <c r="B40" s="45" t="s">
        <v>156</v>
      </c>
      <c r="C40" s="141"/>
      <c r="D40" s="46">
        <f>E37+E39</f>
        <v>0</v>
      </c>
      <c r="E40" s="46" t="str">
        <f>IFERROR(D40/C40,"-")</f>
        <v>-</v>
      </c>
      <c r="F40" s="43"/>
    </row>
    <row r="41" spans="1:6" ht="15.75" thickBot="1" x14ac:dyDescent="0.3">
      <c r="A41" s="44" t="s">
        <v>157</v>
      </c>
      <c r="B41" s="45" t="s">
        <v>4</v>
      </c>
      <c r="C41" s="63">
        <v>2640</v>
      </c>
      <c r="D41" s="46" t="str">
        <f>E40</f>
        <v>-</v>
      </c>
      <c r="E41" s="46">
        <f>IFERROR(C41*D41,0)</f>
        <v>0</v>
      </c>
      <c r="F41" s="43"/>
    </row>
    <row r="42" spans="1:6" ht="15.75" thickBot="1" x14ac:dyDescent="0.3">
      <c r="A42" s="47"/>
      <c r="B42" s="47"/>
      <c r="C42" s="47"/>
      <c r="D42" s="43"/>
      <c r="E42" s="43"/>
      <c r="F42" s="79">
        <f>E41</f>
        <v>0</v>
      </c>
    </row>
    <row r="43" spans="1:6" ht="15.75" thickBot="1" x14ac:dyDescent="0.3">
      <c r="A43" s="47"/>
      <c r="B43" s="47"/>
      <c r="C43" s="47"/>
      <c r="D43" s="43"/>
      <c r="E43" s="43"/>
      <c r="F43" s="43"/>
    </row>
    <row r="44" spans="1:6" ht="15.75" thickBot="1" x14ac:dyDescent="0.3">
      <c r="A44" s="156" t="s">
        <v>183</v>
      </c>
      <c r="B44" s="163" t="s">
        <v>181</v>
      </c>
      <c r="C44" s="155"/>
      <c r="D44" s="155"/>
      <c r="E44" s="155"/>
      <c r="F44" s="157">
        <f>F10+F28+F33+F42</f>
        <v>576.34333333333336</v>
      </c>
    </row>
  </sheetData>
  <mergeCells count="1">
    <mergeCell ref="A3:F3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2"/>
  <sheetViews>
    <sheetView topLeftCell="A16" workbookViewId="0">
      <selection activeCell="F22" sqref="F22"/>
    </sheetView>
  </sheetViews>
  <sheetFormatPr defaultRowHeight="15" x14ac:dyDescent="0.25"/>
  <cols>
    <col min="1" max="1" width="49.28515625" customWidth="1"/>
    <col min="2" max="2" width="8.42578125" customWidth="1"/>
    <col min="3" max="3" width="10.28515625" bestFit="1" customWidth="1"/>
    <col min="4" max="4" width="13.5703125" bestFit="1" customWidth="1"/>
    <col min="5" max="5" width="12" customWidth="1"/>
    <col min="6" max="6" width="15.7109375" customWidth="1"/>
  </cols>
  <sheetData>
    <row r="1" spans="1:6" ht="15.75" thickBot="1" x14ac:dyDescent="0.3"/>
    <row r="2" spans="1:6" ht="18.75" thickBot="1" x14ac:dyDescent="0.3">
      <c r="A2" s="205" t="s">
        <v>214</v>
      </c>
      <c r="B2" s="206"/>
      <c r="C2" s="206"/>
      <c r="D2" s="206"/>
      <c r="E2" s="206"/>
      <c r="F2" s="207"/>
    </row>
    <row r="3" spans="1:6" x14ac:dyDescent="0.25">
      <c r="A3" s="89" t="s">
        <v>159</v>
      </c>
      <c r="B3" s="90" t="s">
        <v>160</v>
      </c>
      <c r="C3" s="142">
        <v>6.8999999999999999E-3</v>
      </c>
      <c r="D3" s="91"/>
      <c r="E3" s="92"/>
      <c r="F3" s="93"/>
    </row>
    <row r="4" spans="1:6" x14ac:dyDescent="0.25">
      <c r="A4" s="94" t="s">
        <v>161</v>
      </c>
      <c r="B4" s="95" t="s">
        <v>162</v>
      </c>
      <c r="C4" s="143">
        <v>4.5400000000000003E-2</v>
      </c>
      <c r="D4" s="91"/>
      <c r="E4" s="92"/>
      <c r="F4" s="93"/>
    </row>
    <row r="5" spans="1:6" x14ac:dyDescent="0.25">
      <c r="A5" s="94" t="s">
        <v>163</v>
      </c>
      <c r="B5" s="95" t="s">
        <v>164</v>
      </c>
      <c r="C5" s="143">
        <v>0.38100000000000001</v>
      </c>
      <c r="D5" s="91"/>
      <c r="E5" s="92"/>
      <c r="F5" s="93"/>
    </row>
    <row r="6" spans="1:6" x14ac:dyDescent="0.25">
      <c r="A6" s="94" t="s">
        <v>165</v>
      </c>
      <c r="B6" s="95" t="s">
        <v>166</v>
      </c>
      <c r="C6" s="96">
        <v>6.6500000000000004E-2</v>
      </c>
      <c r="D6" s="91" t="s">
        <v>167</v>
      </c>
      <c r="E6" s="145">
        <v>0.13750000000000001</v>
      </c>
      <c r="F6" s="97"/>
    </row>
    <row r="7" spans="1:6" x14ac:dyDescent="0.25">
      <c r="A7" s="94" t="s">
        <v>168</v>
      </c>
      <c r="B7" s="208" t="s">
        <v>169</v>
      </c>
      <c r="C7" s="143">
        <v>0.03</v>
      </c>
      <c r="D7" s="98" t="s">
        <v>170</v>
      </c>
      <c r="E7" s="146">
        <v>15</v>
      </c>
      <c r="F7" s="99"/>
    </row>
    <row r="8" spans="1:6" ht="15.75" thickBot="1" x14ac:dyDescent="0.3">
      <c r="A8" s="100" t="s">
        <v>171</v>
      </c>
      <c r="B8" s="209"/>
      <c r="C8" s="144">
        <v>3.6499999999999998E-2</v>
      </c>
      <c r="D8" s="101"/>
      <c r="E8" s="102"/>
      <c r="F8" s="99"/>
    </row>
    <row r="9" spans="1:6" x14ac:dyDescent="0.25">
      <c r="A9" s="103" t="s">
        <v>172</v>
      </c>
      <c r="B9" s="104"/>
      <c r="C9" s="105" t="s">
        <v>98</v>
      </c>
      <c r="D9" s="101"/>
      <c r="E9" s="102"/>
      <c r="F9" s="99"/>
    </row>
    <row r="10" spans="1:6" ht="15.75" thickBot="1" x14ac:dyDescent="0.3">
      <c r="A10" s="106" t="s">
        <v>173</v>
      </c>
      <c r="B10" s="107"/>
      <c r="C10" s="108"/>
      <c r="D10" s="101"/>
      <c r="E10" s="102"/>
      <c r="F10" s="99"/>
    </row>
    <row r="11" spans="1:6" ht="15.75" thickBot="1" x14ac:dyDescent="0.3">
      <c r="A11" s="109" t="s">
        <v>174</v>
      </c>
      <c r="B11" s="110"/>
      <c r="C11" s="164">
        <f>ROUND((((1+C3+C4)*(1+C5)*(1+C6))/(1-(C7+C8))-1),4)</f>
        <v>0.6603</v>
      </c>
      <c r="D11" s="111"/>
      <c r="E11" s="112"/>
      <c r="F11" s="113"/>
    </row>
    <row r="14" spans="1:6" ht="15.75" thickBot="1" x14ac:dyDescent="0.3"/>
    <row r="15" spans="1:6" ht="15.75" thickBot="1" x14ac:dyDescent="0.3">
      <c r="A15" s="153" t="s">
        <v>184</v>
      </c>
      <c r="B15" s="163" t="s">
        <v>181</v>
      </c>
      <c r="C15" s="154"/>
      <c r="D15" s="154"/>
      <c r="E15" s="154"/>
      <c r="F15" s="188">
        <f>'Mão de obra'!F59+'Impostos e manutenção'!F44</f>
        <v>576.34333333333336</v>
      </c>
    </row>
    <row r="17" spans="1:6" ht="15.75" thickBot="1" x14ac:dyDescent="0.3">
      <c r="A17" s="123" t="s">
        <v>215</v>
      </c>
    </row>
    <row r="18" spans="1:6" ht="15.75" thickBot="1" x14ac:dyDescent="0.3">
      <c r="A18" s="36" t="s">
        <v>86</v>
      </c>
      <c r="B18" s="37" t="s">
        <v>87</v>
      </c>
      <c r="C18" s="37" t="s">
        <v>88</v>
      </c>
      <c r="D18" s="38" t="s">
        <v>89</v>
      </c>
      <c r="E18" s="38" t="s">
        <v>90</v>
      </c>
      <c r="F18" s="39" t="s">
        <v>91</v>
      </c>
    </row>
    <row r="19" spans="1:6" ht="15.75" thickBot="1" x14ac:dyDescent="0.3">
      <c r="A19" s="40" t="s">
        <v>185</v>
      </c>
      <c r="B19" s="41" t="s">
        <v>98</v>
      </c>
      <c r="C19" s="120">
        <f>C11*100</f>
        <v>66.03</v>
      </c>
      <c r="D19" s="42">
        <f>+F15</f>
        <v>576.34333333333336</v>
      </c>
      <c r="E19" s="42">
        <f>C19*D19/100</f>
        <v>380.55950300000006</v>
      </c>
      <c r="F19" s="43"/>
    </row>
    <row r="20" spans="1:6" ht="15.75" thickBot="1" x14ac:dyDescent="0.3">
      <c r="A20" s="47"/>
      <c r="B20" s="47"/>
      <c r="C20" s="47"/>
      <c r="D20" s="43"/>
      <c r="E20" s="43"/>
      <c r="F20" s="189">
        <f>+E19</f>
        <v>380.55950300000006</v>
      </c>
    </row>
    <row r="21" spans="1:6" ht="15.75" thickBot="1" x14ac:dyDescent="0.3">
      <c r="A21" s="47"/>
      <c r="B21" s="47"/>
      <c r="C21" s="47"/>
      <c r="D21" s="43"/>
      <c r="E21" s="43"/>
      <c r="F21" s="43"/>
    </row>
    <row r="22" spans="1:6" ht="15.75" thickBot="1" x14ac:dyDescent="0.3">
      <c r="A22" s="124" t="s">
        <v>186</v>
      </c>
      <c r="B22" s="125"/>
      <c r="C22" s="125"/>
      <c r="D22" s="126"/>
      <c r="E22" s="127"/>
      <c r="F22" s="190">
        <f>F20</f>
        <v>380.55950300000006</v>
      </c>
    </row>
  </sheetData>
  <mergeCells count="2">
    <mergeCell ref="A2:F2"/>
    <mergeCell ref="B7:B8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23"/>
  <sheetViews>
    <sheetView tabSelected="1" zoomScale="120" zoomScaleNormal="120" workbookViewId="0">
      <selection activeCell="C30" sqref="C30"/>
    </sheetView>
  </sheetViews>
  <sheetFormatPr defaultRowHeight="15" x14ac:dyDescent="0.25"/>
  <cols>
    <col min="1" max="1" width="39.42578125" bestFit="1" customWidth="1"/>
    <col min="2" max="2" width="24.140625" style="128" customWidth="1"/>
    <col min="3" max="3" width="21.28515625" style="3" customWidth="1"/>
    <col min="4" max="4" width="12.5703125" customWidth="1"/>
  </cols>
  <sheetData>
    <row r="1" spans="1:3" ht="18.75" thickBot="1" x14ac:dyDescent="0.3">
      <c r="A1" s="199" t="s">
        <v>216</v>
      </c>
      <c r="B1" s="210"/>
      <c r="C1" s="211"/>
    </row>
    <row r="2" spans="1:3" x14ac:dyDescent="0.25">
      <c r="A2" s="172" t="s">
        <v>33</v>
      </c>
      <c r="B2" s="171" t="s">
        <v>175</v>
      </c>
      <c r="C2" s="173" t="s">
        <v>98</v>
      </c>
    </row>
    <row r="3" spans="1:3" x14ac:dyDescent="0.25">
      <c r="A3" s="174" t="s">
        <v>85</v>
      </c>
      <c r="B3" s="150">
        <f>SUM(B4:B8)</f>
        <v>0</v>
      </c>
      <c r="C3" s="175">
        <f t="shared" ref="C3:C16" si="0">IFERROR(B3/$B$17,0)</f>
        <v>0</v>
      </c>
    </row>
    <row r="4" spans="1:3" x14ac:dyDescent="0.25">
      <c r="A4" s="176" t="s">
        <v>188</v>
      </c>
      <c r="B4" s="151">
        <f>'Mão de obra'!F17</f>
        <v>0</v>
      </c>
      <c r="C4" s="177">
        <f t="shared" si="0"/>
        <v>0</v>
      </c>
    </row>
    <row r="5" spans="1:3" x14ac:dyDescent="0.25">
      <c r="A5" s="176" t="s">
        <v>189</v>
      </c>
      <c r="B5" s="151">
        <f>'Mão de obra'!F38</f>
        <v>0</v>
      </c>
      <c r="C5" s="177">
        <f t="shared" si="0"/>
        <v>0</v>
      </c>
    </row>
    <row r="6" spans="1:3" x14ac:dyDescent="0.25">
      <c r="A6" s="176" t="s">
        <v>190</v>
      </c>
      <c r="B6" s="151">
        <f>'Mão de obra'!F46</f>
        <v>0</v>
      </c>
      <c r="C6" s="177">
        <f t="shared" si="0"/>
        <v>0</v>
      </c>
    </row>
    <row r="7" spans="1:3" x14ac:dyDescent="0.25">
      <c r="A7" s="176" t="s">
        <v>191</v>
      </c>
      <c r="B7" s="151">
        <f>'Mão de obra'!F51</f>
        <v>0</v>
      </c>
      <c r="C7" s="177">
        <f t="shared" si="0"/>
        <v>0</v>
      </c>
    </row>
    <row r="8" spans="1:3" x14ac:dyDescent="0.25">
      <c r="A8" s="176" t="s">
        <v>192</v>
      </c>
      <c r="B8" s="151">
        <f>'Mão de obra'!F56</f>
        <v>0</v>
      </c>
      <c r="C8" s="177">
        <f t="shared" si="0"/>
        <v>0</v>
      </c>
    </row>
    <row r="9" spans="1:3" x14ac:dyDescent="0.25">
      <c r="A9" s="174" t="s">
        <v>193</v>
      </c>
      <c r="B9" s="150" t="e">
        <f>SUM(B10:B15)</f>
        <v>#DIV/0!</v>
      </c>
      <c r="C9" s="178">
        <f t="shared" si="0"/>
        <v>0</v>
      </c>
    </row>
    <row r="10" spans="1:3" x14ac:dyDescent="0.25">
      <c r="A10" s="176" t="s">
        <v>194</v>
      </c>
      <c r="B10" s="151">
        <f>'Remuneração de capital'!F19</f>
        <v>0</v>
      </c>
      <c r="C10" s="177">
        <f t="shared" si="0"/>
        <v>0</v>
      </c>
    </row>
    <row r="11" spans="1:3" x14ac:dyDescent="0.25">
      <c r="A11" s="176" t="s">
        <v>195</v>
      </c>
      <c r="B11" s="151" t="e">
        <f>'Remuneração de capital'!F32</f>
        <v>#DIV/0!</v>
      </c>
      <c r="C11" s="179">
        <f t="shared" si="0"/>
        <v>0</v>
      </c>
    </row>
    <row r="12" spans="1:3" x14ac:dyDescent="0.25">
      <c r="A12" s="176" t="s">
        <v>196</v>
      </c>
      <c r="B12" s="151">
        <f>'Impostos e manutenção'!F10</f>
        <v>557.86333333333334</v>
      </c>
      <c r="C12" s="179">
        <f t="shared" si="0"/>
        <v>0</v>
      </c>
    </row>
    <row r="13" spans="1:3" x14ac:dyDescent="0.25">
      <c r="A13" s="176" t="s">
        <v>197</v>
      </c>
      <c r="B13" s="151">
        <f>'Impostos e manutenção'!F28</f>
        <v>18.48</v>
      </c>
      <c r="C13" s="179">
        <f t="shared" si="0"/>
        <v>0</v>
      </c>
    </row>
    <row r="14" spans="1:3" x14ac:dyDescent="0.25">
      <c r="A14" s="176" t="s">
        <v>198</v>
      </c>
      <c r="B14" s="151">
        <f>'Impostos e manutenção'!F33</f>
        <v>0</v>
      </c>
      <c r="C14" s="179">
        <f t="shared" si="0"/>
        <v>0</v>
      </c>
    </row>
    <row r="15" spans="1:3" x14ac:dyDescent="0.25">
      <c r="A15" s="176" t="s">
        <v>199</v>
      </c>
      <c r="B15" s="151">
        <f>'Impostos e manutenção'!F42</f>
        <v>0</v>
      </c>
      <c r="C15" s="179">
        <f t="shared" si="0"/>
        <v>0</v>
      </c>
    </row>
    <row r="16" spans="1:3" x14ac:dyDescent="0.25">
      <c r="A16" s="174" t="s">
        <v>200</v>
      </c>
      <c r="B16" s="191">
        <f>BDI!F22</f>
        <v>380.55950300000006</v>
      </c>
      <c r="C16" s="175">
        <f t="shared" si="0"/>
        <v>0</v>
      </c>
    </row>
    <row r="17" spans="1:3" ht="15.75" thickBot="1" x14ac:dyDescent="0.3">
      <c r="A17" s="180" t="s">
        <v>201</v>
      </c>
      <c r="B17" s="192" t="e">
        <f>SUM(B3+B9+B16)</f>
        <v>#DIV/0!</v>
      </c>
      <c r="C17" s="181">
        <f>C3+C9+C16</f>
        <v>0</v>
      </c>
    </row>
    <row r="20" spans="1:3" x14ac:dyDescent="0.25">
      <c r="A20" s="186" t="s">
        <v>221</v>
      </c>
      <c r="B20" s="187"/>
    </row>
    <row r="21" spans="1:3" x14ac:dyDescent="0.25">
      <c r="A21" s="186" t="s">
        <v>220</v>
      </c>
      <c r="C21" s="193" t="e">
        <f>B17/B20</f>
        <v>#DIV/0!</v>
      </c>
    </row>
    <row r="23" spans="1:3" x14ac:dyDescent="0.25">
      <c r="A23" s="186"/>
    </row>
  </sheetData>
  <mergeCells count="1">
    <mergeCell ref="A1:C1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CAGED</vt:lpstr>
      <vt:lpstr>Encargos</vt:lpstr>
      <vt:lpstr>Mão de obra</vt:lpstr>
      <vt:lpstr>Remuneração de capital</vt:lpstr>
      <vt:lpstr>Impostos e manutenção</vt:lpstr>
      <vt:lpstr>BDI</vt:lpstr>
      <vt:lpstr>Composição de custos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</dc:creator>
  <cp:lastModifiedBy>user</cp:lastModifiedBy>
  <cp:lastPrinted>2023-09-25T18:02:54Z</cp:lastPrinted>
  <dcterms:created xsi:type="dcterms:W3CDTF">2020-01-13T18:06:35Z</dcterms:created>
  <dcterms:modified xsi:type="dcterms:W3CDTF">2025-02-10T13:51:18Z</dcterms:modified>
</cp:coreProperties>
</file>