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EstaPastaDeTrabalho"/>
  <mc:AlternateContent xmlns:mc="http://schemas.openxmlformats.org/markup-compatibility/2006">
    <mc:Choice Requires="x15">
      <x15ac:absPath xmlns:x15ac="http://schemas.microsoft.com/office/spreadsheetml/2010/11/ac" url="\\cmpa-s15\secao_de_obras_e_manutencao\compartilhadaObras\02_PROJETOS\ESTAÇÃO ELEVATÓRIA\Documentos SEI\"/>
    </mc:Choice>
  </mc:AlternateContent>
  <xr:revisionPtr revIDLastSave="0" documentId="13_ncr:1_{9B4F2B9D-705C-4E6B-9CF9-2472538C7D69}" xr6:coauthVersionLast="47" xr6:coauthVersionMax="47" xr10:uidLastSave="{00000000-0000-0000-0000-000000000000}"/>
  <bookViews>
    <workbookView xWindow="-108" yWindow="-108" windowWidth="30936" windowHeight="16896" tabRatio="873" activeTab="9" xr2:uid="{00000000-000D-0000-FFFF-FFFF00000000}"/>
  </bookViews>
  <sheets>
    <sheet name="PROG NECESSIDADES" sheetId="1" r:id="rId1"/>
    <sheet name="MEMÓRIA CÁLCULO" sheetId="4" r:id="rId2"/>
    <sheet name="ORÇAMENTO - DESONERADO" sheetId="2" r:id="rId3"/>
    <sheet name="COMPOSIÇÕES - DESONERADO" sheetId="5" r:id="rId4"/>
    <sheet name="ORÇAMENTO - NÃO DESONERADO" sheetId="7" r:id="rId5"/>
    <sheet name="COMPOSIÇÕES - NÃO DESONERADO" sheetId="8" r:id="rId6"/>
    <sheet name="COMPARATIVO" sheetId="11" r:id="rId7"/>
    <sheet name="BDI" sheetId="9" r:id="rId8"/>
    <sheet name="ENCARGOS" sheetId="10" r:id="rId9"/>
    <sheet name="CRONOGRAMA" sheetId="3" r:id="rId10"/>
  </sheets>
  <definedNames>
    <definedName name="Excel_BuiltIn_Print_Area_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1" i="7" l="1"/>
  <c r="H41" i="7" s="1"/>
  <c r="G42" i="7"/>
  <c r="H42" i="7" s="1"/>
  <c r="G43" i="7"/>
  <c r="H43" i="7"/>
  <c r="G39" i="7"/>
  <c r="H39" i="7" s="1"/>
  <c r="G27" i="7"/>
  <c r="H27" i="7" s="1"/>
  <c r="G28" i="7"/>
  <c r="H28" i="7" s="1"/>
  <c r="G29" i="7"/>
  <c r="H29" i="7"/>
  <c r="G30" i="7"/>
  <c r="H30" i="7" s="1"/>
  <c r="G31" i="7"/>
  <c r="G32" i="7"/>
  <c r="H32" i="7" s="1"/>
  <c r="G33" i="7"/>
  <c r="H33" i="7" s="1"/>
  <c r="G34" i="7"/>
  <c r="H34" i="7"/>
  <c r="G35" i="7"/>
  <c r="H35" i="7" s="1"/>
  <c r="G26" i="7"/>
  <c r="H26" i="7" s="1"/>
  <c r="G15" i="7"/>
  <c r="H15" i="7" s="1"/>
  <c r="G16" i="7"/>
  <c r="H16" i="7" s="1"/>
  <c r="G17" i="7"/>
  <c r="H17" i="7" s="1"/>
  <c r="G19" i="7"/>
  <c r="H19" i="7"/>
  <c r="G20" i="7"/>
  <c r="G21" i="7"/>
  <c r="H21" i="7" s="1"/>
  <c r="G22" i="7"/>
  <c r="H22" i="7" s="1"/>
  <c r="G14" i="7"/>
  <c r="H14" i="7" s="1"/>
  <c r="G9" i="7"/>
  <c r="G10" i="7"/>
  <c r="H10" i="7" s="1"/>
  <c r="G8" i="7"/>
  <c r="H8" i="7" s="1"/>
  <c r="G38" i="10"/>
  <c r="F38" i="10"/>
  <c r="E38" i="10"/>
  <c r="D38" i="10"/>
  <c r="G31" i="10"/>
  <c r="G40" i="10"/>
  <c r="F31" i="10"/>
  <c r="F40" i="10"/>
  <c r="E31" i="10"/>
  <c r="D31" i="10"/>
  <c r="D40" i="10"/>
  <c r="G19" i="10"/>
  <c r="G41" i="10"/>
  <c r="F19" i="10"/>
  <c r="F41" i="10"/>
  <c r="E19" i="10"/>
  <c r="E41" i="10"/>
  <c r="D19" i="10"/>
  <c r="F39" i="9"/>
  <c r="E39" i="9"/>
  <c r="D39" i="9"/>
  <c r="C39" i="9"/>
  <c r="F20" i="9"/>
  <c r="E20" i="9"/>
  <c r="D20" i="9"/>
  <c r="C20" i="9"/>
  <c r="F19" i="9"/>
  <c r="E19" i="9"/>
  <c r="D19" i="9"/>
  <c r="C19" i="9"/>
  <c r="G8" i="8"/>
  <c r="G9" i="8"/>
  <c r="G10" i="8"/>
  <c r="G11" i="8"/>
  <c r="G14" i="8"/>
  <c r="G15" i="8"/>
  <c r="G16" i="8"/>
  <c r="G17" i="8"/>
  <c r="G22" i="8"/>
  <c r="G23" i="8"/>
  <c r="G24" i="8"/>
  <c r="G25" i="8"/>
  <c r="G30" i="8"/>
  <c r="G31" i="8"/>
  <c r="G32" i="8"/>
  <c r="G33" i="8"/>
  <c r="G34" i="8"/>
  <c r="G39" i="8"/>
  <c r="G40" i="8"/>
  <c r="G41" i="8"/>
  <c r="G42" i="8"/>
  <c r="E43" i="7"/>
  <c r="E42" i="7"/>
  <c r="E41" i="7"/>
  <c r="E40" i="7"/>
  <c r="E39" i="7"/>
  <c r="E35" i="7"/>
  <c r="E34" i="7"/>
  <c r="E33" i="7"/>
  <c r="E32" i="7"/>
  <c r="E31" i="7"/>
  <c r="E30" i="7"/>
  <c r="E29" i="7"/>
  <c r="E28" i="7"/>
  <c r="E27" i="7"/>
  <c r="E26" i="7"/>
  <c r="E22" i="7"/>
  <c r="E21" i="7"/>
  <c r="E20" i="7"/>
  <c r="E19" i="7"/>
  <c r="E18" i="7"/>
  <c r="E17" i="7"/>
  <c r="E16" i="7"/>
  <c r="E15" i="7"/>
  <c r="E14" i="7"/>
  <c r="E10" i="7"/>
  <c r="E9" i="7"/>
  <c r="E8" i="7"/>
  <c r="H9" i="7"/>
  <c r="H31" i="7"/>
  <c r="H20" i="7"/>
  <c r="G8" i="5"/>
  <c r="G9" i="5"/>
  <c r="G10" i="5"/>
  <c r="G11" i="5"/>
  <c r="G14" i="5"/>
  <c r="G15" i="5"/>
  <c r="G16" i="5"/>
  <c r="G17" i="5"/>
  <c r="G22" i="5"/>
  <c r="G23" i="5"/>
  <c r="G24" i="5"/>
  <c r="G25" i="5"/>
  <c r="G30" i="5"/>
  <c r="G31" i="5"/>
  <c r="G32" i="5"/>
  <c r="G33" i="5"/>
  <c r="G34" i="5"/>
  <c r="G39" i="5"/>
  <c r="G40" i="5"/>
  <c r="G41" i="5"/>
  <c r="G42" i="5"/>
  <c r="G12" i="4"/>
  <c r="E14" i="2"/>
  <c r="G13" i="4"/>
  <c r="E15" i="2"/>
  <c r="G14" i="4"/>
  <c r="E16" i="2"/>
  <c r="G15" i="4"/>
  <c r="G17" i="4"/>
  <c r="G18" i="4"/>
  <c r="G20" i="4"/>
  <c r="G22" i="4"/>
  <c r="E26" i="2"/>
  <c r="G29" i="4"/>
  <c r="G30" i="4"/>
  <c r="E34" i="2"/>
  <c r="G31" i="4"/>
  <c r="E35" i="2"/>
  <c r="G33" i="4"/>
  <c r="G35" i="4"/>
  <c r="E41" i="2"/>
  <c r="G36" i="4"/>
  <c r="E42" i="2"/>
  <c r="G37" i="4"/>
  <c r="E43" i="2"/>
  <c r="C8" i="3"/>
  <c r="M8" i="3"/>
  <c r="C9" i="3"/>
  <c r="M9" i="3"/>
  <c r="C10" i="3"/>
  <c r="M10" i="3"/>
  <c r="C11" i="3"/>
  <c r="M11" i="3"/>
  <c r="E8" i="2"/>
  <c r="G8" i="2"/>
  <c r="H8" i="2" s="1"/>
  <c r="E9" i="2"/>
  <c r="G9" i="2"/>
  <c r="E10" i="2"/>
  <c r="G10" i="2"/>
  <c r="H10" i="2" s="1"/>
  <c r="G14" i="2"/>
  <c r="H14" i="2" s="1"/>
  <c r="G15" i="2"/>
  <c r="H15" i="2" s="1"/>
  <c r="G16" i="2"/>
  <c r="H16" i="2" s="1"/>
  <c r="E17" i="2"/>
  <c r="G17" i="2"/>
  <c r="H17" i="2" s="1"/>
  <c r="E18" i="2"/>
  <c r="E19" i="2"/>
  <c r="G19" i="2"/>
  <c r="H19" i="2" s="1"/>
  <c r="E20" i="2"/>
  <c r="G20" i="2"/>
  <c r="H20" i="2" s="1"/>
  <c r="E21" i="2"/>
  <c r="G21" i="2"/>
  <c r="H21" i="2" s="1"/>
  <c r="E22" i="2"/>
  <c r="G22" i="2"/>
  <c r="H22" i="2" s="1"/>
  <c r="G26" i="2"/>
  <c r="H26" i="2" s="1"/>
  <c r="E27" i="2"/>
  <c r="G27" i="2"/>
  <c r="H27" i="2" s="1"/>
  <c r="E28" i="2"/>
  <c r="G28" i="2"/>
  <c r="H28" i="2" s="1"/>
  <c r="E29" i="2"/>
  <c r="G29" i="2"/>
  <c r="H29" i="2" s="1"/>
  <c r="E30" i="2"/>
  <c r="G30" i="2"/>
  <c r="H30" i="2" s="1"/>
  <c r="E31" i="2"/>
  <c r="G31" i="2"/>
  <c r="H31" i="2" s="1"/>
  <c r="E32" i="2"/>
  <c r="G32" i="2"/>
  <c r="H32" i="2" s="1"/>
  <c r="E33" i="2"/>
  <c r="G33" i="2"/>
  <c r="H33" i="2" s="1"/>
  <c r="G34" i="2"/>
  <c r="H34" i="2" s="1"/>
  <c r="G35" i="2"/>
  <c r="H35" i="2" s="1"/>
  <c r="E39" i="2"/>
  <c r="G39" i="2"/>
  <c r="E40" i="2"/>
  <c r="G41" i="2"/>
  <c r="H41" i="2" s="1"/>
  <c r="G42" i="2"/>
  <c r="H42" i="2" s="1"/>
  <c r="G43" i="2"/>
  <c r="H43" i="2" s="1"/>
  <c r="H39" i="2"/>
  <c r="H9" i="2"/>
  <c r="D41" i="10"/>
  <c r="E40" i="10"/>
  <c r="G42" i="10"/>
  <c r="G43" i="10"/>
  <c r="E42" i="10"/>
  <c r="E43" i="10"/>
  <c r="F42" i="10"/>
  <c r="F43" i="10"/>
  <c r="D42" i="10"/>
  <c r="D43" i="10"/>
  <c r="G43" i="8" l="1"/>
  <c r="F40" i="7" s="1"/>
  <c r="G40" i="7" s="1"/>
  <c r="H40" i="7" s="1"/>
  <c r="H44" i="7" s="1"/>
  <c r="G35" i="8"/>
  <c r="E13" i="8" s="1"/>
  <c r="G13" i="8" s="1"/>
  <c r="G26" i="8"/>
  <c r="E12" i="8" s="1"/>
  <c r="G12" i="8" s="1"/>
  <c r="H36" i="7"/>
  <c r="H11" i="7"/>
  <c r="G43" i="5"/>
  <c r="F40" i="2" s="1"/>
  <c r="G40" i="2" s="1"/>
  <c r="H40" i="2" s="1"/>
  <c r="H44" i="2" s="1"/>
  <c r="H11" i="3" s="1"/>
  <c r="G35" i="5"/>
  <c r="E13" i="5" s="1"/>
  <c r="G13" i="5" s="1"/>
  <c r="G26" i="5"/>
  <c r="E12" i="5" s="1"/>
  <c r="G12" i="5" s="1"/>
  <c r="H36" i="2"/>
  <c r="H10" i="3" s="1"/>
  <c r="H11" i="2"/>
  <c r="H8" i="3" s="1"/>
  <c r="G18" i="8" l="1"/>
  <c r="F18" i="7" s="1"/>
  <c r="G18" i="7" s="1"/>
  <c r="H18" i="7" s="1"/>
  <c r="H23" i="7" s="1"/>
  <c r="H45" i="7" s="1"/>
  <c r="D7" i="11" s="1"/>
  <c r="G18" i="5"/>
  <c r="F18" i="2" s="1"/>
  <c r="G18" i="2" s="1"/>
  <c r="H18" i="2" s="1"/>
  <c r="H23" i="2" s="1"/>
  <c r="D9" i="3" s="1"/>
  <c r="J11" i="3"/>
  <c r="L11" i="3" s="1"/>
  <c r="F8" i="3"/>
  <c r="J8" i="3"/>
  <c r="D8" i="3"/>
  <c r="F10" i="3"/>
  <c r="L10" i="3" s="1"/>
  <c r="H12" i="3"/>
  <c r="L8" i="3"/>
  <c r="H45" i="2" l="1"/>
  <c r="D8" i="11" s="1"/>
  <c r="F8" i="11" s="1"/>
  <c r="F9" i="3"/>
  <c r="L9" i="3" s="1"/>
  <c r="L12" i="3" s="1"/>
  <c r="D12" i="3"/>
  <c r="D13" i="3" s="1"/>
  <c r="J12" i="3"/>
  <c r="F12" i="3" l="1"/>
  <c r="F13" i="3" s="1"/>
  <c r="H13" i="3" s="1"/>
  <c r="J13" i="3" s="1"/>
</calcChain>
</file>

<file path=xl/sharedStrings.xml><?xml version="1.0" encoding="utf-8"?>
<sst xmlns="http://schemas.openxmlformats.org/spreadsheetml/2006/main" count="735" uniqueCount="299">
  <si>
    <t>PROGRAMA DE NECESSIDADES</t>
  </si>
  <si>
    <t>ITEM</t>
  </si>
  <si>
    <t>SERVIÇOS</t>
  </si>
  <si>
    <t>1.</t>
  </si>
  <si>
    <t>SERVIÇOS PRELIMINARES</t>
  </si>
  <si>
    <t>1.1</t>
  </si>
  <si>
    <t>1.2</t>
  </si>
  <si>
    <t>2.</t>
  </si>
  <si>
    <t>3.</t>
  </si>
  <si>
    <t>4.</t>
  </si>
  <si>
    <t>ARQ. URB GABRIELA MARIA SCRINZ</t>
  </si>
  <si>
    <t>UN</t>
  </si>
  <si>
    <t>QTD</t>
  </si>
  <si>
    <t>VL UN</t>
  </si>
  <si>
    <t>VL TOTAL</t>
  </si>
  <si>
    <t>COD SINAPI</t>
  </si>
  <si>
    <t>un</t>
  </si>
  <si>
    <t>COMP 1</t>
  </si>
  <si>
    <t>1.3</t>
  </si>
  <si>
    <t>mês</t>
  </si>
  <si>
    <t>LOCACAO DE CONTAINER 2,30 X 6,00 M, ALT. 2,50 M, PARA ESCRITORIO, SEM DIVISORIAS INTERNAS E SEM SANITARIO</t>
  </si>
  <si>
    <t>m²</t>
  </si>
  <si>
    <t>TOTAL DE SERVIÇOS PRELIMINARES</t>
  </si>
  <si>
    <t>2.1</t>
  </si>
  <si>
    <t>m³</t>
  </si>
  <si>
    <t>2.2</t>
  </si>
  <si>
    <t>2.3</t>
  </si>
  <si>
    <t>m</t>
  </si>
  <si>
    <t>2.4</t>
  </si>
  <si>
    <t>2.5</t>
  </si>
  <si>
    <t>2.6</t>
  </si>
  <si>
    <t>2.7</t>
  </si>
  <si>
    <t>2.8</t>
  </si>
  <si>
    <t>3.1</t>
  </si>
  <si>
    <t>3.2</t>
  </si>
  <si>
    <t>3.3</t>
  </si>
  <si>
    <t>3.4</t>
  </si>
  <si>
    <t>4.1</t>
  </si>
  <si>
    <t>4.2</t>
  </si>
  <si>
    <t>4.3</t>
  </si>
  <si>
    <t>4.4</t>
  </si>
  <si>
    <t>4.5</t>
  </si>
  <si>
    <t>TOTAL OBRA</t>
  </si>
  <si>
    <t>R$</t>
  </si>
  <si>
    <t>CAU A24.199-7</t>
  </si>
  <si>
    <t>ENG. CIVIL ARTHUR RODRIGUES DE FREITAS LIMA</t>
  </si>
  <si>
    <t>CREA RS255877</t>
  </si>
  <si>
    <t>ESPECIFICAÇÃO</t>
  </si>
  <si>
    <t>SOMA SERVIÇOS</t>
  </si>
  <si>
    <t>%</t>
  </si>
  <si>
    <t>SOMA</t>
  </si>
  <si>
    <t>ACUMULADO</t>
  </si>
  <si>
    <t>MEMÓRIA DE CÁLCULO</t>
  </si>
  <si>
    <t>CÓDIGO</t>
  </si>
  <si>
    <t>DESCRIÇÃO</t>
  </si>
  <si>
    <t>UNIDADE</t>
  </si>
  <si>
    <t>PREÇO UNIT</t>
  </si>
  <si>
    <t>ÍNDICE</t>
  </si>
  <si>
    <t>TOTAL UNITÁRIO</t>
  </si>
  <si>
    <t>h</t>
  </si>
  <si>
    <t>CUSTO TOTAL</t>
  </si>
  <si>
    <t>COMP 2</t>
  </si>
  <si>
    <t>INSTALAÇÃO DE ESTAÇÃO ELEVATÓRIA DE ESGOTO SANITÁRIO</t>
  </si>
  <si>
    <t>I-10776</t>
  </si>
  <si>
    <t>ENGENHEIRO CIVIL DE OBRA PLENO COM ENCARGOS COMPLEMENTARES</t>
  </si>
  <si>
    <t>ENCARREGADO GERAL DE OBRAS COM ENCARGOS COMPLEMENTARES</t>
  </si>
  <si>
    <t>BDI (28,21%)</t>
  </si>
  <si>
    <t>REATERRO MECANIZADO DE VALA COM ESCAVADEIRA HIDRÁULICA, LARGURA DE 1,5 A 2,5 M, PROFUNDIDADE DE 1,5 A 3,0 M, COM SOLO (SEM SUBSTITUIÇÃO) DE 1ª CATEGORIA, COM COMPACTADOR DE SOLOS DE PERCUSSÃO.</t>
  </si>
  <si>
    <t>REATERRO MECANIZADO DE VALA COM RETROESCAVADEIRA, LARGURA ATÉ 0,8 M, PROFUNDIDADE ATÉ 1,5 M, COM SOLO (SEM SUBSTITUIÇÃO) DE 1ª CATEGORIA, COM COMPACTADOR DE SOLOS DE PERCUSSÃO.</t>
  </si>
  <si>
    <t>ESCAVAÇÕES E DEMOLIÇÕES</t>
  </si>
  <si>
    <t>3.6</t>
  </si>
  <si>
    <t>3.7</t>
  </si>
  <si>
    <t>INSTALAÇÃO DO EQUIPAMENTO/TUBULAÇÃO E REATERRO</t>
  </si>
  <si>
    <t>TOTAL DE INSTALAÇÃO DO EQUIPAMENTO/TUBULAÇÃO E REATERRO</t>
  </si>
  <si>
    <t>INSTALAÇÃO DE CONTÊINER METÁLICO - ESCRITÓRIO</t>
  </si>
  <si>
    <t>DEMOLIÇÃO DE PISO DE CONCRETO SIMPLES COM MARTELETE SEM REAPROVEITAMENTO</t>
  </si>
  <si>
    <t>REATERRO, PAVIMENTAÇÃO E RECONDICIONAMENTO DO PASSEIO</t>
  </si>
  <si>
    <t>INSTALAÇÃO DA ESTAÇÃO ELEVATÓRIA</t>
  </si>
  <si>
    <t>PAVIMENTAÇÃO DO TRECHO DE ASFALTO DEMOLIDO PARA A INSTALAÇÃO DA TUBULAÇÃO</t>
  </si>
  <si>
    <t>RECONDICIONAMENTO DO PASSEIO QUE FOI DEMOLIDO PARA A INSTALAÇÃO DA TUBULAÇÃO (CONCRETAGEM/INSTALAÇÃO DE PISO DE BASALTO)</t>
  </si>
  <si>
    <t>TOTAL DE REATERRO, PAVIMENTAÇÃO E RECONDICIONAMENTO DO PASSEIO</t>
  </si>
  <si>
    <t>PREPARO DE FUNDO DE VALA COM LARGURA MAIOR OU IGUAL A 1,5 M E MENOR QUE 2,5 M, COM CAMADA DE BRITA, LANÇAMENTO MECANIZADO.</t>
  </si>
  <si>
    <t>TUBO PEAD LISO PARA REDE DE ÁGUA OU ESGOTO, DIÂMETRO DE 160 MM, JUNTA SOLDADA (NÃO INCLUI A EXECUÇÃO DE SOLDA) - FORNECIMENTO E ASSENTAMENTO</t>
  </si>
  <si>
    <t>DEMOLIÇÃO DE PISO DE CONCRETO SIMPLES, DE FORMA MECANIZADA COM MARTELETE, SEM REAPROVEITAMENTO.</t>
  </si>
  <si>
    <t>EXECUÇÃO DE PASSEIO (CALÇADA) OU PISO DE CONCRETO COM CONCRETO MOLDADO IN LOCO, FEITO EM OBRA, ACABAMENTO CONVENCIONAL, ESPESSURA 6 CM, ARMADO.</t>
  </si>
  <si>
    <t>PISO EM PEDRA ASSENTADO SOBRE ARGAMASSA 1:3 (CIMENTO E AREIA).</t>
  </si>
  <si>
    <t>TUBO DE PVC PARA REDE COLETORA DE ESGOTO DE PAREDE MACIÇA, DN 150 MM, JUNTA ELÁSTICA - FORNECIMENTO E ASSENTAMENTO.</t>
  </si>
  <si>
    <t>DEMOLIÇÃO PARCIAL DE PAVIMENTO ASFÁLTICO, DE FORMA MECANIZADA, SEM REAPROVEITAMENTO.</t>
  </si>
  <si>
    <t>ESCORAMENTO DE VALA, TIPO CONTÍNUO, COM PROFUNDIDADE DE 1,5 A 3,0 M, LARGURA MAIOR OU IGUAL A 1,5 M E MENOR QUE 2,5 M.</t>
  </si>
  <si>
    <t>ESCAVAÇÃO MECANIZADA DE VALA COM PROFUNDIDADE ATÉ 1,5 M, LARGURA MENOR QUE 0,8M, EM SOLO DE 1A CATEGORIA, EM LOCAIS COM ALTO NÍVEL DE INTERFERÊNCIA</t>
  </si>
  <si>
    <t>PREPARO DE FUNDO DE VALA COM LARGURA MENOR QUE 1,5 M, COM CAMADA DE BRITA, LANÇAMENTO MANUAL</t>
  </si>
  <si>
    <t>ESCAVAÇÃO MECANIZADA DE VALA COM PROF. MAIOR QUE 1,5 M ATÉ 3,0 M (MÉDIA MONTANTE E JUSANTE/UMA COMPOSIÇÃO POR TRECHO),COM ESCAVADEIRA (1,2 M3),LARG. DE 1,5 M A 2,5 M, EM SOLO DE 1A CATEGORIA, LOCAIS COM BAIXO NÍVEL DE INTERFERÊNCIA.</t>
  </si>
  <si>
    <t>ATERRO MECANIZADO DE VALA COM MINICARREGADEIRA, COM AREIA PARA ATERRO.</t>
  </si>
  <si>
    <t>3.8</t>
  </si>
  <si>
    <t>LIMPEZA DE VEGETAÇÃO E ESCAVAÇÃO DE MATERIAL DE 1ª CATEGORIA</t>
  </si>
  <si>
    <t>ESCAVAÇÃO DE VALA PARA TUBULAÇÃO</t>
  </si>
  <si>
    <t>INSTALAÇÃO DAS TUBULAÇÕES DE ENTRADA PARA A ELEVATÓRIA E DE SAÍDA PARA A REDE PÚBLICA</t>
  </si>
  <si>
    <t>ATERRO COM AREIA PARA PROTEÇÃO DA TUBULAÇÃO E DOS ANEIS DE CONCRETO</t>
  </si>
  <si>
    <t>REATERRO FINAL E COMPACTAÇÃO DAS VALAS COM SOLO</t>
  </si>
  <si>
    <t>REINSTALAÇÃO DO MEIO-FIO QUE FOI RETIRADO PARA A INSTALAÇÃO DA TUBULAÇÃO</t>
  </si>
  <si>
    <t>PREPARO DE FUNDO DAS VALAS COM LASTRO DE BRITA E AREIA, NO CASO DA VALA DA TUBULAÇÃO</t>
  </si>
  <si>
    <t>SEMANA 1</t>
  </si>
  <si>
    <t>SEMANA 2</t>
  </si>
  <si>
    <t>SEMANA 3</t>
  </si>
  <si>
    <t>SEMANA 4</t>
  </si>
  <si>
    <t>INSTALAÇÕES ELÉTRICAS NECESSÁRIAS PARA O FUNCIONAMENTO DA BOMBA</t>
  </si>
  <si>
    <t>SERVIÇO</t>
  </si>
  <si>
    <t>MEDIDAS</t>
  </si>
  <si>
    <t>Altura</t>
  </si>
  <si>
    <t>Comprimento</t>
  </si>
  <si>
    <t>Valor Total</t>
  </si>
  <si>
    <t>Largura/Descrição</t>
  </si>
  <si>
    <t>Locação pelo período da obra</t>
  </si>
  <si>
    <t>Pelo período da obra</t>
  </si>
  <si>
    <t>Total de 60h de trabalho</t>
  </si>
  <si>
    <t>Largura (m)</t>
  </si>
  <si>
    <t>Altura (m)</t>
  </si>
  <si>
    <t>Comprimento (m)</t>
  </si>
  <si>
    <t>ESCAVAÇÃO VERTICAL PARA INFRAESTRUTURA, COM CARGA, DESCARGA E TRANSPORTE DE SOLO DE 1ª CATEGORIA, COM ESCAVADEIRA HIDRÁULICA (CAÇAMBA: 0,8 M³ / 111HP), FROTA DE 3 CAMINHÕES BASCULANTES DE 10 M³, DMT ATÉ 1 KM E VELOCIDADE MÉDIA14 KM/H. AF_05/2020</t>
  </si>
  <si>
    <t>-</t>
  </si>
  <si>
    <t>Saindo da Elevatória e indo até o PV que receberá o efluente</t>
  </si>
  <si>
    <t>Tubulação que liga dois PVs à Elevatória</t>
  </si>
  <si>
    <t>3.5</t>
  </si>
  <si>
    <t>3.9</t>
  </si>
  <si>
    <t>3.10</t>
  </si>
  <si>
    <t>EXECUÇÃO DE PASSEIO (CALÇADA) OU PISO DE CONCRETO COM CONCRETO MOLDADO IN LOCO, FEITO EM OBRA, ACABAMENTO CONVENCIONAL, ESPESSURA 8 CM, ARMADO.</t>
  </si>
  <si>
    <t>DEMOLIÇÃO DE GUIAS, SARJETAS OU SARJETÕES, DE FORMA MECANIZADA, SEM REAPROVEITAMENTO.</t>
  </si>
  <si>
    <t>2.9</t>
  </si>
  <si>
    <t>Dez pontos onde a vala passa por uma guia</t>
  </si>
  <si>
    <t>PEDREIRO COM ENCARGOS COMPLEMENTARES</t>
  </si>
  <si>
    <t>SERVENTE COM ENCARGOS COMPLEMENTARES</t>
  </si>
  <si>
    <t>H</t>
  </si>
  <si>
    <t>REMOÇAO DE GUIAS PRÉ-FABRICADAS DE CONCRETO, DE FORMA MECANIZADA, COM REAPROVEITAMENTO.</t>
  </si>
  <si>
    <t>COMP 3</t>
  </si>
  <si>
    <t xml:space="preserve">ASSENTAMENTO DE GUIA DE CONCRETO PRÉ-FABRICADO, REAPROVEITADA, EM TRECHO RETO </t>
  </si>
  <si>
    <t>I-370</t>
  </si>
  <si>
    <t>AREIA MEDIA - POSTO JAZIDA/FORNECEDOR (RETIRADO NA JAZIDA, SEM TRANSPORTE)</t>
  </si>
  <si>
    <t>ARGAMASSA TRAÇO 1:3 (EM VOLUME DE CIMENTO E AREIA MÉDIA ÚMIDA), PREPARO MANUAL</t>
  </si>
  <si>
    <t>Reinstalação dos meios-fios removidos</t>
  </si>
  <si>
    <t>TUBO PEAD LISO PARA REDE DE ÁGUA OU ESGOTO, DIÂMETRO DE 110 MM, JUNTA SOLDADA (NÃO INCLUI A EXECUÇÃO DE SOLDA) - FORNECIMENTO E ASSENTAMENTO</t>
  </si>
  <si>
    <t>VÁLVULA DE RETENÇÃO HORIZONTAL, DE BRONZE, ROSCÁVEL, 3" - FORNECIMENTO E INSTALAÇÃO.</t>
  </si>
  <si>
    <t>REGISTRO DE GAVETA BRUTO, LATÃO, ROSCÁVEL, 3" - FORNECIMENTO E INSTALAÇÃO.</t>
  </si>
  <si>
    <t>Duas unidades, conforme configuração do equipamento</t>
  </si>
  <si>
    <t>CAIXA ENTERRADA HIDRÁULICA RETANGULAR, EM CONCRETO PRÉ-MOLDADO, DIMENSÕES INTERNAS: 0,6X0,6X0,5 M.</t>
  </si>
  <si>
    <t>Duas caixas que levam o esgoto do Bloco de Utilidades e do Centro de Convivência para a Elevatória</t>
  </si>
  <si>
    <t>CAIXA ENTERRADA HIDRÁULICA RETANGULAR EM ALVENARIA COM TIJOLOS CERÂMICOS MACIÇOS, DIMENSÕES INTERNAS: 1X1X0,6 M PARA REDE DE DRENAGEM.</t>
  </si>
  <si>
    <t>Caixa para apoio e proteção do barrilete</t>
  </si>
  <si>
    <t>TUBO DE PVC PARA REDE COLETORA DE ESGOTO DE PAREDE MACIÇA, DN 100 MM, JUNTA ELÁSTICA - FORNECIMENTO E ASSENTAMENTO.</t>
  </si>
  <si>
    <t>PAVIMENTAÇÃO E RECONDICIONAMENTO DO PASSEIO</t>
  </si>
  <si>
    <t>PLANTIO DE GRAMA ESMERALDA EM PLACAS</t>
  </si>
  <si>
    <t>TOTAL DE ESCAVAÇÕES E DEMOLIÇÕES</t>
  </si>
  <si>
    <t>REBAIXAMENTO DE LENÇOL FREÁTICO</t>
  </si>
  <si>
    <t>I-9875</t>
  </si>
  <si>
    <t>TUBO PVC, SOLDAVEL, DE 50 MM, AGUA FRIA (NBR-5648)</t>
  </si>
  <si>
    <t>I-4030</t>
  </si>
  <si>
    <t>VEU DE POLIESTER PARA IMPERMEABILIZACAO</t>
  </si>
  <si>
    <t>KIT PONTEIRA FILTRANTE</t>
  </si>
  <si>
    <t>I-1194</t>
  </si>
  <si>
    <t>CAP PVC, SOLDAVEL, 50 MM, PARA AGUA FRIA PREDIAL</t>
  </si>
  <si>
    <t>I-7142</t>
  </si>
  <si>
    <t>TE SOLDAVEL, PVC, 90 GRAUS,50 MM, PARA AGUA FRIA PREDIAL (NBR 5648)</t>
  </si>
  <si>
    <t>I-1959</t>
  </si>
  <si>
    <t>CURVA DE PVC 90 GRAUS, SOLDAVEL, 50 MM, COR MARROM, PARA AGUA FRIA PREDIAL</t>
  </si>
  <si>
    <t>I-11677</t>
  </si>
  <si>
    <t>REGISTRO DE ESFERA, PVC, COM VOLANTE, VS, SOLDAVEL, DN 50 MM, COM CORPO DIVIDIDO</t>
  </si>
  <si>
    <t>PERFURAÇÃO PONTEIRAS DN 50 MM</t>
  </si>
  <si>
    <t>PERFURATRIZ MANUAL, TORQUE MÁXIMO 83 N.M, POTÊNCIA 5 CV, COM DIÂMETRO MÁXIMO 4" - CHP DIURNO.</t>
  </si>
  <si>
    <t>PERFURATRIZ MANUAL, TORQUE MÁXIMO 83 N.M, POTÊNCIA 5 CV, COM DIÂMETRO MÁXIMO 4" - CHI DIURNO.</t>
  </si>
  <si>
    <t>CHP</t>
  </si>
  <si>
    <t>CHI</t>
  </si>
  <si>
    <t>ENCANADOR OU BOMBEIRO HIDRÁULICO COM ENCARGOS COMPLEMENTARES</t>
  </si>
  <si>
    <t>ENCARREGADO GERAL COM ENCARGOS COMPLEMENTARES</t>
  </si>
  <si>
    <t>BOMBA CENTRÍFUGA MONOESTÁGIO COM MOTOR ELÉTRICO MONOFÁSICO, POTÊNCIA 15 HP, DIÂMETRO DO ROTOR 173 MM, HM/Q = 30 MCA / 90 M3/H A 45 MCA / 55 M3/H - CHP DIURNO.</t>
  </si>
  <si>
    <t>INSTALAÇÃO E DESINSTALAÇÃO DE CONJUNTO DE BOMBAS, À VÁCUO E CENTRÍFUGA, PARA SISTEMA DE REBAIXAMENTO DE LENÇOL FREÁTICO POR PONTEIRAS FILTRANTES</t>
  </si>
  <si>
    <t>AUXILIAR DE ENCANADOR OU BOMBEIRO HIDRÁULICO COM ENCARGOS COMPLEMENTARES</t>
  </si>
  <si>
    <t>LASTRO DE CONCRETO MAGRO, APLICADO EM BLOCOS DE COROAMENTO OU SAPATAS</t>
  </si>
  <si>
    <t>Largura (m)/Diâmetro(m)/Descrição</t>
  </si>
  <si>
    <t>Comprimento(m)/Diâmetro(m)</t>
  </si>
  <si>
    <t>Realizada composição unitária para todo o processo</t>
  </si>
  <si>
    <t>PLANTIO DE GRAMA BATATAIS EM PLACAS</t>
  </si>
  <si>
    <t>EXECUÇÃO DE LAJE SOBRE SOLO, ESPESSURA DE 15 CM, FCK = 30 MPA, COM USO DE FORMAS EM MADEIRA SERRADA.</t>
  </si>
  <si>
    <t>COMP 4</t>
  </si>
  <si>
    <t>Composição referente à vala da Elevatória. Mesma área da base apresentada em 3.9, multiplicada por 0,5m de altura (camada de solo)</t>
  </si>
  <si>
    <t>CAIXA ENTERRADA HIDRÁULICA RETANGULAR, EM CONCRETO PRÉ-MOLDADO, DIMENSÕES INTERNAS: 0,6X0,6X0,5 M</t>
  </si>
  <si>
    <t>ESCAVAÇÃO, ESCORAMENTO DE VALA E REBAIXAMENTO DE LENÇOL FREÁTICO</t>
  </si>
  <si>
    <t>CONCRETAGEM EXTERNA DA BASE DA ELEVATÓRIA, PARA FIXAÇÃO DESTA NA VALA</t>
  </si>
  <si>
    <t>PLANTIO DE GRAMA PARA RECONDICIONAMENTO DO PAISAGISMO DO LOCAL DE INTERFERÊNCIA</t>
  </si>
  <si>
    <t>REMOÇÃO DE GUIAS DE MEIO-FIO COM REAPROVEITAMENTO</t>
  </si>
  <si>
    <t>CÂMARA MUNICIPAL DE PORTO ALEGRE</t>
  </si>
  <si>
    <t>SEÇÃO DE OBRAS E MANUTENÇÃO</t>
  </si>
  <si>
    <t>PLANILHA ORÇAMENTÁRIA - SINAPI DESONERADO</t>
  </si>
  <si>
    <t>CRONOGRAMA FÍSICO FINANCEIRO</t>
  </si>
  <si>
    <t>VALOR</t>
  </si>
  <si>
    <t>Para a Elevatória, calculada a área da base descontada a área do anel de concreto, multiplicada por uma camada de 2,00m de areia. Para as demais valas, mesmas dimensões de largura e comprimento, com camada de 20cm</t>
  </si>
  <si>
    <t>COMPOSIÇÕES ESPECÍFICAS - SINAPI DESONERADO</t>
  </si>
  <si>
    <t>ASSENTAMENTO DE GUIA DE CONCRETO PRÉ-FABRICADO, REAPROVEITADA, EM TRECHO RETO</t>
  </si>
  <si>
    <t>PLANILHA ORÇAMENTÁRIA - SINAPI NÃO DESONERADO</t>
  </si>
  <si>
    <t>COMPOSIÇÕES ESPECÍFICAS - SINAPI NÃO DESONERADO</t>
  </si>
  <si>
    <t>COMPOSIÇÃO DO BDI</t>
  </si>
  <si>
    <t>TIPO DE OBRA</t>
  </si>
  <si>
    <t>BDI para contratação de obras e serviços</t>
  </si>
  <si>
    <t>BDI Diferenciado para fornecimento de
materiais e equipamentos</t>
  </si>
  <si>
    <r>
      <rPr>
        <b/>
        <sz val="11"/>
        <color indexed="8"/>
        <rFont val="Calibri"/>
        <family val="2"/>
      </rPr>
      <t xml:space="preserve"> EDIFICAÇÕES</t>
    </r>
    <r>
      <rPr>
        <sz val="11"/>
        <color indexed="8"/>
        <rFont val="Calibri"/>
        <family val="2"/>
      </rPr>
      <t xml:space="preserve">
residenciais,
comerciais e
mistas e seus
respectivos
serviços de
conservação e
manutenção</t>
    </r>
  </si>
  <si>
    <r>
      <rPr>
        <b/>
        <sz val="11"/>
        <color indexed="8"/>
        <rFont val="Calibri"/>
        <family val="2"/>
      </rPr>
      <t>INFRAESTRUTURA,</t>
    </r>
    <r>
      <rPr>
        <sz val="11"/>
        <color indexed="8"/>
        <rFont val="Calibri"/>
        <family val="2"/>
      </rPr>
      <t xml:space="preserve">
incluindo
pavimentação,
iluminação pública,
praças, saneamento,
sistemas de água,
esgoto cloacal e
pluvial e seus
respectivos serviços
de conservação e
manutenção
</t>
    </r>
  </si>
  <si>
    <t>Parcelas</t>
  </si>
  <si>
    <t xml:space="preserve">(AC) - Administração Central </t>
  </si>
  <si>
    <t>(S) + (G) - Seguro e Garantia</t>
  </si>
  <si>
    <t>(R) - Risco</t>
  </si>
  <si>
    <t>(DF) - Despesas Financeiras</t>
  </si>
  <si>
    <t>(L) - Lucro</t>
  </si>
  <si>
    <t>Impostos (I= I1+I2+I3+I4):</t>
  </si>
  <si>
    <t>(I1) - PIS</t>
  </si>
  <si>
    <t>(I2 ) - COFINS</t>
  </si>
  <si>
    <t>(I3 ) - ISSQN</t>
  </si>
  <si>
    <t>(I4 ) - Contribuição
Previdenciária (CPRB)</t>
  </si>
  <si>
    <t>BDI com Desoneração 
(incluindo I4)</t>
  </si>
  <si>
    <t xml:space="preserve">BDI sem Desoneração
(desconsiderando I4) </t>
  </si>
  <si>
    <t>Observação: composição de acordo com o Decreto Municipal nº 19.224/2015.</t>
  </si>
  <si>
    <r>
      <rPr>
        <sz val="11"/>
        <color indexed="8"/>
        <rFont val="Calibri"/>
        <family val="2"/>
      </rPr>
      <t xml:space="preserve">BDI para </t>
    </r>
    <r>
      <rPr>
        <b/>
        <sz val="11"/>
        <color indexed="8"/>
        <rFont val="Calibri"/>
        <family val="2"/>
      </rPr>
      <t>Projetos e Serviços
Técnicos de Engenharia</t>
    </r>
    <r>
      <rPr>
        <sz val="11"/>
        <color indexed="8"/>
        <rFont val="Calibri"/>
        <family val="2"/>
      </rPr>
      <t xml:space="preserve">
relativos às atividades 7.03,
7.19 e 7.20
(Decreto 16.869/2010)</t>
    </r>
  </si>
  <si>
    <r>
      <rPr>
        <sz val="11"/>
        <color indexed="8"/>
        <rFont val="Calibri"/>
        <family val="2"/>
      </rPr>
      <t xml:space="preserve">BDI para </t>
    </r>
    <r>
      <rPr>
        <b/>
        <sz val="11"/>
        <color indexed="8"/>
        <rFont val="Calibri"/>
        <family val="2"/>
      </rPr>
      <t>Consultorias e
Serviços de Apoio Técnico</t>
    </r>
    <r>
      <rPr>
        <sz val="11"/>
        <color indexed="8"/>
        <rFont val="Calibri"/>
        <family val="2"/>
      </rPr>
      <t xml:space="preserve">
relativos às atividades 7.01,
17.01, 17.03, 17.09 e 17.16
(Decreto 15.416/2006)
</t>
    </r>
  </si>
  <si>
    <t>Impostos (I= I1+I2+I3):</t>
  </si>
  <si>
    <t xml:space="preserve">BDI </t>
  </si>
  <si>
    <t>COMPOSIÇÃO DOS ENCARGOS SOCIAIS SOBRE A MÃO DE OBRA</t>
  </si>
  <si>
    <t>COM DESONERAÇÃO</t>
  </si>
  <si>
    <t>SEM DESONERAÇÃO</t>
  </si>
  <si>
    <t>HORISTA %</t>
  </si>
  <si>
    <t>MENSALISTA %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</si>
  <si>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</si>
  <si>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</si>
  <si>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</si>
  <si>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</si>
  <si>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</si>
  <si>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</si>
  <si>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</si>
  <si>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</si>
  <si>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</si>
  <si>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</si>
  <si>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</si>
  <si>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</si>
  <si>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</si>
  <si>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</si>
  <si>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</si>
  <si>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</si>
  <si>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</si>
  <si>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</si>
  <si>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</si>
  <si>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A</t>
  </si>
  <si>
    <t>Total</t>
  </si>
  <si>
    <t>GRUPO B</t>
  </si>
  <si>
    <t>B1</t>
  </si>
  <si>
    <t>Repouso Semanal Remunerado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</si>
  <si>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</si>
  <si>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</si>
  <si>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</si>
  <si>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</si>
  <si>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</si>
  <si>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</si>
  <si>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</si>
  <si>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</si>
  <si>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</si>
  <si>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</si>
  <si>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</si>
  <si>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 xml:space="preserve"> Dias de Chuvas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</si>
  <si>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</si>
  <si>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</si>
  <si>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</si>
  <si>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</si>
  <si>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</si>
  <si>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</si>
  <si>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</si>
  <si>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</si>
  <si>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</si>
  <si>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</si>
  <si>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</si>
  <si>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</si>
  <si>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</si>
  <si>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</si>
  <si>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</si>
  <si>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</si>
  <si>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</si>
  <si>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</si>
  <si>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C</t>
  </si>
  <si>
    <t>GRUPO D</t>
  </si>
  <si>
    <t>D1</t>
  </si>
  <si>
    <t>Reincidência de Grupo A sobre Grupo B</t>
  </si>
  <si>
    <t>D2</t>
  </si>
  <si>
    <t>D</t>
  </si>
  <si>
    <t>TOTAL ( A+B+C+D)</t>
  </si>
  <si>
    <t>Observação: composição baseada na Metodologia SINAPI, de acordo com o Decreto Municipal nº 19.224/2015.</t>
  </si>
  <si>
    <t>Reincidência de Grupo A sobre Aviso Prévio Trabalhado e Reincidência do FGTS sobre Aviso Prévio Indenizado</t>
  </si>
  <si>
    <t>BDI (22,15%)</t>
  </si>
  <si>
    <t>COMPARATIVO DE ORÇAMENTOS</t>
  </si>
  <si>
    <t>Tipo de Orçamento</t>
  </si>
  <si>
    <t>Não Desonerado</t>
  </si>
  <si>
    <t>Desonerado</t>
  </si>
  <si>
    <t>Valor</t>
  </si>
  <si>
    <t>Orçamento Adotado</t>
  </si>
  <si>
    <t>DESONERADO</t>
  </si>
  <si>
    <t>Porto Alegre, 29 de novembro de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</si>
</sst>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* #,##0.00\ ;* \(#,##0.00\);* \-#\ ;@\ "/>
    <numFmt numFmtId="165" formatCode="[$R$-416]\ #,##0.00;[Red]\-[$R$-416]\ #,##0.00"/>
    <numFmt numFmtId="166" formatCode="* #,##0.00\ ;\-* #,##0.00\ ;* \-#\ ;@\ "/>
    <numFmt numFmtId="167" formatCode="0.0000"/>
    <numFmt numFmtId="168" formatCode="&quot;R$&quot;\ #,##0.00"/>
  </numFmts>
  <fonts count="61">
    <font>
      <sz val="10"/>
      <name val="Arial"/>
      <family val="2"/>
    </font>
    <font>
      <sz val="10"/>
      <name val="Arial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0"/>
      <color indexed="17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sz val="10"/>
      <color indexed="19"/>
      <name val="Arial"/>
      <family val="2"/>
    </font>
    <font>
      <sz val="11"/>
      <color indexed="8"/>
      <name val="Calibri"/>
      <family val="2"/>
    </font>
    <font>
      <sz val="10"/>
      <color indexed="63"/>
      <name val="Arial"/>
      <family val="2"/>
    </font>
    <font>
      <i/>
      <sz val="10"/>
      <color indexed="23"/>
      <name val="Arial"/>
      <family val="2"/>
    </font>
    <font>
      <sz val="18"/>
      <color indexed="8"/>
      <name val="Arial"/>
      <family val="2"/>
    </font>
    <font>
      <sz val="12"/>
      <color indexed="8"/>
      <name val="Arial"/>
      <family val="2"/>
    </font>
    <font>
      <b/>
      <sz val="24"/>
      <color indexed="8"/>
      <name val="Arial"/>
      <family val="2"/>
    </font>
    <font>
      <b/>
      <sz val="12"/>
      <name val="Arial"/>
      <family val="2"/>
    </font>
    <font>
      <b/>
      <sz val="10.5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2"/>
      <name val="Arial"/>
      <family val="2"/>
    </font>
    <font>
      <sz val="7"/>
      <name val="Calibri"/>
      <family val="2"/>
    </font>
    <font>
      <sz val="7"/>
      <name val="Arial"/>
      <family val="2"/>
    </font>
    <font>
      <sz val="9"/>
      <name val="Calibri"/>
      <family val="2"/>
    </font>
    <font>
      <sz val="11"/>
      <name val="Arial"/>
      <family val="2"/>
      <charset val="1"/>
    </font>
    <font>
      <b/>
      <sz val="11"/>
      <color indexed="8"/>
      <name val="Calibri"/>
      <family val="2"/>
    </font>
    <font>
      <sz val="11"/>
      <name val="Calibri"/>
      <family val="2"/>
    </font>
    <font>
      <sz val="11"/>
      <name val="Calibri"/>
      <family val="2"/>
      <charset val="1"/>
    </font>
    <font>
      <sz val="11"/>
      <color indexed="8"/>
      <name val="Calibri"/>
      <family val="2"/>
      <charset val="1"/>
    </font>
    <font>
      <sz val="10"/>
      <name val="Courier New"/>
      <family val="3"/>
    </font>
    <font>
      <sz val="10"/>
      <name val="Arial"/>
      <family val="2"/>
    </font>
    <font>
      <sz val="8"/>
      <name val="Arial"/>
      <family val="2"/>
    </font>
    <font>
      <b/>
      <sz val="12"/>
      <name val="Calibri "/>
    </font>
    <font>
      <sz val="12"/>
      <name val="Calibri "/>
    </font>
    <font>
      <sz val="11"/>
      <name val="Calibri "/>
    </font>
    <font>
      <b/>
      <sz val="11"/>
      <name val="Calibri "/>
    </font>
    <font>
      <b/>
      <sz val="14"/>
      <name val="Calibri"/>
      <family val="2"/>
    </font>
    <font>
      <b/>
      <sz val="12"/>
      <color indexed="8"/>
      <name val="Calibri"/>
      <family val="2"/>
    </font>
    <font>
      <sz val="12"/>
      <name val="Calibri"/>
      <family val="2"/>
    </font>
    <font>
      <sz val="12"/>
      <color indexed="8"/>
      <name val="Calibri"/>
      <family val="2"/>
    </font>
    <font>
      <sz val="10"/>
      <name val="Calibri"/>
      <family val="2"/>
    </font>
    <font>
      <b/>
      <sz val="12"/>
      <name val="Calibri"/>
      <family val="2"/>
    </font>
    <font>
      <sz val="11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theme="1"/>
      <name val="Calibri"/>
      <family val="2"/>
    </font>
    <font>
      <b/>
      <sz val="16"/>
      <color theme="1"/>
      <name val="Calibri"/>
      <family val="2"/>
    </font>
    <font>
      <b/>
      <sz val="14"/>
      <color theme="1"/>
      <name val="Calibri"/>
      <family val="2"/>
    </font>
    <font>
      <b/>
      <sz val="14"/>
      <name val="Calibri"/>
      <family val="2"/>
      <scheme val="minor"/>
    </font>
    <font>
      <sz val="10"/>
      <color theme="1"/>
      <name val="Calibri"/>
      <family val="2"/>
    </font>
    <font>
      <b/>
      <sz val="11"/>
      <color theme="0"/>
      <name val="Calibri"/>
      <family val="2"/>
    </font>
    <font>
      <sz val="12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10"/>
        <bgColor indexed="16"/>
      </patternFill>
    </fill>
    <fill>
      <patternFill patternType="solid">
        <fgColor indexed="26"/>
        <bgColor indexed="9"/>
      </patternFill>
    </fill>
    <fill>
      <patternFill patternType="solid">
        <fgColor indexed="47"/>
        <bgColor indexed="31"/>
      </patternFill>
    </fill>
    <fill>
      <patternFill patternType="solid">
        <fgColor indexed="22"/>
        <bgColor indexed="55"/>
      </patternFill>
    </fill>
    <fill>
      <patternFill patternType="solid">
        <fgColor indexed="9"/>
        <bgColor indexed="26"/>
      </patternFill>
    </fill>
    <fill>
      <patternFill patternType="solid">
        <fgColor theme="2"/>
        <bgColor indexed="64"/>
      </patternFill>
    </fill>
    <fill>
      <patternFill patternType="solid">
        <fgColor theme="2"/>
        <bgColor indexed="47"/>
      </patternFill>
    </fill>
    <fill>
      <patternFill patternType="solid">
        <fgColor theme="2" tint="-9.9978637043366805E-2"/>
        <bgColor indexed="26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5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theme="9" tint="0.59999389629810485"/>
        <bgColor rgb="FFC4D79B"/>
      </patternFill>
    </fill>
    <fill>
      <patternFill patternType="solid">
        <fgColor theme="4" tint="0.59999389629810485"/>
        <bgColor rgb="FF538DD5"/>
      </patternFill>
    </fill>
    <fill>
      <patternFill patternType="solid">
        <fgColor rgb="FFC4D79B"/>
        <bgColor rgb="FFC4D79B"/>
      </patternFill>
    </fill>
    <fill>
      <patternFill patternType="solid">
        <fgColor rgb="FF538DD5"/>
        <bgColor rgb="FF538DD5"/>
      </patternFill>
    </fill>
  </fills>
  <borders count="9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medium">
        <color indexed="64"/>
      </bottom>
      <diagonal/>
    </border>
    <border>
      <left style="medium">
        <color indexed="64"/>
      </left>
      <right style="hair">
        <color indexed="8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medium">
        <color indexed="64"/>
      </right>
      <top style="hair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 style="medium">
        <color indexed="64"/>
      </right>
      <top/>
      <bottom/>
      <diagonal/>
    </border>
    <border>
      <left/>
      <right/>
      <top style="hair">
        <color indexed="8"/>
      </top>
      <bottom style="medium">
        <color indexed="64"/>
      </bottom>
      <diagonal/>
    </border>
    <border>
      <left/>
      <right style="medium">
        <color indexed="64"/>
      </right>
      <top style="hair">
        <color indexed="8"/>
      </top>
      <bottom style="medium">
        <color indexed="64"/>
      </bottom>
      <diagonal/>
    </border>
    <border>
      <left style="medium">
        <color indexed="64"/>
      </left>
      <right style="hair">
        <color indexed="8"/>
      </right>
      <top style="medium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2" fillId="5" borderId="0" applyNumberFormat="0" applyBorder="0" applyAlignment="0" applyProtection="0"/>
    <xf numFmtId="0" fontId="29" fillId="0" borderId="0"/>
    <xf numFmtId="0" fontId="6" fillId="6" borderId="0" applyNumberFormat="0" applyBorder="0" applyAlignment="0" applyProtection="0"/>
    <xf numFmtId="44" fontId="1" fillId="0" borderId="0" applyFill="0" applyBorder="0" applyAlignment="0" applyProtection="0"/>
    <xf numFmtId="0" fontId="7" fillId="7" borderId="0" applyNumberFormat="0" applyBorder="0" applyAlignment="0" applyProtection="0"/>
    <xf numFmtId="0" fontId="29" fillId="0" borderId="0"/>
    <xf numFmtId="0" fontId="9" fillId="7" borderId="1" applyNumberFormat="0" applyAlignment="0" applyProtection="0"/>
    <xf numFmtId="0" fontId="10" fillId="0" borderId="0" applyNumberFormat="0" applyFill="0" applyBorder="0" applyAlignment="0" applyProtection="0"/>
    <xf numFmtId="9" fontId="29" fillId="0" borderId="0" applyFill="0" applyBorder="0" applyAlignment="0" applyProtection="0"/>
    <xf numFmtId="0" fontId="3" fillId="8" borderId="0" applyNumberFormat="0" applyBorder="0" applyAlignment="0" applyProtection="0"/>
    <xf numFmtId="164" fontId="29" fillId="0" borderId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164" fontId="29" fillId="0" borderId="0" applyFill="0" applyBorder="0" applyAlignment="0" applyProtection="0"/>
  </cellStyleXfs>
  <cellXfs count="45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14" fillId="0" borderId="2" xfId="0" applyFont="1" applyFill="1" applyBorder="1" applyAlignment="1" applyProtection="1">
      <alignment horizontal="left" vertical="center" wrapText="1"/>
      <protection locked="0" hidden="1"/>
    </xf>
    <xf numFmtId="0" fontId="18" fillId="0" borderId="3" xfId="0" applyFont="1" applyFill="1" applyBorder="1" applyAlignment="1" applyProtection="1">
      <alignment horizontal="center" vertical="center" wrapText="1"/>
      <protection locked="0" hidden="1"/>
    </xf>
    <xf numFmtId="4" fontId="18" fillId="0" borderId="3" xfId="0" applyNumberFormat="1" applyFont="1" applyFill="1" applyBorder="1" applyAlignment="1" applyProtection="1">
      <alignment horizontal="center" vertical="center" wrapText="1"/>
      <protection locked="0" hidden="1"/>
    </xf>
    <xf numFmtId="164" fontId="18" fillId="0" borderId="3" xfId="22" applyFont="1" applyFill="1" applyBorder="1" applyAlignment="1" applyProtection="1">
      <alignment horizontal="center" vertical="center" wrapText="1"/>
      <protection locked="0" hidden="1"/>
    </xf>
    <xf numFmtId="164" fontId="18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>
      <alignment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16" fillId="5" borderId="4" xfId="0" applyFont="1" applyFill="1" applyBorder="1" applyAlignment="1" applyProtection="1">
      <alignment horizontal="left" vertical="center" wrapText="1"/>
      <protection locked="0" hidden="1"/>
    </xf>
    <xf numFmtId="0" fontId="0" fillId="5" borderId="4" xfId="0" applyFont="1" applyFill="1" applyBorder="1" applyAlignment="1" applyProtection="1">
      <alignment horizontal="center" vertical="center" wrapText="1"/>
      <protection locked="0" hidden="1"/>
    </xf>
    <xf numFmtId="4" fontId="0" fillId="5" borderId="4" xfId="0" applyNumberFormat="1" applyFont="1" applyFill="1" applyBorder="1" applyAlignment="1" applyProtection="1">
      <alignment horizontal="center" vertical="center" wrapText="1"/>
      <protection locked="0" hidden="1"/>
    </xf>
    <xf numFmtId="164" fontId="0" fillId="5" borderId="4" xfId="22" applyFont="1" applyFill="1" applyBorder="1" applyAlignment="1" applyProtection="1">
      <alignment horizontal="center" vertical="center" wrapText="1"/>
      <protection locked="0" hidden="1"/>
    </xf>
    <xf numFmtId="165" fontId="16" fillId="5" borderId="4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16" fillId="0" borderId="3" xfId="0" applyFont="1" applyFill="1" applyBorder="1" applyAlignment="1" applyProtection="1">
      <alignment horizontal="left" vertical="center" wrapText="1"/>
      <protection locked="0" hidden="1"/>
    </xf>
    <xf numFmtId="0" fontId="18" fillId="0" borderId="0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/>
    </xf>
    <xf numFmtId="0" fontId="20" fillId="0" borderId="0" xfId="11" applyFont="1" applyAlignment="1" applyProtection="1">
      <alignment horizontal="center"/>
    </xf>
    <xf numFmtId="0" fontId="20" fillId="0" borderId="0" xfId="11" applyFont="1" applyProtection="1"/>
    <xf numFmtId="0" fontId="21" fillId="0" borderId="0" xfId="11" applyFont="1" applyProtection="1"/>
    <xf numFmtId="0" fontId="22" fillId="0" borderId="0" xfId="11" applyFont="1" applyProtection="1"/>
    <xf numFmtId="0" fontId="18" fillId="0" borderId="0" xfId="0" applyFont="1"/>
    <xf numFmtId="164" fontId="22" fillId="0" borderId="0" xfId="11" applyNumberFormat="1" applyFont="1" applyAlignment="1" applyProtection="1">
      <alignment vertical="center"/>
    </xf>
    <xf numFmtId="165" fontId="22" fillId="0" borderId="0" xfId="11" applyNumberFormat="1" applyFont="1" applyProtection="1"/>
    <xf numFmtId="0" fontId="22" fillId="0" borderId="0" xfId="11" applyFont="1" applyAlignment="1" applyProtection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/>
    </xf>
    <xf numFmtId="0" fontId="0" fillId="0" borderId="0" xfId="0" applyFont="1" applyFill="1"/>
    <xf numFmtId="0" fontId="16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19" fillId="0" borderId="0" xfId="0" applyFont="1" applyFill="1" applyAlignment="1">
      <alignment vertical="center" wrapText="1"/>
    </xf>
    <xf numFmtId="0" fontId="24" fillId="5" borderId="4" xfId="0" applyFont="1" applyFill="1" applyBorder="1" applyAlignment="1">
      <alignment horizontal="center" vertical="center" wrapText="1"/>
    </xf>
    <xf numFmtId="0" fontId="24" fillId="5" borderId="4" xfId="0" applyFont="1" applyFill="1" applyBorder="1" applyAlignment="1">
      <alignment horizontal="left" vertical="center" wrapText="1"/>
    </xf>
    <xf numFmtId="165" fontId="24" fillId="5" borderId="4" xfId="0" applyNumberFormat="1" applyFont="1" applyFill="1" applyBorder="1" applyAlignment="1">
      <alignment horizontal="center" vertical="center" wrapText="1"/>
    </xf>
    <xf numFmtId="167" fontId="24" fillId="5" borderId="4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/>
    </xf>
    <xf numFmtId="0" fontId="28" fillId="0" borderId="0" xfId="0" applyFont="1" applyAlignment="1">
      <alignment horizontal="right"/>
    </xf>
    <xf numFmtId="0" fontId="32" fillId="0" borderId="0" xfId="0" applyFont="1" applyAlignment="1">
      <alignment vertical="center"/>
    </xf>
    <xf numFmtId="0" fontId="31" fillId="0" borderId="5" xfId="0" applyFont="1" applyFill="1" applyBorder="1" applyAlignment="1" applyProtection="1">
      <alignment horizontal="center" vertical="center"/>
      <protection locked="0" hidden="1"/>
    </xf>
    <xf numFmtId="0" fontId="32" fillId="0" borderId="0" xfId="0" applyFont="1"/>
    <xf numFmtId="0" fontId="31" fillId="0" borderId="6" xfId="0" applyFont="1" applyFill="1" applyBorder="1" applyAlignment="1" applyProtection="1">
      <alignment horizontal="left" vertical="center"/>
      <protection locked="0" hidden="1"/>
    </xf>
    <xf numFmtId="0" fontId="31" fillId="0" borderId="7" xfId="0" applyFont="1" applyFill="1" applyBorder="1" applyAlignment="1">
      <alignment horizontal="center" vertical="center"/>
    </xf>
    <xf numFmtId="0" fontId="31" fillId="0" borderId="8" xfId="0" applyFont="1" applyFill="1" applyBorder="1" applyAlignment="1">
      <alignment horizontal="center" vertical="center"/>
    </xf>
    <xf numFmtId="0" fontId="33" fillId="0" borderId="6" xfId="0" applyFont="1" applyFill="1" applyBorder="1" applyAlignment="1" applyProtection="1">
      <alignment vertical="center" wrapText="1"/>
    </xf>
    <xf numFmtId="0" fontId="33" fillId="0" borderId="6" xfId="0" applyFont="1" applyFill="1" applyBorder="1" applyAlignment="1" applyProtection="1">
      <alignment horizontal="left" vertical="center" wrapText="1"/>
      <protection locked="0" hidden="1"/>
    </xf>
    <xf numFmtId="0" fontId="33" fillId="0" borderId="6" xfId="0" applyFont="1" applyFill="1" applyBorder="1" applyAlignment="1">
      <alignment vertical="center" wrapText="1"/>
    </xf>
    <xf numFmtId="0" fontId="34" fillId="0" borderId="5" xfId="0" applyFont="1" applyFill="1" applyBorder="1" applyAlignment="1" applyProtection="1">
      <alignment horizontal="center" vertical="center"/>
      <protection locked="0" hidden="1"/>
    </xf>
    <xf numFmtId="0" fontId="33" fillId="0" borderId="5" xfId="0" applyFont="1" applyFill="1" applyBorder="1" applyAlignment="1" applyProtection="1">
      <alignment horizontal="center" vertical="center"/>
      <protection locked="0" hidden="1"/>
    </xf>
    <xf numFmtId="0" fontId="33" fillId="0" borderId="9" xfId="0" applyFont="1" applyFill="1" applyBorder="1" applyAlignment="1" applyProtection="1">
      <alignment horizontal="center" vertical="center"/>
      <protection locked="0" hidden="1"/>
    </xf>
    <xf numFmtId="0" fontId="33" fillId="0" borderId="10" xfId="0" applyFont="1" applyFill="1" applyBorder="1" applyAlignment="1" applyProtection="1">
      <alignment horizontal="left" vertical="center" wrapText="1"/>
      <protection locked="0" hidden="1"/>
    </xf>
    <xf numFmtId="168" fontId="16" fillId="5" borderId="4" xfId="0" applyNumberFormat="1" applyFont="1" applyFill="1" applyBorder="1" applyAlignment="1" applyProtection="1">
      <alignment horizontal="center" vertical="center" wrapText="1"/>
      <protection hidden="1"/>
    </xf>
    <xf numFmtId="0" fontId="14" fillId="11" borderId="2" xfId="0" applyFont="1" applyFill="1" applyBorder="1" applyAlignment="1" applyProtection="1">
      <alignment horizontal="left" vertical="center" wrapText="1"/>
      <protection locked="0" hidden="1"/>
    </xf>
    <xf numFmtId="0" fontId="18" fillId="11" borderId="3" xfId="0" applyFont="1" applyFill="1" applyBorder="1" applyAlignment="1" applyProtection="1">
      <alignment horizontal="center" vertical="center" wrapText="1"/>
      <protection locked="0" hidden="1"/>
    </xf>
    <xf numFmtId="4" fontId="18" fillId="11" borderId="3" xfId="0" applyNumberFormat="1" applyFont="1" applyFill="1" applyBorder="1" applyAlignment="1" applyProtection="1">
      <alignment horizontal="center" vertical="center" wrapText="1"/>
      <protection locked="0" hidden="1"/>
    </xf>
    <xf numFmtId="164" fontId="18" fillId="11" borderId="3" xfId="22" applyFont="1" applyFill="1" applyBorder="1" applyAlignment="1" applyProtection="1">
      <alignment horizontal="center" vertical="center" wrapText="1"/>
      <protection locked="0" hidden="1"/>
    </xf>
    <xf numFmtId="164" fontId="18" fillId="11" borderId="3" xfId="0" applyNumberFormat="1" applyFont="1" applyFill="1" applyBorder="1" applyAlignment="1" applyProtection="1">
      <alignment horizontal="center" vertical="center" wrapText="1"/>
      <protection hidden="1"/>
    </xf>
    <xf numFmtId="0" fontId="16" fillId="12" borderId="4" xfId="0" applyFont="1" applyFill="1" applyBorder="1" applyAlignment="1" applyProtection="1">
      <alignment horizontal="left" vertical="center" wrapText="1"/>
      <protection locked="0" hidden="1"/>
    </xf>
    <xf numFmtId="0" fontId="0" fillId="12" borderId="4" xfId="0" applyFont="1" applyFill="1" applyBorder="1" applyAlignment="1" applyProtection="1">
      <alignment horizontal="center" vertical="center" wrapText="1"/>
      <protection locked="0" hidden="1"/>
    </xf>
    <xf numFmtId="4" fontId="0" fillId="12" borderId="4" xfId="0" applyNumberFormat="1" applyFont="1" applyFill="1" applyBorder="1" applyAlignment="1" applyProtection="1">
      <alignment horizontal="center" vertical="center" wrapText="1"/>
      <protection locked="0" hidden="1"/>
    </xf>
    <xf numFmtId="164" fontId="29" fillId="12" borderId="4" xfId="22" applyFont="1" applyFill="1" applyBorder="1" applyAlignment="1" applyProtection="1">
      <alignment horizontal="center" vertical="center" wrapText="1"/>
      <protection locked="0" hidden="1"/>
    </xf>
    <xf numFmtId="165" fontId="16" fillId="12" borderId="4" xfId="0" applyNumberFormat="1" applyFont="1" applyFill="1" applyBorder="1" applyAlignment="1" applyProtection="1">
      <alignment horizontal="center" vertical="center" wrapText="1"/>
      <protection hidden="1"/>
    </xf>
    <xf numFmtId="0" fontId="31" fillId="0" borderId="11" xfId="0" applyFont="1" applyFill="1" applyBorder="1" applyAlignment="1">
      <alignment horizontal="center" vertical="center"/>
    </xf>
    <xf numFmtId="0" fontId="33" fillId="0" borderId="12" xfId="0" applyFont="1" applyFill="1" applyBorder="1" applyAlignment="1">
      <alignment horizontal="left" vertical="center"/>
    </xf>
    <xf numFmtId="0" fontId="31" fillId="0" borderId="11" xfId="0" applyFont="1" applyFill="1" applyBorder="1" applyAlignment="1" applyProtection="1">
      <alignment horizontal="center" vertical="center"/>
      <protection locked="0" hidden="1"/>
    </xf>
    <xf numFmtId="0" fontId="33" fillId="0" borderId="12" xfId="0" applyFont="1" applyFill="1" applyBorder="1" applyAlignment="1" applyProtection="1">
      <alignment vertical="center" wrapText="1"/>
    </xf>
    <xf numFmtId="0" fontId="33" fillId="0" borderId="12" xfId="0" applyFont="1" applyBorder="1"/>
    <xf numFmtId="0" fontId="31" fillId="0" borderId="11" xfId="0" applyFont="1" applyBorder="1"/>
    <xf numFmtId="0" fontId="33" fillId="0" borderId="12" xfId="0" applyFont="1" applyBorder="1" applyAlignment="1">
      <alignment vertical="center"/>
    </xf>
    <xf numFmtId="0" fontId="33" fillId="0" borderId="12" xfId="0" applyFont="1" applyFill="1" applyBorder="1" applyAlignment="1">
      <alignment vertical="center" wrapText="1"/>
    </xf>
    <xf numFmtId="0" fontId="33" fillId="0" borderId="12" xfId="0" applyFont="1" applyFill="1" applyBorder="1" applyAlignment="1" applyProtection="1">
      <alignment horizontal="left" vertical="center" wrapText="1"/>
      <protection locked="0" hidden="1"/>
    </xf>
    <xf numFmtId="0" fontId="33" fillId="0" borderId="12" xfId="0" applyFont="1" applyFill="1" applyBorder="1" applyAlignment="1">
      <alignment vertical="center"/>
    </xf>
    <xf numFmtId="0" fontId="31" fillId="0" borderId="13" xfId="0" applyFont="1" applyFill="1" applyBorder="1" applyAlignment="1" applyProtection="1">
      <alignment horizontal="center" vertical="center"/>
      <protection locked="0" hidden="1"/>
    </xf>
    <xf numFmtId="0" fontId="33" fillId="0" borderId="14" xfId="0" applyFont="1" applyFill="1" applyBorder="1" applyAlignment="1">
      <alignment vertical="center"/>
    </xf>
    <xf numFmtId="0" fontId="31" fillId="13" borderId="15" xfId="0" applyFont="1" applyFill="1" applyBorder="1" applyAlignment="1">
      <alignment horizontal="center" vertical="center"/>
    </xf>
    <xf numFmtId="0" fontId="31" fillId="13" borderId="16" xfId="0" applyFont="1" applyFill="1" applyBorder="1" applyAlignment="1">
      <alignment horizontal="center" vertical="center"/>
    </xf>
    <xf numFmtId="0" fontId="31" fillId="11" borderId="11" xfId="0" applyFont="1" applyFill="1" applyBorder="1" applyAlignment="1">
      <alignment horizontal="center" vertical="center"/>
    </xf>
    <xf numFmtId="0" fontId="31" fillId="11" borderId="12" xfId="0" applyFont="1" applyFill="1" applyBorder="1" applyAlignment="1">
      <alignment horizontal="left" vertical="center"/>
    </xf>
    <xf numFmtId="0" fontId="31" fillId="11" borderId="11" xfId="0" applyFont="1" applyFill="1" applyBorder="1" applyAlignment="1" applyProtection="1">
      <alignment horizontal="center" vertical="center"/>
      <protection locked="0" hidden="1"/>
    </xf>
    <xf numFmtId="0" fontId="31" fillId="11" borderId="17" xfId="0" applyFont="1" applyFill="1" applyBorder="1" applyAlignment="1" applyProtection="1">
      <alignment horizontal="left" vertical="center" wrapText="1"/>
      <protection locked="0" hidden="1"/>
    </xf>
    <xf numFmtId="0" fontId="14" fillId="11" borderId="17" xfId="0" applyFont="1" applyFill="1" applyBorder="1" applyAlignment="1" applyProtection="1">
      <alignment horizontal="left" vertical="center" wrapText="1"/>
      <protection locked="0" hidden="1"/>
    </xf>
    <xf numFmtId="0" fontId="31" fillId="11" borderId="12" xfId="0" applyFont="1" applyFill="1" applyBorder="1" applyAlignment="1" applyProtection="1">
      <alignment horizontal="left" vertical="center"/>
      <protection locked="0" hidden="1"/>
    </xf>
    <xf numFmtId="0" fontId="14" fillId="11" borderId="18" xfId="0" applyFont="1" applyFill="1" applyBorder="1" applyAlignment="1" applyProtection="1">
      <alignment horizontal="center" vertical="center" wrapText="1"/>
      <protection locked="0" hidden="1"/>
    </xf>
    <xf numFmtId="0" fontId="18" fillId="11" borderId="19" xfId="0" applyFont="1" applyFill="1" applyBorder="1" applyAlignment="1">
      <alignment horizontal="center" vertical="center" wrapText="1"/>
    </xf>
    <xf numFmtId="0" fontId="16" fillId="12" borderId="18" xfId="0" applyFont="1" applyFill="1" applyBorder="1" applyAlignment="1" applyProtection="1">
      <alignment horizontal="right" vertical="center" wrapText="1"/>
      <protection locked="0" hidden="1"/>
    </xf>
    <xf numFmtId="0" fontId="0" fillId="12" borderId="17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 applyProtection="1">
      <alignment horizontal="center" vertical="center" wrapText="1"/>
      <protection locked="0" hidden="1"/>
    </xf>
    <xf numFmtId="0" fontId="18" fillId="0" borderId="19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 applyProtection="1">
      <alignment horizontal="center" vertical="center" wrapText="1"/>
      <protection locked="0" hidden="1"/>
    </xf>
    <xf numFmtId="0" fontId="14" fillId="9" borderId="21" xfId="0" applyFont="1" applyFill="1" applyBorder="1" applyAlignment="1" applyProtection="1">
      <alignment horizontal="right" vertical="center" wrapText="1"/>
      <protection locked="0" hidden="1"/>
    </xf>
    <xf numFmtId="0" fontId="14" fillId="9" borderId="22" xfId="0" applyFont="1" applyFill="1" applyBorder="1" applyAlignment="1" applyProtection="1">
      <alignment horizontal="right" vertical="center" wrapText="1"/>
      <protection locked="0" hidden="1"/>
    </xf>
    <xf numFmtId="0" fontId="14" fillId="9" borderId="22" xfId="0" applyFont="1" applyFill="1" applyBorder="1" applyAlignment="1">
      <alignment horizontal="center" vertical="center" wrapText="1"/>
    </xf>
    <xf numFmtId="0" fontId="19" fillId="9" borderId="22" xfId="0" applyFont="1" applyFill="1" applyBorder="1" applyAlignment="1">
      <alignment horizontal="center" vertical="center" wrapText="1"/>
    </xf>
    <xf numFmtId="166" fontId="14" fillId="9" borderId="22" xfId="0" applyNumberFormat="1" applyFont="1" applyFill="1" applyBorder="1" applyAlignment="1">
      <alignment horizontal="center" vertical="center" wrapText="1"/>
    </xf>
    <xf numFmtId="0" fontId="19" fillId="9" borderId="23" xfId="0" applyFont="1" applyFill="1" applyBorder="1" applyAlignment="1">
      <alignment horizontal="center" vertical="center" wrapText="1"/>
    </xf>
    <xf numFmtId="0" fontId="14" fillId="11" borderId="24" xfId="0" applyFont="1" applyFill="1" applyBorder="1" applyAlignment="1" applyProtection="1">
      <alignment horizontal="center" vertical="center" wrapText="1"/>
      <protection locked="0" hidden="1"/>
    </xf>
    <xf numFmtId="0" fontId="14" fillId="11" borderId="9" xfId="0" applyFont="1" applyFill="1" applyBorder="1" applyAlignment="1" applyProtection="1">
      <alignment horizontal="left" vertical="center" wrapText="1"/>
      <protection locked="0" hidden="1"/>
    </xf>
    <xf numFmtId="0" fontId="18" fillId="11" borderId="25" xfId="0" applyFont="1" applyFill="1" applyBorder="1" applyAlignment="1" applyProtection="1">
      <alignment horizontal="center" vertical="center" wrapText="1"/>
      <protection locked="0" hidden="1"/>
    </xf>
    <xf numFmtId="4" fontId="18" fillId="11" borderId="25" xfId="0" applyNumberFormat="1" applyFont="1" applyFill="1" applyBorder="1" applyAlignment="1" applyProtection="1">
      <alignment horizontal="center" vertical="center" wrapText="1"/>
      <protection locked="0" hidden="1"/>
    </xf>
    <xf numFmtId="164" fontId="18" fillId="11" borderId="25" xfId="22" applyFont="1" applyFill="1" applyBorder="1" applyAlignment="1" applyProtection="1">
      <alignment horizontal="center" vertical="center" wrapText="1"/>
      <protection locked="0" hidden="1"/>
    </xf>
    <xf numFmtId="164" fontId="18" fillId="11" borderId="25" xfId="0" applyNumberFormat="1" applyFont="1" applyFill="1" applyBorder="1" applyAlignment="1" applyProtection="1">
      <alignment horizontal="center" vertical="center" wrapText="1"/>
      <protection hidden="1"/>
    </xf>
    <xf numFmtId="0" fontId="18" fillId="11" borderId="26" xfId="0" applyFont="1" applyFill="1" applyBorder="1" applyAlignment="1">
      <alignment horizontal="center" vertical="center" wrapText="1"/>
    </xf>
    <xf numFmtId="0" fontId="15" fillId="14" borderId="27" xfId="0" applyFont="1" applyFill="1" applyBorder="1" applyAlignment="1">
      <alignment horizontal="center" vertical="center" wrapText="1"/>
    </xf>
    <xf numFmtId="0" fontId="15" fillId="14" borderId="28" xfId="0" applyFont="1" applyFill="1" applyBorder="1" applyAlignment="1">
      <alignment horizontal="center" vertical="center" wrapText="1"/>
    </xf>
    <xf numFmtId="0" fontId="17" fillId="14" borderId="28" xfId="0" applyFont="1" applyFill="1" applyBorder="1" applyAlignment="1">
      <alignment horizontal="center" vertical="center" wrapText="1"/>
    </xf>
    <xf numFmtId="0" fontId="15" fillId="14" borderId="29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 applyProtection="1">
      <alignment horizontal="right" vertical="center" wrapText="1"/>
      <protection locked="0" hidden="1"/>
    </xf>
    <xf numFmtId="0" fontId="16" fillId="5" borderId="31" xfId="0" applyFont="1" applyFill="1" applyBorder="1" applyAlignment="1" applyProtection="1">
      <alignment horizontal="left" vertical="center" wrapText="1"/>
      <protection locked="0" hidden="1"/>
    </xf>
    <xf numFmtId="0" fontId="0" fillId="5" borderId="31" xfId="0" applyFont="1" applyFill="1" applyBorder="1" applyAlignment="1" applyProtection="1">
      <alignment horizontal="center" vertical="center" wrapText="1"/>
      <protection locked="0" hidden="1"/>
    </xf>
    <xf numFmtId="4" fontId="0" fillId="5" borderId="31" xfId="0" applyNumberFormat="1" applyFont="1" applyFill="1" applyBorder="1" applyAlignment="1" applyProtection="1">
      <alignment horizontal="center" vertical="center" wrapText="1"/>
      <protection locked="0" hidden="1"/>
    </xf>
    <xf numFmtId="164" fontId="0" fillId="5" borderId="31" xfId="22" applyFont="1" applyFill="1" applyBorder="1" applyAlignment="1" applyProtection="1">
      <alignment horizontal="center" vertical="center" wrapText="1"/>
      <protection locked="0" hidden="1"/>
    </xf>
    <xf numFmtId="168" fontId="16" fillId="5" borderId="31" xfId="0" applyNumberFormat="1" applyFont="1" applyFill="1" applyBorder="1" applyAlignment="1" applyProtection="1">
      <alignment horizontal="center" vertical="center" wrapText="1"/>
      <protection hidden="1"/>
    </xf>
    <xf numFmtId="0" fontId="0" fillId="5" borderId="32" xfId="0" applyFont="1" applyFill="1" applyBorder="1" applyAlignment="1">
      <alignment horizontal="center" vertical="center" wrapText="1"/>
    </xf>
    <xf numFmtId="0" fontId="14" fillId="9" borderId="27" xfId="0" applyFont="1" applyFill="1" applyBorder="1" applyAlignment="1" applyProtection="1">
      <alignment horizontal="right" vertical="center" wrapText="1"/>
      <protection locked="0" hidden="1"/>
    </xf>
    <xf numFmtId="0" fontId="14" fillId="9" borderId="28" xfId="0" applyFont="1" applyFill="1" applyBorder="1" applyAlignment="1" applyProtection="1">
      <alignment horizontal="right" vertical="center" wrapText="1"/>
      <protection locked="0" hidden="1"/>
    </xf>
    <xf numFmtId="0" fontId="14" fillId="9" borderId="28" xfId="0" applyFont="1" applyFill="1" applyBorder="1" applyAlignment="1">
      <alignment horizontal="center" vertical="center" wrapText="1"/>
    </xf>
    <xf numFmtId="0" fontId="19" fillId="9" borderId="28" xfId="0" applyFont="1" applyFill="1" applyBorder="1" applyAlignment="1">
      <alignment horizontal="center" vertical="center" wrapText="1"/>
    </xf>
    <xf numFmtId="166" fontId="14" fillId="9" borderId="28" xfId="0" applyNumberFormat="1" applyFont="1" applyFill="1" applyBorder="1" applyAlignment="1">
      <alignment horizontal="center" vertical="center" wrapText="1"/>
    </xf>
    <xf numFmtId="0" fontId="19" fillId="9" borderId="29" xfId="0" applyFont="1" applyFill="1" applyBorder="1" applyAlignment="1">
      <alignment horizontal="center" vertical="center" wrapText="1"/>
    </xf>
    <xf numFmtId="0" fontId="44" fillId="0" borderId="0" xfId="11" applyNumberFormat="1" applyFont="1" applyBorder="1" applyAlignment="1" applyProtection="1">
      <alignment horizontal="left" vertical="center"/>
    </xf>
    <xf numFmtId="0" fontId="44" fillId="0" borderId="0" xfId="11" applyNumberFormat="1" applyFont="1" applyBorder="1" applyAlignment="1" applyProtection="1">
      <alignment horizontal="left" vertical="center" wrapText="1"/>
    </xf>
    <xf numFmtId="0" fontId="44" fillId="0" borderId="11" xfId="11" applyFont="1" applyBorder="1" applyAlignment="1" applyProtection="1">
      <alignment horizontal="center" vertical="center"/>
    </xf>
    <xf numFmtId="9" fontId="45" fillId="0" borderId="12" xfId="14" applyFont="1" applyFill="1" applyBorder="1" applyAlignment="1" applyProtection="1">
      <alignment vertical="center"/>
    </xf>
    <xf numFmtId="164" fontId="46" fillId="0" borderId="11" xfId="11" applyNumberFormat="1" applyFont="1" applyFill="1" applyBorder="1" applyAlignment="1" applyProtection="1">
      <alignment vertical="center"/>
    </xf>
    <xf numFmtId="164" fontId="46" fillId="0" borderId="13" xfId="11" applyNumberFormat="1" applyFont="1" applyFill="1" applyBorder="1" applyAlignment="1" applyProtection="1">
      <alignment vertical="center"/>
    </xf>
    <xf numFmtId="9" fontId="45" fillId="0" borderId="14" xfId="14" applyFont="1" applyFill="1" applyBorder="1" applyAlignment="1" applyProtection="1">
      <alignment vertical="center"/>
    </xf>
    <xf numFmtId="165" fontId="46" fillId="0" borderId="11" xfId="16" applyNumberFormat="1" applyFont="1" applyFill="1" applyBorder="1" applyAlignment="1" applyProtection="1">
      <alignment horizontal="right" vertical="center"/>
    </xf>
    <xf numFmtId="9" fontId="45" fillId="0" borderId="12" xfId="14" applyFont="1" applyFill="1" applyBorder="1" applyAlignment="1" applyProtection="1">
      <alignment horizontal="right" vertical="center"/>
    </xf>
    <xf numFmtId="164" fontId="46" fillId="0" borderId="11" xfId="16" applyFont="1" applyFill="1" applyBorder="1" applyAlignment="1" applyProtection="1">
      <alignment horizontal="right" vertical="center"/>
    </xf>
    <xf numFmtId="165" fontId="46" fillId="0" borderId="13" xfId="16" applyNumberFormat="1" applyFont="1" applyFill="1" applyBorder="1" applyAlignment="1" applyProtection="1">
      <alignment horizontal="right" vertical="center"/>
    </xf>
    <xf numFmtId="9" fontId="45" fillId="0" borderId="14" xfId="14" applyFont="1" applyFill="1" applyBorder="1" applyAlignment="1" applyProtection="1">
      <alignment horizontal="right" vertical="center"/>
    </xf>
    <xf numFmtId="165" fontId="45" fillId="0" borderId="11" xfId="14" applyNumberFormat="1" applyFont="1" applyFill="1" applyBorder="1" applyAlignment="1" applyProtection="1">
      <alignment horizontal="right" vertical="center"/>
    </xf>
    <xf numFmtId="9" fontId="45" fillId="0" borderId="12" xfId="14" applyNumberFormat="1" applyFont="1" applyFill="1" applyBorder="1" applyAlignment="1" applyProtection="1">
      <alignment horizontal="right" vertical="center"/>
    </xf>
    <xf numFmtId="9" fontId="45" fillId="0" borderId="14" xfId="14" applyNumberFormat="1" applyFont="1" applyFill="1" applyBorder="1" applyAlignment="1" applyProtection="1">
      <alignment horizontal="right" vertical="center"/>
    </xf>
    <xf numFmtId="0" fontId="44" fillId="11" borderId="13" xfId="11" applyFont="1" applyFill="1" applyBorder="1" applyAlignment="1" applyProtection="1">
      <alignment horizontal="center" vertical="center"/>
    </xf>
    <xf numFmtId="0" fontId="44" fillId="11" borderId="14" xfId="11" applyFont="1" applyFill="1" applyBorder="1" applyAlignment="1" applyProtection="1">
      <alignment horizontal="center" vertical="center"/>
    </xf>
    <xf numFmtId="0" fontId="47" fillId="11" borderId="33" xfId="11" applyFont="1" applyFill="1" applyBorder="1" applyAlignment="1" applyProtection="1">
      <alignment vertical="center"/>
    </xf>
    <xf numFmtId="0" fontId="47" fillId="11" borderId="34" xfId="11" applyFont="1" applyFill="1" applyBorder="1" applyAlignment="1" applyProtection="1">
      <alignment vertical="center"/>
    </xf>
    <xf numFmtId="44" fontId="48" fillId="11" borderId="34" xfId="9" applyFont="1" applyFill="1" applyBorder="1" applyAlignment="1" applyProtection="1">
      <alignment vertical="center"/>
    </xf>
    <xf numFmtId="164" fontId="47" fillId="11" borderId="35" xfId="16" applyFont="1" applyFill="1" applyBorder="1" applyAlignment="1" applyProtection="1">
      <alignment vertical="center"/>
    </xf>
    <xf numFmtId="0" fontId="47" fillId="11" borderId="13" xfId="11" applyFont="1" applyFill="1" applyBorder="1" applyAlignment="1" applyProtection="1">
      <alignment vertical="center"/>
    </xf>
    <xf numFmtId="0" fontId="47" fillId="11" borderId="36" xfId="11" applyFont="1" applyFill="1" applyBorder="1" applyAlignment="1" applyProtection="1">
      <alignment vertical="center"/>
    </xf>
    <xf numFmtId="44" fontId="48" fillId="11" borderId="36" xfId="9" applyFont="1" applyFill="1" applyBorder="1" applyAlignment="1" applyProtection="1">
      <alignment vertical="center"/>
    </xf>
    <xf numFmtId="164" fontId="47" fillId="11" borderId="14" xfId="16" applyFont="1" applyFill="1" applyBorder="1" applyAlignment="1" applyProtection="1">
      <alignment vertical="center"/>
    </xf>
    <xf numFmtId="0" fontId="23" fillId="0" borderId="0" xfId="11" applyFont="1" applyBorder="1" applyAlignment="1" applyProtection="1">
      <alignment vertical="center"/>
    </xf>
    <xf numFmtId="0" fontId="48" fillId="11" borderId="2" xfId="0" applyFont="1" applyFill="1" applyBorder="1" applyAlignment="1" applyProtection="1">
      <alignment horizontal="left" vertical="center" wrapText="1"/>
      <protection locked="0" hidden="1"/>
    </xf>
    <xf numFmtId="0" fontId="49" fillId="11" borderId="3" xfId="0" applyFont="1" applyFill="1" applyBorder="1" applyAlignment="1" applyProtection="1">
      <alignment horizontal="center" vertical="center" wrapText="1"/>
      <protection locked="0" hidden="1"/>
    </xf>
    <xf numFmtId="4" fontId="49" fillId="11" borderId="3" xfId="0" applyNumberFormat="1" applyFont="1" applyFill="1" applyBorder="1" applyAlignment="1" applyProtection="1">
      <alignment horizontal="center" vertical="center" wrapText="1"/>
      <protection locked="0" hidden="1"/>
    </xf>
    <xf numFmtId="164" fontId="49" fillId="11" borderId="3" xfId="22" applyFont="1" applyFill="1" applyBorder="1" applyAlignment="1" applyProtection="1">
      <alignment horizontal="center" vertical="center" wrapText="1"/>
      <protection locked="0" hidden="1"/>
    </xf>
    <xf numFmtId="164" fontId="50" fillId="11" borderId="3" xfId="22" applyFont="1" applyFill="1" applyBorder="1" applyAlignment="1" applyProtection="1">
      <alignment horizontal="center" vertical="center" wrapText="1"/>
      <protection locked="0" hidden="1"/>
    </xf>
    <xf numFmtId="0" fontId="48" fillId="11" borderId="6" xfId="0" applyFont="1" applyFill="1" applyBorder="1" applyAlignment="1" applyProtection="1">
      <alignment horizontal="left" vertical="center"/>
      <protection locked="0" hidden="1"/>
    </xf>
    <xf numFmtId="0" fontId="50" fillId="11" borderId="3" xfId="0" applyFont="1" applyFill="1" applyBorder="1" applyAlignment="1" applyProtection="1">
      <alignment horizontal="center" vertical="center" wrapText="1"/>
      <protection locked="0" hidden="1"/>
    </xf>
    <xf numFmtId="4" fontId="50" fillId="11" borderId="3" xfId="0" applyNumberFormat="1" applyFont="1" applyFill="1" applyBorder="1" applyAlignment="1" applyProtection="1">
      <alignment horizontal="center" vertical="center" wrapText="1"/>
      <protection locked="0" hidden="1"/>
    </xf>
    <xf numFmtId="0" fontId="45" fillId="0" borderId="4" xfId="0" applyFont="1" applyFill="1" applyBorder="1" applyAlignment="1">
      <alignment horizontal="center" vertical="center" wrapText="1"/>
    </xf>
    <xf numFmtId="0" fontId="45" fillId="0" borderId="4" xfId="0" applyFont="1" applyFill="1" applyBorder="1" applyAlignment="1">
      <alignment vertical="center" wrapText="1"/>
    </xf>
    <xf numFmtId="2" fontId="45" fillId="0" borderId="4" xfId="22" applyNumberFormat="1" applyFont="1" applyFill="1" applyBorder="1" applyAlignment="1" applyProtection="1">
      <alignment horizontal="center" vertical="center" wrapText="1"/>
      <protection locked="0" hidden="1"/>
    </xf>
    <xf numFmtId="2" fontId="45" fillId="0" borderId="4" xfId="0" applyNumberFormat="1" applyFont="1" applyFill="1" applyBorder="1" applyAlignment="1" applyProtection="1">
      <alignment horizontal="center" vertical="center" wrapText="1"/>
      <protection locked="0" hidden="1"/>
    </xf>
    <xf numFmtId="0" fontId="45" fillId="0" borderId="7" xfId="0" applyFont="1" applyFill="1" applyBorder="1" applyAlignment="1" applyProtection="1">
      <alignment horizontal="center" vertical="center" wrapText="1"/>
      <protection locked="0" hidden="1"/>
    </xf>
    <xf numFmtId="0" fontId="45" fillId="0" borderId="37" xfId="0" applyFont="1" applyFill="1" applyBorder="1" applyAlignment="1" applyProtection="1">
      <alignment horizontal="center" vertical="center" wrapText="1"/>
      <protection locked="0" hidden="1"/>
    </xf>
    <xf numFmtId="0" fontId="45" fillId="0" borderId="8" xfId="0" applyFont="1" applyFill="1" applyBorder="1" applyAlignment="1" applyProtection="1">
      <alignment horizontal="center" vertical="center" wrapText="1"/>
      <protection locked="0" hidden="1"/>
    </xf>
    <xf numFmtId="0" fontId="45" fillId="0" borderId="25" xfId="0" applyFont="1" applyFill="1" applyBorder="1" applyAlignment="1" applyProtection="1">
      <alignment horizontal="center" vertical="center" wrapText="1"/>
      <protection locked="0" hidden="1"/>
    </xf>
    <xf numFmtId="0" fontId="45" fillId="0" borderId="10" xfId="0" applyFont="1" applyFill="1" applyBorder="1" applyAlignment="1" applyProtection="1">
      <alignment horizontal="center" vertical="center" wrapText="1"/>
      <protection locked="0" hidden="1"/>
    </xf>
    <xf numFmtId="0" fontId="48" fillId="11" borderId="18" xfId="0" applyFont="1" applyFill="1" applyBorder="1" applyAlignment="1" applyProtection="1">
      <alignment horizontal="center" vertical="center" wrapText="1"/>
      <protection locked="0" hidden="1"/>
    </xf>
    <xf numFmtId="0" fontId="45" fillId="0" borderId="18" xfId="0" applyFont="1" applyFill="1" applyBorder="1" applyAlignment="1">
      <alignment horizontal="center" vertical="center" wrapText="1"/>
    </xf>
    <xf numFmtId="0" fontId="45" fillId="0" borderId="17" xfId="0" applyFont="1" applyFill="1" applyBorder="1" applyAlignment="1">
      <alignment horizontal="center" vertical="center" wrapText="1"/>
    </xf>
    <xf numFmtId="0" fontId="45" fillId="0" borderId="0" xfId="0" applyFont="1" applyFill="1" applyBorder="1" applyAlignment="1">
      <alignment vertical="center" wrapText="1"/>
    </xf>
    <xf numFmtId="0" fontId="45" fillId="0" borderId="38" xfId="0" applyFont="1" applyFill="1" applyBorder="1" applyAlignment="1">
      <alignment horizontal="center" vertical="center" wrapText="1"/>
    </xf>
    <xf numFmtId="164" fontId="50" fillId="11" borderId="19" xfId="22" applyFont="1" applyFill="1" applyBorder="1" applyAlignment="1" applyProtection="1">
      <alignment horizontal="center" vertical="center" wrapText="1"/>
      <protection locked="0" hidden="1"/>
    </xf>
    <xf numFmtId="0" fontId="45" fillId="0" borderId="17" xfId="0" applyFont="1" applyFill="1" applyBorder="1" applyAlignment="1" applyProtection="1">
      <alignment horizontal="center" vertical="center" wrapText="1"/>
      <protection locked="0" hidden="1"/>
    </xf>
    <xf numFmtId="0" fontId="45" fillId="0" borderId="21" xfId="0" applyFont="1" applyFill="1" applyBorder="1" applyAlignment="1">
      <alignment horizontal="center" vertical="center" wrapText="1"/>
    </xf>
    <xf numFmtId="0" fontId="45" fillId="0" borderId="22" xfId="0" applyFont="1" applyFill="1" applyBorder="1" applyAlignment="1">
      <alignment vertical="center" wrapText="1"/>
    </xf>
    <xf numFmtId="2" fontId="45" fillId="0" borderId="39" xfId="0" applyNumberFormat="1" applyFont="1" applyFill="1" applyBorder="1" applyAlignment="1" applyProtection="1">
      <alignment horizontal="center" vertical="center" wrapText="1"/>
      <protection locked="0" hidden="1"/>
    </xf>
    <xf numFmtId="2" fontId="45" fillId="0" borderId="39" xfId="22" applyNumberFormat="1" applyFont="1" applyFill="1" applyBorder="1" applyAlignment="1" applyProtection="1">
      <alignment horizontal="center" vertical="center" wrapText="1"/>
      <protection locked="0" hidden="1"/>
    </xf>
    <xf numFmtId="2" fontId="45" fillId="0" borderId="22" xfId="22" applyNumberFormat="1" applyFont="1" applyFill="1" applyBorder="1" applyAlignment="1" applyProtection="1">
      <alignment horizontal="center" vertical="center" wrapText="1"/>
      <protection locked="0" hidden="1"/>
    </xf>
    <xf numFmtId="0" fontId="45" fillId="0" borderId="40" xfId="0" applyFont="1" applyFill="1" applyBorder="1" applyAlignment="1">
      <alignment horizontal="center" vertical="center" wrapText="1"/>
    </xf>
    <xf numFmtId="0" fontId="48" fillId="11" borderId="24" xfId="0" applyFont="1" applyFill="1" applyBorder="1" applyAlignment="1" applyProtection="1">
      <alignment horizontal="center" vertical="center" wrapText="1"/>
      <protection locked="0" hidden="1"/>
    </xf>
    <xf numFmtId="0" fontId="48" fillId="11" borderId="9" xfId="0" applyFont="1" applyFill="1" applyBorder="1" applyAlignment="1" applyProtection="1">
      <alignment horizontal="left" vertical="center" wrapText="1"/>
      <protection locked="0" hidden="1"/>
    </xf>
    <xf numFmtId="0" fontId="49" fillId="11" borderId="25" xfId="0" applyFont="1" applyFill="1" applyBorder="1" applyAlignment="1" applyProtection="1">
      <alignment horizontal="center" vertical="center" wrapText="1"/>
      <protection locked="0" hidden="1"/>
    </xf>
    <xf numFmtId="4" fontId="49" fillId="11" borderId="25" xfId="0" applyNumberFormat="1" applyFont="1" applyFill="1" applyBorder="1" applyAlignment="1" applyProtection="1">
      <alignment horizontal="center" vertical="center" wrapText="1"/>
      <protection locked="0" hidden="1"/>
    </xf>
    <xf numFmtId="164" fontId="49" fillId="11" borderId="25" xfId="22" applyFont="1" applyFill="1" applyBorder="1" applyAlignment="1" applyProtection="1">
      <alignment horizontal="center" vertical="center" wrapText="1"/>
      <protection locked="0" hidden="1"/>
    </xf>
    <xf numFmtId="164" fontId="49" fillId="11" borderId="26" xfId="22" applyFont="1" applyFill="1" applyBorder="1" applyAlignment="1" applyProtection="1">
      <alignment horizontal="center" vertical="center" wrapText="1"/>
      <protection locked="0" hidden="1"/>
    </xf>
    <xf numFmtId="0" fontId="48" fillId="14" borderId="16" xfId="0" applyFont="1" applyFill="1" applyBorder="1" applyAlignment="1">
      <alignment horizontal="center" vertical="center"/>
    </xf>
    <xf numFmtId="0" fontId="24" fillId="5" borderId="18" xfId="0" applyFont="1" applyFill="1" applyBorder="1" applyAlignment="1">
      <alignment horizontal="center" vertical="center" wrapText="1"/>
    </xf>
    <xf numFmtId="165" fontId="24" fillId="5" borderId="17" xfId="0" applyNumberFormat="1" applyFont="1" applyFill="1" applyBorder="1" applyAlignment="1">
      <alignment horizontal="center" vertical="center" wrapText="1"/>
    </xf>
    <xf numFmtId="165" fontId="24" fillId="9" borderId="17" xfId="0" applyNumberFormat="1" applyFont="1" applyFill="1" applyBorder="1" applyAlignment="1">
      <alignment horizontal="center" vertical="center"/>
    </xf>
    <xf numFmtId="0" fontId="0" fillId="0" borderId="11" xfId="0" applyBorder="1"/>
    <xf numFmtId="0" fontId="0" fillId="0" borderId="0" xfId="0" applyBorder="1"/>
    <xf numFmtId="0" fontId="0" fillId="0" borderId="12" xfId="0" applyBorder="1"/>
    <xf numFmtId="165" fontId="24" fillId="9" borderId="23" xfId="0" applyNumberFormat="1" applyFont="1" applyFill="1" applyBorder="1" applyAlignment="1">
      <alignment horizontal="center" vertical="center"/>
    </xf>
    <xf numFmtId="0" fontId="36" fillId="15" borderId="41" xfId="0" applyFont="1" applyFill="1" applyBorder="1" applyAlignment="1">
      <alignment horizontal="center" vertical="center" wrapText="1"/>
    </xf>
    <xf numFmtId="0" fontId="36" fillId="15" borderId="42" xfId="0" applyFont="1" applyFill="1" applyBorder="1" applyAlignment="1">
      <alignment horizontal="left" vertical="center" wrapText="1"/>
    </xf>
    <xf numFmtId="0" fontId="36" fillId="15" borderId="42" xfId="0" applyFont="1" applyFill="1" applyBorder="1" applyAlignment="1">
      <alignment horizontal="center" vertical="center" wrapText="1"/>
    </xf>
    <xf numFmtId="165" fontId="37" fillId="16" borderId="34" xfId="0" applyNumberFormat="1" applyFont="1" applyFill="1" applyBorder="1" applyAlignment="1">
      <alignment horizontal="center"/>
    </xf>
    <xf numFmtId="167" fontId="38" fillId="16" borderId="34" xfId="22" applyNumberFormat="1" applyFont="1" applyFill="1" applyBorder="1" applyAlignment="1" applyProtection="1">
      <alignment horizontal="center"/>
    </xf>
    <xf numFmtId="165" fontId="38" fillId="16" borderId="35" xfId="22" applyNumberFormat="1" applyFont="1" applyFill="1" applyBorder="1" applyAlignment="1" applyProtection="1">
      <alignment horizontal="center" vertical="center"/>
    </xf>
    <xf numFmtId="0" fontId="36" fillId="15" borderId="18" xfId="0" applyFont="1" applyFill="1" applyBorder="1" applyAlignment="1">
      <alignment horizontal="center" vertical="center" wrapText="1"/>
    </xf>
    <xf numFmtId="0" fontId="36" fillId="15" borderId="4" xfId="0" applyFont="1" applyFill="1" applyBorder="1" applyAlignment="1">
      <alignment horizontal="center" vertical="center" wrapText="1"/>
    </xf>
    <xf numFmtId="165" fontId="37" fillId="16" borderId="0" xfId="0" applyNumberFormat="1" applyFont="1" applyFill="1" applyBorder="1" applyAlignment="1">
      <alignment horizontal="center"/>
    </xf>
    <xf numFmtId="167" fontId="38" fillId="16" borderId="0" xfId="22" applyNumberFormat="1" applyFont="1" applyFill="1" applyBorder="1" applyAlignment="1" applyProtection="1">
      <alignment horizontal="center"/>
    </xf>
    <xf numFmtId="165" fontId="38" fillId="16" borderId="12" xfId="22" applyNumberFormat="1" applyFont="1" applyFill="1" applyBorder="1" applyAlignment="1" applyProtection="1">
      <alignment horizontal="center" vertical="center"/>
    </xf>
    <xf numFmtId="0" fontId="39" fillId="0" borderId="11" xfId="0" applyFont="1" applyBorder="1"/>
    <xf numFmtId="0" fontId="39" fillId="0" borderId="0" xfId="0" applyFont="1" applyBorder="1"/>
    <xf numFmtId="0" fontId="39" fillId="0" borderId="12" xfId="0" applyFont="1" applyBorder="1"/>
    <xf numFmtId="0" fontId="40" fillId="15" borderId="4" xfId="0" applyFont="1" applyFill="1" applyBorder="1" applyAlignment="1">
      <alignment horizontal="left" vertical="center" wrapText="1"/>
    </xf>
    <xf numFmtId="165" fontId="37" fillId="16" borderId="0" xfId="0" applyNumberFormat="1" applyFont="1" applyFill="1" applyBorder="1" applyAlignment="1">
      <alignment horizontal="center" vertical="center"/>
    </xf>
    <xf numFmtId="167" fontId="38" fillId="16" borderId="0" xfId="22" applyNumberFormat="1" applyFont="1" applyFill="1" applyBorder="1" applyAlignment="1" applyProtection="1">
      <alignment horizontal="center" vertical="center"/>
    </xf>
    <xf numFmtId="4" fontId="0" fillId="5" borderId="4" xfId="0" applyNumberFormat="1" applyFill="1" applyBorder="1" applyAlignment="1" applyProtection="1">
      <alignment horizontal="center" vertical="center" wrapText="1"/>
      <protection locked="0" hidden="1"/>
    </xf>
    <xf numFmtId="0" fontId="0" fillId="5" borderId="4" xfId="0" applyFill="1" applyBorder="1" applyAlignment="1" applyProtection="1">
      <alignment horizontal="center" vertical="center" wrapText="1"/>
      <protection locked="0" hidden="1"/>
    </xf>
    <xf numFmtId="164" fontId="18" fillId="0" borderId="3" xfId="0" applyNumberFormat="1" applyFont="1" applyBorder="1" applyAlignment="1" applyProtection="1">
      <alignment horizontal="center" vertical="center" wrapText="1"/>
      <protection hidden="1"/>
    </xf>
    <xf numFmtId="4" fontId="18" fillId="0" borderId="3" xfId="0" applyNumberFormat="1" applyFont="1" applyBorder="1" applyAlignment="1" applyProtection="1">
      <alignment horizontal="center" vertical="center" wrapText="1"/>
      <protection locked="0" hidden="1"/>
    </xf>
    <xf numFmtId="0" fontId="18" fillId="0" borderId="3" xfId="0" applyFont="1" applyBorder="1" applyAlignment="1" applyProtection="1">
      <alignment horizontal="center" vertical="center" wrapText="1"/>
      <protection locked="0" hidden="1"/>
    </xf>
    <xf numFmtId="0" fontId="16" fillId="0" borderId="3" xfId="0" applyFont="1" applyBorder="1" applyAlignment="1" applyProtection="1">
      <alignment horizontal="left" vertical="center" wrapText="1"/>
      <protection locked="0" hidden="1"/>
    </xf>
    <xf numFmtId="0" fontId="18" fillId="0" borderId="0" xfId="0" applyFont="1" applyAlignment="1">
      <alignment horizontal="center" vertical="center" wrapText="1"/>
    </xf>
    <xf numFmtId="164" fontId="29" fillId="12" borderId="4" xfId="22" applyFill="1" applyBorder="1" applyAlignment="1" applyProtection="1">
      <alignment horizontal="center" vertical="center" wrapText="1"/>
      <protection locked="0" hidden="1"/>
    </xf>
    <xf numFmtId="4" fontId="0" fillId="12" borderId="4" xfId="0" applyNumberFormat="1" applyFill="1" applyBorder="1" applyAlignment="1" applyProtection="1">
      <alignment horizontal="center" vertical="center" wrapText="1"/>
      <protection locked="0" hidden="1"/>
    </xf>
    <xf numFmtId="0" fontId="0" fillId="12" borderId="4" xfId="0" applyFill="1" applyBorder="1" applyAlignment="1" applyProtection="1">
      <alignment horizontal="center" vertical="center" wrapText="1"/>
      <protection locked="0" hidden="1"/>
    </xf>
    <xf numFmtId="0" fontId="0" fillId="12" borderId="17" xfId="0" applyFill="1" applyBorder="1" applyAlignment="1">
      <alignment horizontal="center" vertical="center" wrapText="1"/>
    </xf>
    <xf numFmtId="0" fontId="16" fillId="0" borderId="20" xfId="0" applyFont="1" applyBorder="1" applyAlignment="1" applyProtection="1">
      <alignment horizontal="center" vertical="center" wrapText="1"/>
      <protection locked="0" hidden="1"/>
    </xf>
    <xf numFmtId="0" fontId="18" fillId="0" borderId="19" xfId="0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51" fillId="17" borderId="0" xfId="0" applyFont="1" applyFill="1"/>
    <xf numFmtId="0" fontId="51" fillId="0" borderId="46" xfId="0" applyFont="1" applyBorder="1" applyAlignment="1">
      <alignment horizontal="center" vertical="center" wrapText="1"/>
    </xf>
    <xf numFmtId="0" fontId="52" fillId="18" borderId="46" xfId="0" applyFont="1" applyFill="1" applyBorder="1" applyAlignment="1">
      <alignment horizontal="center" vertical="center"/>
    </xf>
    <xf numFmtId="10" fontId="51" fillId="0" borderId="46" xfId="0" applyNumberFormat="1" applyFont="1" applyBorder="1" applyAlignment="1" applyProtection="1">
      <alignment horizontal="center" vertical="center"/>
      <protection locked="0"/>
    </xf>
    <xf numFmtId="10" fontId="51" fillId="0" borderId="46" xfId="0" applyNumberFormat="1" applyFont="1" applyBorder="1" applyAlignment="1">
      <alignment horizontal="center" vertical="center"/>
    </xf>
    <xf numFmtId="0" fontId="35" fillId="0" borderId="0" xfId="0" applyFont="1" applyFill="1" applyBorder="1" applyAlignment="1">
      <alignment vertical="center" wrapText="1"/>
    </xf>
    <xf numFmtId="0" fontId="35" fillId="0" borderId="12" xfId="0" applyFont="1" applyFill="1" applyBorder="1" applyAlignment="1">
      <alignment vertical="center" wrapText="1"/>
    </xf>
    <xf numFmtId="0" fontId="51" fillId="0" borderId="47" xfId="0" applyFont="1" applyBorder="1" applyAlignment="1">
      <alignment horizontal="center" vertical="center" wrapText="1"/>
    </xf>
    <xf numFmtId="0" fontId="52" fillId="18" borderId="48" xfId="0" applyFont="1" applyFill="1" applyBorder="1" applyAlignment="1">
      <alignment horizontal="center" vertical="center"/>
    </xf>
    <xf numFmtId="0" fontId="52" fillId="18" borderId="47" xfId="0" applyFont="1" applyFill="1" applyBorder="1" applyAlignment="1">
      <alignment horizontal="center" vertical="center"/>
    </xf>
    <xf numFmtId="0" fontId="51" fillId="0" borderId="48" xfId="0" applyFont="1" applyBorder="1" applyAlignment="1">
      <alignment horizontal="center" vertical="center"/>
    </xf>
    <xf numFmtId="10" fontId="51" fillId="0" borderId="47" xfId="0" applyNumberFormat="1" applyFont="1" applyBorder="1" applyAlignment="1" applyProtection="1">
      <alignment horizontal="center" vertical="center"/>
      <protection locked="0"/>
    </xf>
    <xf numFmtId="0" fontId="52" fillId="0" borderId="48" xfId="0" applyFont="1" applyBorder="1" applyAlignment="1">
      <alignment horizontal="center" vertical="center" wrapText="1"/>
    </xf>
    <xf numFmtId="10" fontId="51" fillId="0" borderId="47" xfId="0" applyNumberFormat="1" applyFont="1" applyBorder="1" applyAlignment="1">
      <alignment horizontal="center" vertical="center"/>
    </xf>
    <xf numFmtId="0" fontId="51" fillId="0" borderId="49" xfId="0" applyFont="1" applyBorder="1" applyAlignment="1">
      <alignment horizontal="center" vertical="center"/>
    </xf>
    <xf numFmtId="0" fontId="52" fillId="18" borderId="50" xfId="0" applyFont="1" applyFill="1" applyBorder="1" applyAlignment="1">
      <alignment horizontal="center" vertical="center"/>
    </xf>
    <xf numFmtId="0" fontId="51" fillId="0" borderId="51" xfId="0" applyFont="1" applyBorder="1" applyAlignment="1">
      <alignment horizontal="center" vertical="center"/>
    </xf>
    <xf numFmtId="0" fontId="53" fillId="14" borderId="50" xfId="0" applyFont="1" applyFill="1" applyBorder="1" applyAlignment="1">
      <alignment horizontal="center" vertical="center" wrapText="1"/>
    </xf>
    <xf numFmtId="0" fontId="52" fillId="14" borderId="48" xfId="0" applyFont="1" applyFill="1" applyBorder="1" applyAlignment="1">
      <alignment horizontal="center" vertical="center" wrapText="1"/>
    </xf>
    <xf numFmtId="0" fontId="51" fillId="14" borderId="46" xfId="0" applyFont="1" applyFill="1" applyBorder="1" applyAlignment="1">
      <alignment horizontal="center" vertical="center"/>
    </xf>
    <xf numFmtId="0" fontId="51" fillId="14" borderId="47" xfId="0" applyFont="1" applyFill="1" applyBorder="1" applyAlignment="1">
      <alignment horizontal="center" vertical="center"/>
    </xf>
    <xf numFmtId="0" fontId="51" fillId="0" borderId="51" xfId="0" applyFont="1" applyBorder="1" applyAlignment="1">
      <alignment horizontal="center" vertical="center" wrapText="1"/>
    </xf>
    <xf numFmtId="10" fontId="51" fillId="0" borderId="52" xfId="0" applyNumberFormat="1" applyFont="1" applyBorder="1" applyAlignment="1">
      <alignment horizontal="center" vertical="center"/>
    </xf>
    <xf numFmtId="10" fontId="51" fillId="0" borderId="53" xfId="0" applyNumberFormat="1" applyFont="1" applyBorder="1" applyAlignment="1">
      <alignment horizontal="center" vertical="center"/>
    </xf>
    <xf numFmtId="0" fontId="53" fillId="19" borderId="54" xfId="0" applyFont="1" applyFill="1" applyBorder="1" applyAlignment="1">
      <alignment horizontal="center" vertical="center" wrapText="1"/>
    </xf>
    <xf numFmtId="10" fontId="53" fillId="19" borderId="55" xfId="0" applyNumberFormat="1" applyFont="1" applyFill="1" applyBorder="1" applyAlignment="1">
      <alignment horizontal="center" vertical="center"/>
    </xf>
    <xf numFmtId="10" fontId="53" fillId="19" borderId="56" xfId="0" applyNumberFormat="1" applyFont="1" applyFill="1" applyBorder="1" applyAlignment="1">
      <alignment horizontal="center" vertical="center"/>
    </xf>
    <xf numFmtId="0" fontId="53" fillId="20" borderId="57" xfId="0" applyFont="1" applyFill="1" applyBorder="1" applyAlignment="1">
      <alignment horizontal="center" vertical="center" wrapText="1"/>
    </xf>
    <xf numFmtId="10" fontId="53" fillId="20" borderId="58" xfId="0" applyNumberFormat="1" applyFont="1" applyFill="1" applyBorder="1" applyAlignment="1">
      <alignment horizontal="center" vertical="center"/>
    </xf>
    <xf numFmtId="10" fontId="53" fillId="20" borderId="59" xfId="0" applyNumberFormat="1" applyFont="1" applyFill="1" applyBorder="1" applyAlignment="1">
      <alignment horizontal="center" vertical="center"/>
    </xf>
    <xf numFmtId="0" fontId="51" fillId="0" borderId="46" xfId="0" applyFont="1" applyBorder="1" applyAlignment="1">
      <alignment horizontal="left" vertical="center"/>
    </xf>
    <xf numFmtId="0" fontId="51" fillId="0" borderId="46" xfId="0" applyFont="1" applyBorder="1" applyAlignment="1">
      <alignment horizontal="left" vertical="center" wrapText="1"/>
    </xf>
    <xf numFmtId="0" fontId="52" fillId="0" borderId="58" xfId="0" applyFont="1" applyBorder="1" applyAlignment="1">
      <alignment horizontal="center" vertical="center" wrapText="1"/>
    </xf>
    <xf numFmtId="0" fontId="52" fillId="0" borderId="59" xfId="0" applyFont="1" applyBorder="1" applyAlignment="1">
      <alignment horizontal="center" vertical="center" wrapText="1"/>
    </xf>
    <xf numFmtId="0" fontId="52" fillId="0" borderId="57" xfId="0" applyFont="1" applyBorder="1" applyAlignment="1">
      <alignment horizontal="center" vertical="center" wrapText="1"/>
    </xf>
    <xf numFmtId="10" fontId="52" fillId="0" borderId="58" xfId="0" applyNumberFormat="1" applyFont="1" applyBorder="1" applyAlignment="1">
      <alignment horizontal="center" vertical="center"/>
    </xf>
    <xf numFmtId="10" fontId="52" fillId="0" borderId="59" xfId="0" applyNumberFormat="1" applyFont="1" applyBorder="1" applyAlignment="1">
      <alignment horizontal="center" vertical="center"/>
    </xf>
    <xf numFmtId="0" fontId="52" fillId="0" borderId="57" xfId="0" applyFont="1" applyBorder="1" applyAlignment="1">
      <alignment horizontal="center" vertical="center"/>
    </xf>
    <xf numFmtId="10" fontId="53" fillId="18" borderId="60" xfId="0" applyNumberFormat="1" applyFont="1" applyFill="1" applyBorder="1" applyAlignment="1">
      <alignment horizontal="center" vertical="center"/>
    </xf>
    <xf numFmtId="10" fontId="53" fillId="18" borderId="61" xfId="0" applyNumberFormat="1" applyFont="1" applyFill="1" applyBorder="1" applyAlignment="1">
      <alignment horizontal="center" vertical="center"/>
    </xf>
    <xf numFmtId="0" fontId="31" fillId="11" borderId="6" xfId="0" applyFont="1" applyFill="1" applyBorder="1" applyAlignment="1" applyProtection="1">
      <alignment horizontal="left" vertical="center"/>
      <protection locked="0" hidden="1"/>
    </xf>
    <xf numFmtId="0" fontId="60" fillId="11" borderId="35" xfId="0" applyFont="1" applyFill="1" applyBorder="1" applyAlignment="1">
      <alignment horizontal="center" vertical="center"/>
    </xf>
    <xf numFmtId="44" fontId="60" fillId="0" borderId="12" xfId="9" applyFont="1" applyBorder="1"/>
    <xf numFmtId="44" fontId="60" fillId="0" borderId="14" xfId="9" applyFont="1" applyBorder="1"/>
    <xf numFmtId="0" fontId="48" fillId="11" borderId="13" xfId="0" applyFont="1" applyFill="1" applyBorder="1" applyAlignment="1">
      <alignment horizontal="center" vertical="center"/>
    </xf>
    <xf numFmtId="44" fontId="48" fillId="11" borderId="14" xfId="0" applyNumberFormat="1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vertical="center" wrapText="1"/>
    </xf>
    <xf numFmtId="0" fontId="0" fillId="0" borderId="4" xfId="0" applyFont="1" applyFill="1" applyBorder="1" applyAlignment="1">
      <alignment horizontal="center" vertical="center" wrapText="1"/>
    </xf>
    <xf numFmtId="4" fontId="0" fillId="0" borderId="4" xfId="0" applyNumberFormat="1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1" fontId="0" fillId="0" borderId="17" xfId="0" applyNumberFormat="1" applyFont="1" applyFill="1" applyBorder="1" applyAlignment="1">
      <alignment horizontal="center" vertical="center" wrapText="1"/>
    </xf>
    <xf numFmtId="0" fontId="0" fillId="0" borderId="4" xfId="0" applyFont="1" applyFill="1" applyBorder="1" applyAlignment="1" applyProtection="1">
      <alignment horizontal="center" vertical="center" wrapText="1"/>
      <protection locked="0" hidden="1"/>
    </xf>
    <xf numFmtId="0" fontId="25" fillId="0" borderId="18" xfId="7" applyNumberFormat="1" applyFont="1" applyFill="1" applyBorder="1" applyAlignment="1">
      <alignment horizontal="center" vertical="center" wrapText="1"/>
    </xf>
    <xf numFmtId="0" fontId="8" fillId="0" borderId="4" xfId="7" applyNumberFormat="1" applyFont="1" applyFill="1" applyBorder="1" applyAlignment="1">
      <alignment vertical="center" wrapText="1"/>
    </xf>
    <xf numFmtId="0" fontId="25" fillId="0" borderId="4" xfId="7" applyNumberFormat="1" applyFont="1" applyFill="1" applyBorder="1" applyAlignment="1">
      <alignment horizontal="center" vertical="center" wrapText="1"/>
    </xf>
    <xf numFmtId="165" fontId="25" fillId="0" borderId="4" xfId="7" applyNumberFormat="1" applyFont="1" applyFill="1" applyBorder="1" applyAlignment="1">
      <alignment horizontal="center" vertical="center"/>
    </xf>
    <xf numFmtId="2" fontId="25" fillId="0" borderId="4" xfId="7" applyNumberFormat="1" applyFont="1" applyFill="1" applyBorder="1" applyAlignment="1">
      <alignment horizontal="center" vertical="center" wrapText="1"/>
    </xf>
    <xf numFmtId="165" fontId="25" fillId="0" borderId="17" xfId="7" applyNumberFormat="1" applyFont="1" applyFill="1" applyBorder="1" applyAlignment="1">
      <alignment horizontal="center" vertical="center" wrapText="1"/>
    </xf>
    <xf numFmtId="0" fontId="25" fillId="0" borderId="4" xfId="7" applyNumberFormat="1" applyFont="1" applyFill="1" applyBorder="1" applyAlignment="1">
      <alignment horizontal="left" vertical="center" wrapText="1"/>
    </xf>
    <xf numFmtId="165" fontId="25" fillId="0" borderId="4" xfId="7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 wrapText="1"/>
    </xf>
    <xf numFmtId="165" fontId="25" fillId="0" borderId="4" xfId="0" applyNumberFormat="1" applyFont="1" applyFill="1" applyBorder="1" applyAlignment="1">
      <alignment horizontal="center" vertical="center" wrapText="1"/>
    </xf>
    <xf numFmtId="2" fontId="25" fillId="0" borderId="4" xfId="0" applyNumberFormat="1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left" vertical="center" wrapText="1"/>
    </xf>
    <xf numFmtId="2" fontId="25" fillId="0" borderId="4" xfId="0" applyNumberFormat="1" applyFont="1" applyFill="1" applyBorder="1" applyAlignment="1">
      <alignment horizontal="center" vertical="center" wrapText="1"/>
    </xf>
    <xf numFmtId="0" fontId="25" fillId="0" borderId="18" xfId="7" applyNumberFormat="1" applyFont="1" applyFill="1" applyBorder="1" applyAlignment="1">
      <alignment horizontal="center" vertical="center"/>
    </xf>
    <xf numFmtId="0" fontId="25" fillId="0" borderId="4" xfId="7" applyNumberFormat="1" applyFont="1" applyFill="1" applyBorder="1" applyAlignment="1">
      <alignment horizontal="center" vertical="center"/>
    </xf>
    <xf numFmtId="2" fontId="25" fillId="0" borderId="4" xfId="7" applyNumberFormat="1" applyFont="1" applyFill="1" applyBorder="1" applyAlignment="1">
      <alignment horizontal="center" vertical="center"/>
    </xf>
    <xf numFmtId="165" fontId="25" fillId="0" borderId="17" xfId="7" applyNumberFormat="1" applyFont="1" applyFill="1" applyBorder="1" applyAlignment="1">
      <alignment horizontal="center" vertical="center"/>
    </xf>
    <xf numFmtId="0" fontId="25" fillId="0" borderId="18" xfId="0" applyFont="1" applyFill="1" applyBorder="1" applyAlignment="1">
      <alignment horizontal="center" vertical="center"/>
    </xf>
    <xf numFmtId="167" fontId="25" fillId="0" borderId="4" xfId="7" applyNumberFormat="1" applyFont="1" applyFill="1" applyBorder="1" applyAlignment="1">
      <alignment horizontal="center" vertical="center"/>
    </xf>
    <xf numFmtId="167" fontId="25" fillId="0" borderId="4" xfId="0" applyNumberFormat="1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left" vertical="center"/>
    </xf>
    <xf numFmtId="0" fontId="0" fillId="0" borderId="18" xfId="0" applyFill="1" applyBorder="1" applyAlignment="1">
      <alignment horizontal="center" vertical="center" wrapText="1"/>
    </xf>
    <xf numFmtId="0" fontId="0" fillId="0" borderId="4" xfId="0" applyFill="1" applyBorder="1" applyAlignment="1">
      <alignment vertical="center" wrapText="1"/>
    </xf>
    <xf numFmtId="0" fontId="0" fillId="0" borderId="4" xfId="0" applyFill="1" applyBorder="1" applyAlignment="1">
      <alignment horizontal="center" vertical="center" wrapText="1"/>
    </xf>
    <xf numFmtId="4" fontId="0" fillId="0" borderId="4" xfId="0" applyNumberForma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1" fontId="0" fillId="0" borderId="17" xfId="0" applyNumberFormat="1" applyFill="1" applyBorder="1" applyAlignment="1">
      <alignment horizontal="center" vertical="center" wrapText="1"/>
    </xf>
    <xf numFmtId="0" fontId="0" fillId="0" borderId="4" xfId="0" applyFill="1" applyBorder="1" applyAlignment="1" applyProtection="1">
      <alignment horizontal="center" vertical="center" wrapText="1"/>
      <protection locked="0" hidden="1"/>
    </xf>
    <xf numFmtId="0" fontId="25" fillId="0" borderId="18" xfId="7" applyFont="1" applyFill="1" applyBorder="1" applyAlignment="1">
      <alignment horizontal="center" vertical="center" wrapText="1"/>
    </xf>
    <xf numFmtId="0" fontId="27" fillId="0" borderId="4" xfId="7" applyFont="1" applyFill="1" applyBorder="1" applyAlignment="1">
      <alignment vertical="center" wrapText="1"/>
    </xf>
    <xf numFmtId="0" fontId="25" fillId="0" borderId="4" xfId="7" applyFont="1" applyFill="1" applyBorder="1" applyAlignment="1">
      <alignment horizontal="center" vertical="center" wrapText="1"/>
    </xf>
    <xf numFmtId="0" fontId="26" fillId="0" borderId="4" xfId="7" applyFont="1" applyFill="1" applyBorder="1" applyAlignment="1">
      <alignment horizontal="left" vertical="center" wrapText="1"/>
    </xf>
    <xf numFmtId="0" fontId="27" fillId="0" borderId="4" xfId="0" applyFont="1" applyFill="1" applyBorder="1" applyAlignment="1">
      <alignment horizontal="left" vertical="center" wrapText="1"/>
    </xf>
    <xf numFmtId="0" fontId="26" fillId="0" borderId="4" xfId="7" applyFont="1" applyFill="1" applyBorder="1" applyAlignment="1">
      <alignment horizontal="center" vertical="center" wrapText="1"/>
    </xf>
    <xf numFmtId="165" fontId="26" fillId="0" borderId="4" xfId="0" applyNumberFormat="1" applyFont="1" applyFill="1" applyBorder="1" applyAlignment="1">
      <alignment horizontal="center" vertical="center" wrapText="1"/>
    </xf>
    <xf numFmtId="2" fontId="26" fillId="0" borderId="4" xfId="0" applyNumberFormat="1" applyFont="1" applyFill="1" applyBorder="1" applyAlignment="1">
      <alignment horizontal="center" vertical="center"/>
    </xf>
    <xf numFmtId="0" fontId="26" fillId="0" borderId="4" xfId="0" applyFont="1" applyFill="1" applyBorder="1" applyAlignment="1">
      <alignment horizontal="left" vertical="center" wrapText="1"/>
    </xf>
    <xf numFmtId="2" fontId="26" fillId="0" borderId="4" xfId="0" applyNumberFormat="1" applyFont="1" applyFill="1" applyBorder="1" applyAlignment="1">
      <alignment horizontal="center" vertical="center" wrapText="1"/>
    </xf>
    <xf numFmtId="0" fontId="25" fillId="0" borderId="18" xfId="7" applyFont="1" applyFill="1" applyBorder="1" applyAlignment="1">
      <alignment horizontal="center" vertical="center"/>
    </xf>
    <xf numFmtId="0" fontId="25" fillId="0" borderId="4" xfId="7" applyFont="1" applyFill="1" applyBorder="1" applyAlignment="1">
      <alignment horizontal="center" vertical="center"/>
    </xf>
    <xf numFmtId="0" fontId="26" fillId="0" borderId="18" xfId="0" applyFont="1" applyFill="1" applyBorder="1" applyAlignment="1">
      <alignment horizontal="center" vertical="center"/>
    </xf>
    <xf numFmtId="165" fontId="26" fillId="0" borderId="17" xfId="7" applyNumberFormat="1" applyFont="1" applyFill="1" applyBorder="1" applyAlignment="1">
      <alignment horizontal="center" vertical="center"/>
    </xf>
    <xf numFmtId="167" fontId="26" fillId="0" borderId="4" xfId="0" applyNumberFormat="1" applyFont="1" applyFill="1" applyBorder="1" applyAlignment="1">
      <alignment horizontal="center" vertical="center"/>
    </xf>
    <xf numFmtId="0" fontId="26" fillId="0" borderId="4" xfId="0" applyFont="1" applyFill="1" applyBorder="1" applyAlignment="1">
      <alignment horizontal="left" vertical="center"/>
    </xf>
    <xf numFmtId="0" fontId="54" fillId="17" borderId="33" xfId="0" applyFont="1" applyFill="1" applyBorder="1" applyAlignment="1">
      <alignment horizontal="center" vertical="center"/>
    </xf>
    <xf numFmtId="0" fontId="54" fillId="17" borderId="35" xfId="0" applyFont="1" applyFill="1" applyBorder="1" applyAlignment="1">
      <alignment horizontal="center" vertical="center"/>
    </xf>
    <xf numFmtId="0" fontId="55" fillId="17" borderId="43" xfId="0" applyFont="1" applyFill="1" applyBorder="1" applyAlignment="1">
      <alignment horizontal="center" vertical="center"/>
    </xf>
    <xf numFmtId="0" fontId="55" fillId="17" borderId="26" xfId="0" applyFont="1" applyFill="1" applyBorder="1" applyAlignment="1">
      <alignment horizontal="center" vertical="center"/>
    </xf>
    <xf numFmtId="0" fontId="56" fillId="17" borderId="43" xfId="0" applyFont="1" applyFill="1" applyBorder="1" applyAlignment="1">
      <alignment horizontal="center" vertical="center"/>
    </xf>
    <xf numFmtId="0" fontId="56" fillId="17" borderId="26" xfId="0" applyFont="1" applyFill="1" applyBorder="1" applyAlignment="1">
      <alignment horizontal="center" vertical="center"/>
    </xf>
    <xf numFmtId="0" fontId="31" fillId="10" borderId="13" xfId="0" applyFont="1" applyFill="1" applyBorder="1" applyAlignment="1">
      <alignment horizontal="center" vertical="center"/>
    </xf>
    <xf numFmtId="0" fontId="31" fillId="10" borderId="14" xfId="0" applyFont="1" applyFill="1" applyBorder="1" applyAlignment="1">
      <alignment horizontal="center" vertical="center"/>
    </xf>
    <xf numFmtId="0" fontId="45" fillId="0" borderId="2" xfId="0" applyFont="1" applyFill="1" applyBorder="1" applyAlignment="1" applyProtection="1">
      <alignment horizontal="center" vertical="center" wrapText="1"/>
      <protection locked="0" hidden="1"/>
    </xf>
    <xf numFmtId="0" fontId="45" fillId="0" borderId="3" xfId="0" applyFont="1" applyFill="1" applyBorder="1" applyAlignment="1" applyProtection="1">
      <alignment horizontal="center" vertical="center" wrapText="1"/>
      <protection locked="0" hidden="1"/>
    </xf>
    <xf numFmtId="0" fontId="45" fillId="0" borderId="44" xfId="0" applyFont="1" applyFill="1" applyBorder="1" applyAlignment="1" applyProtection="1">
      <alignment horizontal="center" vertical="center" wrapText="1"/>
      <protection locked="0" hidden="1"/>
    </xf>
    <xf numFmtId="2" fontId="45" fillId="0" borderId="2" xfId="0" applyNumberFormat="1" applyFont="1" applyFill="1" applyBorder="1" applyAlignment="1" applyProtection="1">
      <alignment horizontal="center" vertical="center" wrapText="1"/>
      <protection locked="0" hidden="1"/>
    </xf>
    <xf numFmtId="2" fontId="45" fillId="0" borderId="3" xfId="0" applyNumberFormat="1" applyFont="1" applyFill="1" applyBorder="1" applyAlignment="1" applyProtection="1">
      <alignment horizontal="center" vertical="center" wrapText="1"/>
      <protection locked="0" hidden="1"/>
    </xf>
    <xf numFmtId="2" fontId="45" fillId="0" borderId="44" xfId="0" applyNumberFormat="1" applyFont="1" applyFill="1" applyBorder="1" applyAlignment="1" applyProtection="1">
      <alignment horizontal="center" vertical="center" wrapText="1"/>
      <protection locked="0" hidden="1"/>
    </xf>
    <xf numFmtId="0" fontId="45" fillId="0" borderId="7" xfId="0" applyFont="1" applyFill="1" applyBorder="1" applyAlignment="1" applyProtection="1">
      <alignment horizontal="center" vertical="center" wrapText="1"/>
      <protection locked="0" hidden="1"/>
    </xf>
    <xf numFmtId="0" fontId="45" fillId="0" borderId="37" xfId="0" applyFont="1" applyFill="1" applyBorder="1" applyAlignment="1" applyProtection="1">
      <alignment horizontal="center" vertical="center" wrapText="1"/>
      <protection locked="0" hidden="1"/>
    </xf>
    <xf numFmtId="0" fontId="45" fillId="0" borderId="8" xfId="0" applyFont="1" applyFill="1" applyBorder="1" applyAlignment="1" applyProtection="1">
      <alignment horizontal="center" vertical="center" wrapText="1"/>
      <protection locked="0" hidden="1"/>
    </xf>
    <xf numFmtId="0" fontId="45" fillId="0" borderId="9" xfId="0" applyFont="1" applyFill="1" applyBorder="1" applyAlignment="1" applyProtection="1">
      <alignment horizontal="center" vertical="center" wrapText="1"/>
      <protection locked="0" hidden="1"/>
    </xf>
    <xf numFmtId="0" fontId="45" fillId="0" borderId="25" xfId="0" applyFont="1" applyFill="1" applyBorder="1" applyAlignment="1" applyProtection="1">
      <alignment horizontal="center" vertical="center" wrapText="1"/>
      <protection locked="0" hidden="1"/>
    </xf>
    <xf numFmtId="0" fontId="45" fillId="0" borderId="10" xfId="0" applyFont="1" applyFill="1" applyBorder="1" applyAlignment="1" applyProtection="1">
      <alignment horizontal="center" vertical="center" wrapText="1"/>
      <protection locked="0" hidden="1"/>
    </xf>
    <xf numFmtId="0" fontId="57" fillId="0" borderId="13" xfId="0" applyFont="1" applyBorder="1" applyAlignment="1">
      <alignment horizontal="center" vertical="center" wrapText="1"/>
    </xf>
    <xf numFmtId="0" fontId="57" fillId="0" borderId="36" xfId="0" applyFont="1" applyBorder="1" applyAlignment="1">
      <alignment horizontal="center" vertical="center" wrapText="1"/>
    </xf>
    <xf numFmtId="0" fontId="57" fillId="0" borderId="14" xfId="0" applyFont="1" applyBorder="1" applyAlignment="1">
      <alignment horizontal="center" vertical="center" wrapText="1"/>
    </xf>
    <xf numFmtId="0" fontId="35" fillId="0" borderId="11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vertical="center" wrapText="1"/>
    </xf>
    <xf numFmtId="0" fontId="35" fillId="0" borderId="12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0" xfId="0" applyFont="1" applyFill="1" applyBorder="1" applyAlignment="1">
      <alignment horizontal="center" vertical="center"/>
    </xf>
    <xf numFmtId="0" fontId="55" fillId="17" borderId="12" xfId="0" applyFont="1" applyFill="1" applyBorder="1" applyAlignment="1">
      <alignment horizontal="center" vertical="center"/>
    </xf>
    <xf numFmtId="0" fontId="54" fillId="17" borderId="34" xfId="0" applyFont="1" applyFill="1" applyBorder="1" applyAlignment="1">
      <alignment horizontal="center" vertical="center"/>
    </xf>
    <xf numFmtId="0" fontId="48" fillId="14" borderId="15" xfId="0" applyFont="1" applyFill="1" applyBorder="1" applyAlignment="1">
      <alignment horizontal="center" vertical="center"/>
    </xf>
    <xf numFmtId="0" fontId="48" fillId="14" borderId="45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24" fillId="9" borderId="21" xfId="0" applyFont="1" applyFill="1" applyBorder="1" applyAlignment="1">
      <alignment horizontal="right" vertical="center"/>
    </xf>
    <xf numFmtId="0" fontId="24" fillId="9" borderId="22" xfId="0" applyFont="1" applyFill="1" applyBorder="1" applyAlignment="1">
      <alignment horizontal="right" vertical="center"/>
    </xf>
    <xf numFmtId="0" fontId="24" fillId="9" borderId="18" xfId="0" applyFont="1" applyFill="1" applyBorder="1" applyAlignment="1">
      <alignment horizontal="right" vertical="center"/>
    </xf>
    <xf numFmtId="0" fontId="24" fillId="9" borderId="4" xfId="0" applyFont="1" applyFill="1" applyBorder="1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60" fillId="0" borderId="13" xfId="0" applyFont="1" applyBorder="1" applyAlignment="1">
      <alignment horizontal="left"/>
    </xf>
    <xf numFmtId="0" fontId="60" fillId="0" borderId="36" xfId="0" applyFont="1" applyBorder="1" applyAlignment="1">
      <alignment horizontal="left"/>
    </xf>
    <xf numFmtId="0" fontId="48" fillId="11" borderId="33" xfId="0" applyFont="1" applyFill="1" applyBorder="1" applyAlignment="1">
      <alignment horizontal="center" vertical="center"/>
    </xf>
    <xf numFmtId="0" fontId="48" fillId="11" borderId="35" xfId="0" applyFont="1" applyFill="1" applyBorder="1" applyAlignment="1">
      <alignment horizontal="center" vertical="center"/>
    </xf>
    <xf numFmtId="0" fontId="48" fillId="11" borderId="11" xfId="0" applyFont="1" applyFill="1" applyBorder="1" applyAlignment="1">
      <alignment horizontal="center" vertical="center"/>
    </xf>
    <xf numFmtId="0" fontId="48" fillId="11" borderId="12" xfId="0" applyFont="1" applyFill="1" applyBorder="1" applyAlignment="1">
      <alignment horizontal="center" vertical="center"/>
    </xf>
    <xf numFmtId="0" fontId="55" fillId="17" borderId="33" xfId="0" applyFont="1" applyFill="1" applyBorder="1" applyAlignment="1">
      <alignment horizontal="center" vertical="center"/>
    </xf>
    <xf numFmtId="0" fontId="42" fillId="0" borderId="34" xfId="0" applyFont="1" applyBorder="1"/>
    <xf numFmtId="0" fontId="42" fillId="0" borderId="35" xfId="0" applyFont="1" applyBorder="1"/>
    <xf numFmtId="0" fontId="56" fillId="17" borderId="11" xfId="0" applyFont="1" applyFill="1" applyBorder="1" applyAlignment="1">
      <alignment horizontal="center" vertical="center"/>
    </xf>
    <xf numFmtId="0" fontId="43" fillId="0" borderId="0" xfId="0" applyFont="1" applyBorder="1"/>
    <xf numFmtId="0" fontId="43" fillId="0" borderId="12" xfId="0" applyFont="1" applyBorder="1"/>
    <xf numFmtId="0" fontId="40" fillId="0" borderId="11" xfId="0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center" vertical="center" wrapText="1"/>
    </xf>
    <xf numFmtId="0" fontId="40" fillId="0" borderId="12" xfId="0" applyFont="1" applyFill="1" applyBorder="1" applyAlignment="1">
      <alignment horizontal="center" vertical="center" wrapText="1"/>
    </xf>
    <xf numFmtId="0" fontId="48" fillId="0" borderId="13" xfId="0" applyFont="1" applyBorder="1" applyAlignment="1">
      <alignment horizontal="center"/>
    </xf>
    <xf numFmtId="0" fontId="48" fillId="0" borderId="36" xfId="0" applyFont="1" applyBorder="1" applyAlignment="1">
      <alignment horizontal="center"/>
    </xf>
    <xf numFmtId="0" fontId="48" fillId="0" borderId="14" xfId="0" applyFont="1" applyBorder="1" applyAlignment="1">
      <alignment horizontal="center"/>
    </xf>
    <xf numFmtId="0" fontId="48" fillId="11" borderId="33" xfId="0" applyFont="1" applyFill="1" applyBorder="1" applyAlignment="1">
      <alignment horizontal="left" vertical="center"/>
    </xf>
    <xf numFmtId="0" fontId="48" fillId="11" borderId="34" xfId="0" applyFont="1" applyFill="1" applyBorder="1" applyAlignment="1">
      <alignment horizontal="left" vertical="center"/>
    </xf>
    <xf numFmtId="0" fontId="60" fillId="0" borderId="11" xfId="0" applyFont="1" applyBorder="1" applyAlignment="1">
      <alignment horizontal="left"/>
    </xf>
    <xf numFmtId="0" fontId="60" fillId="0" borderId="0" xfId="0" applyFont="1" applyBorder="1" applyAlignment="1">
      <alignment horizontal="left"/>
    </xf>
    <xf numFmtId="0" fontId="41" fillId="0" borderId="34" xfId="0" applyFont="1" applyBorder="1"/>
    <xf numFmtId="0" fontId="41" fillId="0" borderId="35" xfId="0" applyFont="1" applyBorder="1"/>
    <xf numFmtId="0" fontId="41" fillId="0" borderId="0" xfId="0" applyFont="1" applyBorder="1"/>
    <xf numFmtId="0" fontId="41" fillId="0" borderId="12" xfId="0" applyFont="1" applyBorder="1"/>
    <xf numFmtId="0" fontId="53" fillId="18" borderId="62" xfId="0" applyFont="1" applyFill="1" applyBorder="1" applyAlignment="1">
      <alignment horizontal="center" vertical="center"/>
    </xf>
    <xf numFmtId="0" fontId="19" fillId="0" borderId="63" xfId="0" applyFont="1" applyBorder="1"/>
    <xf numFmtId="0" fontId="19" fillId="0" borderId="64" xfId="0" applyFont="1" applyBorder="1"/>
    <xf numFmtId="0" fontId="52" fillId="0" borderId="51" xfId="0" applyFont="1" applyBorder="1" applyAlignment="1">
      <alignment horizontal="center" vertical="center"/>
    </xf>
    <xf numFmtId="0" fontId="41" fillId="0" borderId="49" xfId="0" applyFont="1" applyBorder="1"/>
    <xf numFmtId="0" fontId="52" fillId="0" borderId="65" xfId="0" applyFont="1" applyBorder="1" applyAlignment="1">
      <alignment horizontal="center" vertical="center"/>
    </xf>
    <xf numFmtId="0" fontId="41" fillId="0" borderId="66" xfId="0" applyFont="1" applyBorder="1"/>
    <xf numFmtId="0" fontId="52" fillId="0" borderId="65" xfId="0" applyFont="1" applyBorder="1" applyAlignment="1">
      <alignment horizontal="center" vertical="center" wrapText="1"/>
    </xf>
    <xf numFmtId="0" fontId="41" fillId="0" borderId="64" xfId="0" applyFont="1" applyBorder="1" applyAlignment="1">
      <alignment wrapText="1"/>
    </xf>
    <xf numFmtId="10" fontId="51" fillId="0" borderId="65" xfId="0" applyNumberFormat="1" applyFont="1" applyBorder="1" applyAlignment="1" applyProtection="1">
      <alignment horizontal="center" vertical="center"/>
      <protection locked="0"/>
    </xf>
    <xf numFmtId="0" fontId="41" fillId="0" borderId="66" xfId="0" applyFont="1" applyBorder="1" applyProtection="1">
      <protection locked="0"/>
    </xf>
    <xf numFmtId="0" fontId="58" fillId="17" borderId="13" xfId="0" applyFont="1" applyFill="1" applyBorder="1" applyAlignment="1">
      <alignment horizontal="left" vertical="center"/>
    </xf>
    <xf numFmtId="0" fontId="41" fillId="0" borderId="36" xfId="0" applyFont="1" applyBorder="1"/>
    <xf numFmtId="0" fontId="41" fillId="0" borderId="14" xfId="0" applyFont="1" applyBorder="1"/>
    <xf numFmtId="0" fontId="53" fillId="18" borderId="15" xfId="0" applyFont="1" applyFill="1" applyBorder="1" applyAlignment="1">
      <alignment horizontal="center" vertical="center"/>
    </xf>
    <xf numFmtId="0" fontId="19" fillId="0" borderId="45" xfId="0" applyFont="1" applyBorder="1"/>
    <xf numFmtId="0" fontId="19" fillId="0" borderId="16" xfId="0" applyFont="1" applyBorder="1"/>
    <xf numFmtId="10" fontId="51" fillId="0" borderId="75" xfId="0" applyNumberFormat="1" applyFont="1" applyBorder="1" applyAlignment="1" applyProtection="1">
      <alignment horizontal="center" vertical="center"/>
      <protection locked="0"/>
    </xf>
    <xf numFmtId="0" fontId="41" fillId="0" borderId="76" xfId="0" applyFont="1" applyBorder="1" applyProtection="1">
      <protection locked="0"/>
    </xf>
    <xf numFmtId="0" fontId="41" fillId="0" borderId="77" xfId="0" applyFont="1" applyBorder="1" applyProtection="1">
      <protection locked="0"/>
    </xf>
    <xf numFmtId="0" fontId="41" fillId="0" borderId="64" xfId="0" applyFont="1" applyBorder="1" applyProtection="1">
      <protection locked="0"/>
    </xf>
    <xf numFmtId="0" fontId="52" fillId="0" borderId="67" xfId="0" applyFont="1" applyBorder="1" applyAlignment="1">
      <alignment horizontal="center" vertical="center"/>
    </xf>
    <xf numFmtId="0" fontId="41" fillId="0" borderId="68" xfId="0" applyFont="1" applyBorder="1"/>
    <xf numFmtId="0" fontId="51" fillId="0" borderId="69" xfId="0" applyFont="1" applyBorder="1" applyAlignment="1">
      <alignment horizontal="center" vertical="center" wrapText="1"/>
    </xf>
    <xf numFmtId="0" fontId="41" fillId="0" borderId="70" xfId="0" applyFont="1" applyBorder="1"/>
    <xf numFmtId="0" fontId="41" fillId="0" borderId="71" xfId="0" applyFont="1" applyBorder="1"/>
    <xf numFmtId="0" fontId="41" fillId="0" borderId="72" xfId="0" applyFont="1" applyBorder="1"/>
    <xf numFmtId="0" fontId="51" fillId="18" borderId="73" xfId="0" applyFont="1" applyFill="1" applyBorder="1" applyAlignment="1">
      <alignment horizontal="center" vertical="center"/>
    </xf>
    <xf numFmtId="0" fontId="41" fillId="0" borderId="74" xfId="0" applyFont="1" applyBorder="1"/>
    <xf numFmtId="0" fontId="41" fillId="0" borderId="16" xfId="0" applyFont="1" applyBorder="1"/>
    <xf numFmtId="0" fontId="58" fillId="0" borderId="13" xfId="0" applyFont="1" applyBorder="1" applyAlignment="1">
      <alignment horizontal="left" vertical="center"/>
    </xf>
    <xf numFmtId="0" fontId="35" fillId="0" borderId="13" xfId="0" applyFont="1" applyFill="1" applyBorder="1" applyAlignment="1">
      <alignment horizontal="center" vertical="center" wrapText="1"/>
    </xf>
    <xf numFmtId="0" fontId="35" fillId="0" borderId="36" xfId="0" applyFont="1" applyFill="1" applyBorder="1" applyAlignment="1">
      <alignment horizontal="center" vertical="center" wrapText="1"/>
    </xf>
    <xf numFmtId="0" fontId="35" fillId="0" borderId="14" xfId="0" applyFont="1" applyFill="1" applyBorder="1" applyAlignment="1">
      <alignment horizontal="center" vertical="center" wrapText="1"/>
    </xf>
    <xf numFmtId="10" fontId="51" fillId="0" borderId="65" xfId="0" applyNumberFormat="1" applyFont="1" applyBorder="1" applyAlignment="1">
      <alignment horizontal="center" vertical="center"/>
    </xf>
    <xf numFmtId="0" fontId="41" fillId="0" borderId="64" xfId="0" applyFont="1" applyBorder="1"/>
    <xf numFmtId="10" fontId="51" fillId="0" borderId="78" xfId="0" applyNumberFormat="1" applyFont="1" applyBorder="1" applyAlignment="1">
      <alignment horizontal="center" vertical="center"/>
    </xf>
    <xf numFmtId="0" fontId="41" fillId="0" borderId="79" xfId="0" applyFont="1" applyBorder="1"/>
    <xf numFmtId="0" fontId="41" fillId="0" borderId="80" xfId="0" applyFont="1" applyBorder="1"/>
    <xf numFmtId="10" fontId="53" fillId="14" borderId="73" xfId="0" applyNumberFormat="1" applyFont="1" applyFill="1" applyBorder="1" applyAlignment="1">
      <alignment horizontal="center" vertical="center"/>
    </xf>
    <xf numFmtId="0" fontId="19" fillId="14" borderId="74" xfId="0" applyFont="1" applyFill="1" applyBorder="1"/>
    <xf numFmtId="0" fontId="19" fillId="14" borderId="16" xfId="0" applyFont="1" applyFill="1" applyBorder="1"/>
    <xf numFmtId="0" fontId="52" fillId="18" borderId="89" xfId="0" applyFont="1" applyFill="1" applyBorder="1" applyAlignment="1">
      <alignment horizontal="center" vertical="center"/>
    </xf>
    <xf numFmtId="0" fontId="41" fillId="0" borderId="90" xfId="0" applyFont="1" applyBorder="1" applyAlignment="1">
      <alignment vertical="center"/>
    </xf>
    <xf numFmtId="0" fontId="41" fillId="0" borderId="88" xfId="0" applyFont="1" applyBorder="1" applyAlignment="1">
      <alignment vertical="center"/>
    </xf>
    <xf numFmtId="0" fontId="53" fillId="18" borderId="91" xfId="0" applyFont="1" applyFill="1" applyBorder="1" applyAlignment="1">
      <alignment horizontal="center" vertical="center"/>
    </xf>
    <xf numFmtId="0" fontId="19" fillId="0" borderId="92" xfId="0" applyFont="1" applyBorder="1" applyAlignment="1">
      <alignment vertical="center"/>
    </xf>
    <xf numFmtId="0" fontId="58" fillId="0" borderId="81" xfId="0" applyFont="1" applyBorder="1" applyAlignment="1">
      <alignment horizontal="left" vertical="center"/>
    </xf>
    <xf numFmtId="0" fontId="41" fillId="0" borderId="82" xfId="0" applyFont="1" applyBorder="1" applyAlignment="1">
      <alignment vertical="center"/>
    </xf>
    <xf numFmtId="0" fontId="41" fillId="0" borderId="83" xfId="0" applyFont="1" applyBorder="1" applyAlignment="1">
      <alignment vertical="center"/>
    </xf>
    <xf numFmtId="0" fontId="19" fillId="0" borderId="45" xfId="0" applyFont="1" applyBorder="1" applyAlignment="1">
      <alignment vertical="center"/>
    </xf>
    <xf numFmtId="0" fontId="19" fillId="0" borderId="16" xfId="0" applyFont="1" applyBorder="1" applyAlignment="1">
      <alignment vertical="center"/>
    </xf>
    <xf numFmtId="0" fontId="41" fillId="0" borderId="68" xfId="0" applyFont="1" applyBorder="1" applyAlignment="1">
      <alignment vertical="center"/>
    </xf>
    <xf numFmtId="0" fontId="52" fillId="0" borderId="84" xfId="0" applyFont="1" applyBorder="1" applyAlignment="1">
      <alignment horizontal="center" vertical="center"/>
    </xf>
    <xf numFmtId="0" fontId="41" fillId="0" borderId="85" xfId="0" applyFont="1" applyBorder="1" applyAlignment="1">
      <alignment vertical="center"/>
    </xf>
    <xf numFmtId="0" fontId="59" fillId="21" borderId="86" xfId="0" applyFont="1" applyFill="1" applyBorder="1" applyAlignment="1">
      <alignment horizontal="center" vertical="center"/>
    </xf>
    <xf numFmtId="0" fontId="41" fillId="0" borderId="87" xfId="0" applyFont="1" applyBorder="1" applyAlignment="1">
      <alignment vertical="center"/>
    </xf>
    <xf numFmtId="0" fontId="59" fillId="22" borderId="86" xfId="0" applyFont="1" applyFill="1" applyBorder="1" applyAlignment="1">
      <alignment horizontal="center" vertical="center" wrapText="1"/>
    </xf>
    <xf numFmtId="0" fontId="44" fillId="11" borderId="33" xfId="11" applyFont="1" applyFill="1" applyBorder="1" applyAlignment="1" applyProtection="1">
      <alignment horizontal="center" vertical="center"/>
    </xf>
    <xf numFmtId="0" fontId="44" fillId="11" borderId="13" xfId="11" applyFont="1" applyFill="1" applyBorder="1" applyAlignment="1" applyProtection="1">
      <alignment horizontal="center" vertical="center"/>
    </xf>
    <xf numFmtId="0" fontId="44" fillId="11" borderId="34" xfId="11" applyFont="1" applyFill="1" applyBorder="1" applyAlignment="1" applyProtection="1">
      <alignment horizontal="center" vertical="center"/>
    </xf>
    <xf numFmtId="0" fontId="44" fillId="11" borderId="36" xfId="11" applyFont="1" applyFill="1" applyBorder="1" applyAlignment="1" applyProtection="1">
      <alignment horizontal="center" vertical="center"/>
    </xf>
    <xf numFmtId="0" fontId="44" fillId="11" borderId="35" xfId="11" applyFont="1" applyFill="1" applyBorder="1" applyAlignment="1" applyProtection="1">
      <alignment horizontal="center" vertical="center"/>
    </xf>
    <xf numFmtId="0" fontId="57" fillId="0" borderId="0" xfId="0" applyFont="1" applyBorder="1" applyAlignment="1">
      <alignment horizontal="center" vertical="center" wrapText="1"/>
    </xf>
    <xf numFmtId="44" fontId="48" fillId="11" borderId="36" xfId="9" applyFont="1" applyFill="1" applyBorder="1" applyAlignment="1" applyProtection="1">
      <alignment vertical="center"/>
    </xf>
    <xf numFmtId="44" fontId="48" fillId="11" borderId="34" xfId="9" applyFont="1" applyFill="1" applyBorder="1" applyAlignment="1" applyProtection="1">
      <alignment vertical="center"/>
    </xf>
    <xf numFmtId="0" fontId="19" fillId="0" borderId="34" xfId="0" applyFont="1" applyFill="1" applyBorder="1" applyAlignment="1">
      <alignment horizontal="center" vertical="center"/>
    </xf>
  </cellXfs>
  <cellStyles count="23">
    <cellStyle name="Acento 1" xfId="1" xr:uid="{00000000-0005-0000-0000-000000000000}"/>
    <cellStyle name="Atenção 1" xfId="2" xr:uid="{00000000-0005-0000-0000-000001000000}"/>
    <cellStyle name="Bom 1" xfId="3" xr:uid="{00000000-0005-0000-0000-000002000000}"/>
    <cellStyle name="Destaque 1 1" xfId="4" xr:uid="{00000000-0005-0000-0000-000003000000}"/>
    <cellStyle name="Destaque 2 1" xfId="5" xr:uid="{00000000-0005-0000-0000-000004000000}"/>
    <cellStyle name="Destaque 3 1" xfId="6" xr:uid="{00000000-0005-0000-0000-000005000000}"/>
    <cellStyle name="Ênfase6 9" xfId="7" xr:uid="{00000000-0005-0000-0000-000006000000}"/>
    <cellStyle name="Erro 1" xfId="8" xr:uid="{00000000-0005-0000-0000-000007000000}"/>
    <cellStyle name="Moeda" xfId="9" builtinId="4"/>
    <cellStyle name="Neutro 1" xfId="10" xr:uid="{00000000-0005-0000-0000-000009000000}"/>
    <cellStyle name="Normal" xfId="0" builtinId="0"/>
    <cellStyle name="Normal 2" xfId="11" xr:uid="{00000000-0005-0000-0000-00000B000000}"/>
    <cellStyle name="Nota 1" xfId="12" xr:uid="{00000000-0005-0000-0000-00000C000000}"/>
    <cellStyle name="Nota de rodapé 1" xfId="13" xr:uid="{00000000-0005-0000-0000-00000D000000}"/>
    <cellStyle name="Porcentagem" xfId="14" builtinId="5"/>
    <cellStyle name="Ruim 1" xfId="15" xr:uid="{00000000-0005-0000-0000-00000F000000}"/>
    <cellStyle name="Separador de milhares 2" xfId="16" xr:uid="{00000000-0005-0000-0000-000010000000}"/>
    <cellStyle name="Status 1" xfId="17" xr:uid="{00000000-0005-0000-0000-000011000000}"/>
    <cellStyle name="Texto 1" xfId="18" xr:uid="{00000000-0005-0000-0000-000012000000}"/>
    <cellStyle name="Título 1 1" xfId="19" xr:uid="{00000000-0005-0000-0000-000013000000}"/>
    <cellStyle name="Título 2 1" xfId="20" xr:uid="{00000000-0005-0000-0000-000014000000}"/>
    <cellStyle name="Título 3" xfId="21" builtinId="18" customBuiltin="1"/>
    <cellStyle name="Vírgula" xfId="22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6600"/>
      <rgbColor rgb="00000080"/>
      <rgbColor rgb="00996600"/>
      <rgbColor rgb="00800080"/>
      <rgbColor rgb="00008080"/>
      <rgbColor rgb="00B2B2B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C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236220</xdr:colOff>
      <xdr:row>0</xdr:row>
      <xdr:rowOff>121920</xdr:rowOff>
    </xdr:from>
    <xdr:to>
      <xdr:col>2</xdr:col>
      <xdr:colOff>739140</xdr:colOff>
      <xdr:row>3</xdr:row>
      <xdr:rowOff>53340</xdr:rowOff>
    </xdr:to>
    <xdr:pic>
      <xdr:nvPicPr>
        <xdr:cNvPr id="1065" name="image2.gif">
          <a:extLst>
            <a:ext uri="{FF2B5EF4-FFF2-40B4-BE49-F238E27FC236}">
              <a16:creationId xmlns:a16="http://schemas.microsoft.com/office/drawing/2014/main" id="{BBD7812D-8B60-416E-B78F-418119F5A1CF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" y="121920"/>
          <a:ext cx="96012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175260</xdr:colOff>
      <xdr:row>1</xdr:row>
      <xdr:rowOff>167640</xdr:rowOff>
    </xdr:from>
    <xdr:to>
      <xdr:col>2</xdr:col>
      <xdr:colOff>678180</xdr:colOff>
      <xdr:row>4</xdr:row>
      <xdr:rowOff>83820</xdr:rowOff>
    </xdr:to>
    <xdr:pic>
      <xdr:nvPicPr>
        <xdr:cNvPr id="4123" name="image2.gif">
          <a:extLst>
            <a:ext uri="{FF2B5EF4-FFF2-40B4-BE49-F238E27FC236}">
              <a16:creationId xmlns:a16="http://schemas.microsoft.com/office/drawing/2014/main" id="{0E18C49F-5663-4BA5-9A7C-B110C4A12A88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243840"/>
          <a:ext cx="815340" cy="739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175260</xdr:colOff>
      <xdr:row>1</xdr:row>
      <xdr:rowOff>167640</xdr:rowOff>
    </xdr:from>
    <xdr:to>
      <xdr:col>2</xdr:col>
      <xdr:colOff>678180</xdr:colOff>
      <xdr:row>4</xdr:row>
      <xdr:rowOff>83820</xdr:rowOff>
    </xdr:to>
    <xdr:pic>
      <xdr:nvPicPr>
        <xdr:cNvPr id="2083" name="image2.gif">
          <a:extLst>
            <a:ext uri="{FF2B5EF4-FFF2-40B4-BE49-F238E27FC236}">
              <a16:creationId xmlns:a16="http://schemas.microsoft.com/office/drawing/2014/main" id="{2485ED66-549E-4770-808A-E890608A52A6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243840"/>
          <a:ext cx="97536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175260</xdr:colOff>
      <xdr:row>1</xdr:row>
      <xdr:rowOff>167640</xdr:rowOff>
    </xdr:from>
    <xdr:to>
      <xdr:col>2</xdr:col>
      <xdr:colOff>678180</xdr:colOff>
      <xdr:row>4</xdr:row>
      <xdr:rowOff>83820</xdr:rowOff>
    </xdr:to>
    <xdr:pic>
      <xdr:nvPicPr>
        <xdr:cNvPr id="5144" name="image2.gif">
          <a:extLst>
            <a:ext uri="{FF2B5EF4-FFF2-40B4-BE49-F238E27FC236}">
              <a16:creationId xmlns:a16="http://schemas.microsoft.com/office/drawing/2014/main" id="{AE520DFF-1AF8-4C81-985B-94EB089C255C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243840"/>
          <a:ext cx="108966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175260</xdr:colOff>
      <xdr:row>1</xdr:row>
      <xdr:rowOff>167640</xdr:rowOff>
    </xdr:from>
    <xdr:to>
      <xdr:col>2</xdr:col>
      <xdr:colOff>678180</xdr:colOff>
      <xdr:row>4</xdr:row>
      <xdr:rowOff>83820</xdr:rowOff>
    </xdr:to>
    <xdr:pic>
      <xdr:nvPicPr>
        <xdr:cNvPr id="7188" name="image2.gif">
          <a:extLst>
            <a:ext uri="{FF2B5EF4-FFF2-40B4-BE49-F238E27FC236}">
              <a16:creationId xmlns:a16="http://schemas.microsoft.com/office/drawing/2014/main" id="{1652F9E8-0A06-4462-B00E-DAA716078D36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243840"/>
          <a:ext cx="97536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175260</xdr:colOff>
      <xdr:row>1</xdr:row>
      <xdr:rowOff>167640</xdr:rowOff>
    </xdr:from>
    <xdr:to>
      <xdr:col>2</xdr:col>
      <xdr:colOff>678180</xdr:colOff>
      <xdr:row>4</xdr:row>
      <xdr:rowOff>83820</xdr:rowOff>
    </xdr:to>
    <xdr:pic>
      <xdr:nvPicPr>
        <xdr:cNvPr id="8209" name="image2.gif">
          <a:extLst>
            <a:ext uri="{FF2B5EF4-FFF2-40B4-BE49-F238E27FC236}">
              <a16:creationId xmlns:a16="http://schemas.microsoft.com/office/drawing/2014/main" id="{28D8F87A-EEB3-440E-9C63-C56F32E6B266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243840"/>
          <a:ext cx="108966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</xdr:colOff>
      <xdr:row>1</xdr:row>
      <xdr:rowOff>60960</xdr:rowOff>
    </xdr:from>
    <xdr:to>
      <xdr:col>1</xdr:col>
      <xdr:colOff>609600</xdr:colOff>
      <xdr:row>2</xdr:row>
      <xdr:rowOff>190500</xdr:rowOff>
    </xdr:to>
    <xdr:pic>
      <xdr:nvPicPr>
        <xdr:cNvPr id="11265" name="image2.gif">
          <a:extLst>
            <a:ext uri="{FF2B5EF4-FFF2-40B4-BE49-F238E27FC236}">
              <a16:creationId xmlns:a16="http://schemas.microsoft.com/office/drawing/2014/main" id="{1B34216B-F1DD-41C8-973C-F0199425809E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" y="137160"/>
          <a:ext cx="55626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160020</xdr:colOff>
      <xdr:row>1</xdr:row>
      <xdr:rowOff>99060</xdr:rowOff>
    </xdr:from>
    <xdr:to>
      <xdr:col>1</xdr:col>
      <xdr:colOff>1051560</xdr:colOff>
      <xdr:row>3</xdr:row>
      <xdr:rowOff>205740</xdr:rowOff>
    </xdr:to>
    <xdr:pic>
      <xdr:nvPicPr>
        <xdr:cNvPr id="9239" name="image2.gif">
          <a:extLst>
            <a:ext uri="{FF2B5EF4-FFF2-40B4-BE49-F238E27FC236}">
              <a16:creationId xmlns:a16="http://schemas.microsoft.com/office/drawing/2014/main" id="{8FD14D77-CAA3-4C2B-A103-17E8F01F56E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" y="175260"/>
          <a:ext cx="89154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>
    <xdr:from>
      <xdr:col>1</xdr:col>
      <xdr:colOff>251460</xdr:colOff>
      <xdr:row>22</xdr:row>
      <xdr:rowOff>91440</xdr:rowOff>
    </xdr:from>
    <xdr:to>
      <xdr:col>1</xdr:col>
      <xdr:colOff>1005840</xdr:colOff>
      <xdr:row>24</xdr:row>
      <xdr:rowOff>167640</xdr:rowOff>
    </xdr:to>
    <xdr:pic>
      <xdr:nvPicPr>
        <xdr:cNvPr id="9240" name="image2.gif">
          <a:extLst>
            <a:ext uri="{FF2B5EF4-FFF2-40B4-BE49-F238E27FC236}">
              <a16:creationId xmlns:a16="http://schemas.microsoft.com/office/drawing/2014/main" id="{028D2139-2234-4A15-B00C-0CAD5D69F7D9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" y="7101840"/>
          <a:ext cx="75438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2</xdr:row>
      <xdr:rowOff>106680</xdr:rowOff>
    </xdr:from>
    <xdr:to>
      <xdr:col>2</xdr:col>
      <xdr:colOff>327660</xdr:colOff>
      <xdr:row>4</xdr:row>
      <xdr:rowOff>121920</xdr:rowOff>
    </xdr:to>
    <xdr:pic>
      <xdr:nvPicPr>
        <xdr:cNvPr id="10251" name="image2.gif">
          <a:extLst>
            <a:ext uri="{FF2B5EF4-FFF2-40B4-BE49-F238E27FC236}">
              <a16:creationId xmlns:a16="http://schemas.microsoft.com/office/drawing/2014/main" id="{FC7DE5CC-2C90-4BFE-A4F3-EC3544F2DB99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82880"/>
          <a:ext cx="67056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175260</xdr:colOff>
      <xdr:row>1</xdr:row>
      <xdr:rowOff>167640</xdr:rowOff>
    </xdr:from>
    <xdr:to>
      <xdr:col>2</xdr:col>
      <xdr:colOff>678180</xdr:colOff>
      <xdr:row>4</xdr:row>
      <xdr:rowOff>83820</xdr:rowOff>
    </xdr:to>
    <xdr:pic>
      <xdr:nvPicPr>
        <xdr:cNvPr id="3102" name="image2.gif">
          <a:extLst>
            <a:ext uri="{FF2B5EF4-FFF2-40B4-BE49-F238E27FC236}">
              <a16:creationId xmlns:a16="http://schemas.microsoft.com/office/drawing/2014/main" id="{0DA1F4FD-FCC2-46CC-A238-B78A7A7372CC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243840"/>
          <a:ext cx="868680" cy="906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/>
  <dimension ref="B1:D65525"/>
  <sheetViews>
    <sheetView showGridLines="0" zoomScaleNormal="100" workbookViewId="0">
      <selection activeCell="C20" sqref="C20"/>
    </sheetView>
  </sheetViews>
  <sheetFormatPr defaultColWidth="0" defaultRowHeight="15.75" customHeight="1" zeroHeight="1"/>
  <cols>
    <col min="1" max="1" width="1.109375" customWidth="1"/>
    <col min="2" max="2" width="6.6640625" customWidth="1"/>
    <col min="3" max="3" width="102.33203125" bestFit="1" customWidth="1"/>
    <col min="4" max="4" width="1.109375" customWidth="1"/>
  </cols>
  <sheetData>
    <row r="1" spans="2:4" ht="30" customHeight="1">
      <c r="B1" s="325" t="s">
        <v>188</v>
      </c>
      <c r="C1" s="326"/>
      <c r="D1" s="42"/>
    </row>
    <row r="2" spans="2:4" ht="24" customHeight="1">
      <c r="B2" s="327" t="s">
        <v>189</v>
      </c>
      <c r="C2" s="328"/>
      <c r="D2" s="42"/>
    </row>
    <row r="3" spans="2:4" s="42" customFormat="1" ht="18">
      <c r="B3" s="329" t="s">
        <v>62</v>
      </c>
      <c r="C3" s="330"/>
    </row>
    <row r="4" spans="2:4" s="42" customFormat="1" ht="18" customHeight="1" thickBot="1">
      <c r="B4" s="331" t="s">
        <v>0</v>
      </c>
      <c r="C4" s="332"/>
    </row>
    <row r="5" spans="2:4" s="42" customFormat="1" ht="16.2" thickBot="1">
      <c r="B5" s="78" t="s">
        <v>1</v>
      </c>
      <c r="C5" s="79" t="s">
        <v>2</v>
      </c>
    </row>
    <row r="6" spans="2:4" s="42" customFormat="1" ht="15.6">
      <c r="B6" s="80" t="s">
        <v>3</v>
      </c>
      <c r="C6" s="81" t="s">
        <v>4</v>
      </c>
    </row>
    <row r="7" spans="2:4" s="42" customFormat="1" ht="15.6">
      <c r="B7" s="66"/>
      <c r="C7" s="67" t="s">
        <v>74</v>
      </c>
    </row>
    <row r="8" spans="2:4" s="42" customFormat="1" ht="3" customHeight="1">
      <c r="B8" s="66"/>
      <c r="C8" s="67"/>
    </row>
    <row r="9" spans="2:4" s="42" customFormat="1" ht="15.6">
      <c r="B9" s="82" t="s">
        <v>7</v>
      </c>
      <c r="C9" s="83" t="s">
        <v>69</v>
      </c>
    </row>
    <row r="10" spans="2:4" s="42" customFormat="1" ht="15.6">
      <c r="B10" s="68"/>
      <c r="C10" s="69" t="s">
        <v>94</v>
      </c>
    </row>
    <row r="11" spans="2:4" s="42" customFormat="1" ht="15.6">
      <c r="B11" s="68"/>
      <c r="C11" s="69" t="s">
        <v>75</v>
      </c>
    </row>
    <row r="12" spans="2:4" s="42" customFormat="1" ht="15.6">
      <c r="B12" s="68"/>
      <c r="C12" s="69" t="s">
        <v>187</v>
      </c>
    </row>
    <row r="13" spans="2:4" s="42" customFormat="1" ht="15.6">
      <c r="B13" s="68"/>
      <c r="C13" s="69" t="s">
        <v>95</v>
      </c>
    </row>
    <row r="14" spans="2:4" s="42" customFormat="1" ht="15.6">
      <c r="B14" s="68"/>
      <c r="C14" s="69" t="s">
        <v>184</v>
      </c>
    </row>
    <row r="15" spans="2:4" s="42" customFormat="1" ht="15.6">
      <c r="B15" s="68"/>
      <c r="C15" s="70" t="s">
        <v>100</v>
      </c>
    </row>
    <row r="16" spans="2:4" s="42" customFormat="1" ht="3" customHeight="1">
      <c r="B16" s="71"/>
      <c r="C16" s="69"/>
    </row>
    <row r="17" spans="2:3" s="42" customFormat="1" ht="15.6">
      <c r="B17" s="82" t="s">
        <v>8</v>
      </c>
      <c r="C17" s="84" t="s">
        <v>72</v>
      </c>
    </row>
    <row r="18" spans="2:3" s="42" customFormat="1" ht="15.6">
      <c r="B18" s="68"/>
      <c r="C18" s="69" t="s">
        <v>77</v>
      </c>
    </row>
    <row r="19" spans="2:3" s="42" customFormat="1" ht="15.6">
      <c r="B19" s="68"/>
      <c r="C19" s="69" t="s">
        <v>185</v>
      </c>
    </row>
    <row r="20" spans="2:3" s="42" customFormat="1" ht="15.6">
      <c r="B20" s="68"/>
      <c r="C20" s="69" t="s">
        <v>96</v>
      </c>
    </row>
    <row r="21" spans="2:3" s="42" customFormat="1" ht="15.6">
      <c r="B21" s="68"/>
      <c r="C21" s="69" t="s">
        <v>105</v>
      </c>
    </row>
    <row r="22" spans="2:3" s="42" customFormat="1" ht="15.6">
      <c r="B22" s="68"/>
      <c r="C22" s="72" t="s">
        <v>97</v>
      </c>
    </row>
    <row r="23" spans="2:3" s="42" customFormat="1" ht="15.6">
      <c r="B23" s="68"/>
      <c r="C23" s="73" t="s">
        <v>98</v>
      </c>
    </row>
    <row r="24" spans="2:3" s="42" customFormat="1" ht="3" customHeight="1">
      <c r="B24" s="68"/>
      <c r="C24" s="74"/>
    </row>
    <row r="25" spans="2:3" s="42" customFormat="1" ht="15.6">
      <c r="B25" s="82" t="s">
        <v>9</v>
      </c>
      <c r="C25" s="85" t="s">
        <v>148</v>
      </c>
    </row>
    <row r="26" spans="2:3" s="42" customFormat="1" ht="15.6">
      <c r="B26" s="68"/>
      <c r="C26" s="73" t="s">
        <v>78</v>
      </c>
    </row>
    <row r="27" spans="2:3" s="42" customFormat="1" ht="27.6">
      <c r="B27" s="68"/>
      <c r="C27" s="73" t="s">
        <v>79</v>
      </c>
    </row>
    <row r="28" spans="2:3" s="42" customFormat="1" ht="15.6">
      <c r="B28" s="68"/>
      <c r="C28" s="75" t="s">
        <v>99</v>
      </c>
    </row>
    <row r="29" spans="2:3" s="42" customFormat="1" ht="16.2" thickBot="1">
      <c r="B29" s="76"/>
      <c r="C29" s="77" t="s">
        <v>186</v>
      </c>
    </row>
    <row r="30" spans="2:3" s="42" customFormat="1" ht="6" customHeight="1">
      <c r="B30" s="43"/>
      <c r="C30" s="49"/>
    </row>
    <row r="31" spans="2:3" s="42" customFormat="1" ht="15" hidden="1">
      <c r="B31" s="51"/>
      <c r="C31" s="49"/>
    </row>
    <row r="32" spans="2:3" s="42" customFormat="1" ht="15" hidden="1">
      <c r="B32" s="51"/>
      <c r="C32" s="49"/>
    </row>
    <row r="33" spans="2:3" s="42" customFormat="1" ht="15" hidden="1">
      <c r="B33" s="52"/>
      <c r="C33" s="49"/>
    </row>
    <row r="34" spans="2:3" s="44" customFormat="1" ht="15.75" hidden="1" customHeight="1">
      <c r="B34" s="46"/>
      <c r="C34" s="47"/>
    </row>
    <row r="35" spans="2:3" s="44" customFormat="1" ht="15" hidden="1">
      <c r="B35" s="52"/>
      <c r="C35" s="48"/>
    </row>
    <row r="36" spans="2:3" s="44" customFormat="1" ht="15" hidden="1">
      <c r="B36" s="52"/>
      <c r="C36" s="48"/>
    </row>
    <row r="37" spans="2:3" s="44" customFormat="1" ht="15" hidden="1">
      <c r="B37" s="52"/>
      <c r="C37" s="50"/>
    </row>
    <row r="38" spans="2:3" s="44" customFormat="1" ht="15" hidden="1">
      <c r="B38" s="52"/>
      <c r="C38" s="50"/>
    </row>
    <row r="39" spans="2:3" s="44" customFormat="1" ht="15" hidden="1">
      <c r="B39" s="52"/>
      <c r="C39" s="50"/>
    </row>
    <row r="40" spans="2:3" s="44" customFormat="1" ht="15" hidden="1">
      <c r="B40" s="52"/>
      <c r="C40" s="48"/>
    </row>
    <row r="41" spans="2:3" s="44" customFormat="1" ht="15" hidden="1">
      <c r="B41" s="52"/>
      <c r="C41" s="48"/>
    </row>
    <row r="42" spans="2:3" s="44" customFormat="1" ht="15" hidden="1">
      <c r="B42" s="52"/>
      <c r="C42" s="49"/>
    </row>
    <row r="43" spans="2:3" s="44" customFormat="1" ht="15" hidden="1">
      <c r="B43" s="52"/>
      <c r="C43" s="49"/>
    </row>
    <row r="44" spans="2:3" s="44" customFormat="1" ht="15" hidden="1">
      <c r="B44" s="52"/>
      <c r="C44" s="49"/>
    </row>
    <row r="45" spans="2:3" s="44" customFormat="1" ht="15" hidden="1">
      <c r="B45" s="53"/>
      <c r="C45" s="54"/>
    </row>
    <row r="60" ht="31.5" hidden="1" customHeight="1"/>
    <row r="61" ht="31.5" hidden="1" customHeight="1"/>
    <row r="62" ht="19.5" hidden="1" customHeight="1"/>
    <row r="63" ht="30" hidden="1" customHeight="1"/>
    <row r="64" ht="30" hidden="1" customHeight="1"/>
    <row r="65" ht="31.95" hidden="1" customHeight="1"/>
    <row r="66" ht="19.5" hidden="1" customHeight="1"/>
    <row r="67" ht="19.5" hidden="1" customHeight="1"/>
    <row r="68" ht="19.5" hidden="1" customHeight="1"/>
    <row r="69" ht="19.5" hidden="1" customHeight="1"/>
    <row r="70" ht="26.85" hidden="1" customHeight="1"/>
    <row r="71" ht="19.5" hidden="1" customHeight="1"/>
    <row r="72" ht="24" hidden="1" customHeight="1"/>
    <row r="65418" ht="12.75" hidden="1" customHeight="1"/>
    <row r="65419" ht="12.75" hidden="1" customHeight="1"/>
    <row r="65420" ht="12.75" hidden="1" customHeight="1"/>
    <row r="65421" ht="12.75" hidden="1" customHeight="1"/>
    <row r="65422" ht="12.75" hidden="1" customHeight="1"/>
    <row r="65423" ht="12.75" hidden="1" customHeight="1"/>
    <row r="65424" ht="12.75" hidden="1" customHeight="1"/>
    <row r="65425" ht="12.75" hidden="1" customHeight="1"/>
    <row r="65426" ht="12.75" hidden="1" customHeight="1"/>
    <row r="65427" ht="12.75" hidden="1" customHeight="1"/>
    <row r="65428" ht="12.75" hidden="1" customHeight="1"/>
    <row r="65429" ht="12.75" hidden="1" customHeight="1"/>
    <row r="65430" ht="12.75" hidden="1" customHeight="1"/>
    <row r="65431" ht="12.75" hidden="1" customHeight="1"/>
    <row r="65432" ht="12.75" hidden="1" customHeight="1"/>
    <row r="65433" ht="12.75" hidden="1" customHeight="1"/>
    <row r="65434" ht="12.75" hidden="1" customHeight="1"/>
    <row r="65435" ht="12.75" hidden="1" customHeight="1"/>
    <row r="65436" ht="12.75" hidden="1" customHeight="1"/>
    <row r="65437" ht="12.75" hidden="1" customHeight="1"/>
    <row r="65438" ht="12.75" hidden="1" customHeight="1"/>
    <row r="65439" ht="12.75" hidden="1" customHeight="1"/>
    <row r="65440" ht="12.75" hidden="1" customHeight="1"/>
    <row r="65441" ht="12.75" hidden="1" customHeight="1"/>
    <row r="65442" ht="12.75" hidden="1" customHeight="1"/>
    <row r="65443" ht="12.75" hidden="1" customHeight="1"/>
    <row r="65444" ht="12.75" hidden="1" customHeight="1"/>
    <row r="65445" ht="12.75" hidden="1" customHeight="1"/>
    <row r="65446" ht="12.75" hidden="1" customHeight="1"/>
    <row r="65447" ht="12.75" hidden="1" customHeight="1"/>
    <row r="65448" ht="12.75" hidden="1" customHeight="1"/>
    <row r="65449" ht="12.75" hidden="1" customHeight="1"/>
    <row r="65450" ht="12.75" hidden="1" customHeight="1"/>
    <row r="65451" ht="12.75" hidden="1" customHeight="1"/>
    <row r="65452" ht="12.75" hidden="1" customHeight="1"/>
    <row r="65453" ht="12.75" hidden="1" customHeight="1"/>
    <row r="65454" ht="12.75" hidden="1" customHeight="1"/>
    <row r="65455" ht="12.75" hidden="1" customHeight="1"/>
    <row r="65456" ht="12.75" hidden="1" customHeight="1"/>
    <row r="65457" ht="12.75" hidden="1" customHeight="1"/>
    <row r="65458" ht="12.75" hidden="1" customHeight="1"/>
    <row r="65459" ht="12.75" hidden="1" customHeight="1"/>
    <row r="65460" ht="12.75" hidden="1" customHeight="1"/>
    <row r="65461" ht="12.75" hidden="1" customHeight="1"/>
    <row r="65462" ht="12.75" hidden="1" customHeight="1"/>
    <row r="65463" ht="12.75" hidden="1" customHeight="1"/>
    <row r="65464" ht="12.75" hidden="1" customHeight="1"/>
    <row r="65465" ht="12.75" hidden="1" customHeight="1"/>
    <row r="65466" ht="12.75" hidden="1" customHeight="1"/>
    <row r="65467" ht="12.75" hidden="1" customHeight="1"/>
    <row r="65468" ht="12.75" hidden="1" customHeight="1"/>
    <row r="65469" ht="12.75" hidden="1" customHeight="1"/>
    <row r="65470" ht="12.75" hidden="1" customHeight="1"/>
    <row r="65471" ht="12.75" hidden="1" customHeight="1"/>
    <row r="65472" ht="12.75" hidden="1" customHeight="1"/>
    <row r="65473" ht="12.75" hidden="1" customHeight="1"/>
    <row r="65474" ht="12.75" hidden="1" customHeight="1"/>
    <row r="65475" ht="12.75" hidden="1" customHeight="1"/>
    <row r="65476" ht="12.75" hidden="1" customHeight="1"/>
    <row r="65477" ht="12.75" hidden="1" customHeight="1"/>
    <row r="65478" ht="12.75" hidden="1" customHeight="1"/>
    <row r="65479" ht="12.75" hidden="1" customHeight="1"/>
    <row r="65480" ht="12.75" hidden="1" customHeight="1"/>
    <row r="65481" ht="12.75" hidden="1" customHeight="1"/>
    <row r="65482" ht="12.75" hidden="1" customHeight="1"/>
    <row r="65483" ht="12.75" hidden="1" customHeight="1"/>
    <row r="65484" ht="12.75" hidden="1" customHeight="1"/>
    <row r="65485" ht="12.75" hidden="1" customHeight="1"/>
    <row r="65486" ht="12.75" hidden="1" customHeight="1"/>
    <row r="65487" ht="12.75" hidden="1" customHeight="1"/>
    <row r="65488" ht="12.75" hidden="1" customHeight="1"/>
    <row r="65489" ht="12.75" hidden="1" customHeight="1"/>
    <row r="65490" ht="12.75" hidden="1" customHeight="1"/>
    <row r="65491" ht="12.75" hidden="1" customHeight="1"/>
    <row r="65492" ht="12.75" hidden="1" customHeight="1"/>
    <row r="65493" ht="12.75" hidden="1" customHeight="1"/>
    <row r="65494" ht="12.75" hidden="1" customHeight="1"/>
    <row r="65495" ht="12.75" hidden="1" customHeight="1"/>
    <row r="65496" ht="12.75" hidden="1" customHeight="1"/>
    <row r="65497" ht="12.75" hidden="1" customHeight="1"/>
    <row r="65498" ht="12.75" hidden="1" customHeight="1"/>
    <row r="65499" ht="12.75" hidden="1" customHeight="1"/>
    <row r="65500" ht="12.75" hidden="1" customHeight="1"/>
    <row r="65501" ht="12.75" hidden="1" customHeight="1"/>
    <row r="65502" ht="12.75" hidden="1" customHeight="1"/>
    <row r="65503" ht="12.75" hidden="1" customHeight="1"/>
    <row r="65504" ht="12.75" hidden="1" customHeight="1"/>
    <row r="65505" ht="12.75" hidden="1" customHeight="1"/>
    <row r="65506" ht="12.75" hidden="1" customHeight="1"/>
    <row r="65507" ht="12.75" hidden="1" customHeight="1"/>
    <row r="65508" ht="12.75" hidden="1" customHeight="1"/>
    <row r="65509" ht="12.75" hidden="1" customHeight="1"/>
    <row r="65510" ht="12.75" hidden="1" customHeight="1"/>
    <row r="65511" ht="12.75" hidden="1" customHeight="1"/>
    <row r="65512" ht="12.75" hidden="1" customHeight="1"/>
    <row r="65513" ht="12.75" hidden="1" customHeight="1"/>
    <row r="65514" ht="12.75" hidden="1" customHeight="1"/>
    <row r="65515" ht="12.75" hidden="1" customHeight="1"/>
    <row r="65516" ht="12.75" hidden="1" customHeight="1"/>
    <row r="65517" ht="12.75" hidden="1" customHeight="1"/>
    <row r="65518" ht="12.75" hidden="1" customHeight="1"/>
    <row r="65519" ht="12.75" hidden="1" customHeight="1"/>
    <row r="65520" ht="12.75" hidden="1" customHeight="1"/>
    <row r="65521" ht="12.75" hidden="1" customHeight="1"/>
    <row r="65522" ht="12.75" hidden="1" customHeight="1"/>
    <row r="65523" ht="12.75" hidden="1" customHeight="1"/>
    <row r="65524" ht="12.75" hidden="1" customHeight="1"/>
    <row r="65525" ht="12.75" hidden="1" customHeight="1"/>
  </sheetData>
  <sheetProtection selectLockedCells="1" selectUnlockedCells="1"/>
  <mergeCells count="4">
    <mergeCell ref="B1:C1"/>
    <mergeCell ref="B2:C2"/>
    <mergeCell ref="B3:C3"/>
    <mergeCell ref="B4:C4"/>
  </mergeCells>
  <pageMargins left="0.88263888888888886" right="0.46180555555555558" top="0.42222222222222222" bottom="0.52013888888888893" header="0.51180555555555551" footer="0.51180555555555551"/>
  <pageSetup paperSize="9" scale="70" firstPageNumber="0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4"/>
  <dimension ref="B1:H38"/>
  <sheetViews>
    <sheetView showGridLines="0" workbookViewId="0">
      <selection activeCell="B3" sqref="B3:H3"/>
    </sheetView>
  </sheetViews>
  <sheetFormatPr defaultColWidth="0" defaultRowHeight="13.2" zeroHeight="1"/>
  <cols>
    <col min="1" max="1" width="1.109375" style="32" customWidth="1"/>
    <col min="2" max="2" width="4.5546875" style="29" bestFit="1" customWidth="1"/>
    <col min="3" max="3" width="85.33203125" style="30" bestFit="1" customWidth="1"/>
    <col min="4" max="4" width="29.6640625" style="30" bestFit="1" customWidth="1"/>
    <col min="5" max="5" width="8.88671875" style="30" bestFit="1" customWidth="1"/>
    <col min="6" max="6" width="25.88671875" style="29" bestFit="1" customWidth="1"/>
    <col min="7" max="7" width="9.44140625" style="29" bestFit="1" customWidth="1"/>
    <col min="8" max="8" width="9.77734375" style="31" bestFit="1" customWidth="1"/>
    <col min="9" max="9" width="1.109375" style="32" customWidth="1"/>
    <col min="10" max="16384" width="0" style="32" hidden="1"/>
  </cols>
  <sheetData>
    <row r="1" spans="2:8" ht="6" customHeight="1" thickBot="1">
      <c r="H1" s="29"/>
    </row>
    <row r="2" spans="2:8" ht="25.8">
      <c r="B2" s="325" t="s">
        <v>188</v>
      </c>
      <c r="C2" s="354"/>
      <c r="D2" s="354"/>
      <c r="E2" s="354"/>
      <c r="F2" s="354"/>
      <c r="G2" s="354"/>
      <c r="H2" s="326"/>
    </row>
    <row r="3" spans="2:8" ht="21">
      <c r="B3" s="351" t="s">
        <v>189</v>
      </c>
      <c r="C3" s="352"/>
      <c r="D3" s="352"/>
      <c r="E3" s="352"/>
      <c r="F3" s="352"/>
      <c r="G3" s="352"/>
      <c r="H3" s="353"/>
    </row>
    <row r="4" spans="2:8" ht="18" customHeight="1">
      <c r="B4" s="348" t="s">
        <v>62</v>
      </c>
      <c r="C4" s="349"/>
      <c r="D4" s="349"/>
      <c r="E4" s="349"/>
      <c r="F4" s="349"/>
      <c r="G4" s="349"/>
      <c r="H4" s="350"/>
    </row>
    <row r="5" spans="2:8" ht="18.600000000000001" customHeight="1" thickBot="1">
      <c r="B5" s="345" t="s">
        <v>52</v>
      </c>
      <c r="C5" s="346"/>
      <c r="D5" s="346"/>
      <c r="E5" s="346"/>
      <c r="F5" s="346"/>
      <c r="G5" s="346"/>
      <c r="H5" s="347"/>
    </row>
    <row r="6" spans="2:8" s="34" customFormat="1" ht="16.2" customHeight="1" thickBot="1">
      <c r="B6" s="355" t="s">
        <v>106</v>
      </c>
      <c r="C6" s="356"/>
      <c r="D6" s="356" t="s">
        <v>107</v>
      </c>
      <c r="E6" s="356"/>
      <c r="F6" s="356"/>
      <c r="G6" s="356"/>
      <c r="H6" s="185" t="s">
        <v>55</v>
      </c>
    </row>
    <row r="7" spans="2:8" s="17" customFormat="1" ht="15.6">
      <c r="B7" s="179">
        <v>1</v>
      </c>
      <c r="C7" s="180" t="s">
        <v>4</v>
      </c>
      <c r="D7" s="181" t="s">
        <v>111</v>
      </c>
      <c r="E7" s="182" t="s">
        <v>108</v>
      </c>
      <c r="F7" s="183" t="s">
        <v>109</v>
      </c>
      <c r="G7" s="183" t="s">
        <v>110</v>
      </c>
      <c r="H7" s="184"/>
    </row>
    <row r="8" spans="2:8" s="17" customFormat="1" ht="28.8">
      <c r="B8" s="167" t="s">
        <v>5</v>
      </c>
      <c r="C8" s="158" t="s">
        <v>20</v>
      </c>
      <c r="D8" s="333" t="s">
        <v>112</v>
      </c>
      <c r="E8" s="334"/>
      <c r="F8" s="335"/>
      <c r="G8" s="159">
        <v>1</v>
      </c>
      <c r="H8" s="168" t="s">
        <v>19</v>
      </c>
    </row>
    <row r="9" spans="2:8" s="17" customFormat="1" ht="14.4">
      <c r="B9" s="167" t="s">
        <v>6</v>
      </c>
      <c r="C9" s="169" t="s">
        <v>64</v>
      </c>
      <c r="D9" s="333" t="s">
        <v>114</v>
      </c>
      <c r="E9" s="334"/>
      <c r="F9" s="335"/>
      <c r="G9" s="159">
        <v>60</v>
      </c>
      <c r="H9" s="168" t="s">
        <v>59</v>
      </c>
    </row>
    <row r="10" spans="2:8" s="17" customFormat="1" ht="14.4">
      <c r="B10" s="167" t="s">
        <v>18</v>
      </c>
      <c r="C10" s="158" t="s">
        <v>65</v>
      </c>
      <c r="D10" s="333" t="s">
        <v>113</v>
      </c>
      <c r="E10" s="334"/>
      <c r="F10" s="335"/>
      <c r="G10" s="159">
        <v>1</v>
      </c>
      <c r="H10" s="170" t="s">
        <v>19</v>
      </c>
    </row>
    <row r="11" spans="2:8" s="17" customFormat="1" ht="15.6">
      <c r="B11" s="166">
        <v>2</v>
      </c>
      <c r="C11" s="149" t="s">
        <v>69</v>
      </c>
      <c r="D11" s="150" t="s">
        <v>115</v>
      </c>
      <c r="E11" s="151" t="s">
        <v>116</v>
      </c>
      <c r="F11" s="152" t="s">
        <v>117</v>
      </c>
      <c r="G11" s="152" t="s">
        <v>110</v>
      </c>
      <c r="H11" s="171"/>
    </row>
    <row r="12" spans="2:8" s="17" customFormat="1" ht="28.8">
      <c r="B12" s="167" t="s">
        <v>23</v>
      </c>
      <c r="C12" s="158" t="s">
        <v>89</v>
      </c>
      <c r="D12" s="160">
        <v>0.4</v>
      </c>
      <c r="E12" s="160">
        <v>0.5</v>
      </c>
      <c r="F12" s="159">
        <v>90</v>
      </c>
      <c r="G12" s="159">
        <f>D12*E12*F12</f>
        <v>18</v>
      </c>
      <c r="H12" s="168" t="s">
        <v>24</v>
      </c>
    </row>
    <row r="13" spans="2:8" s="17" customFormat="1" ht="28.8">
      <c r="B13" s="167" t="s">
        <v>25</v>
      </c>
      <c r="C13" s="158" t="s">
        <v>90</v>
      </c>
      <c r="D13" s="160">
        <v>0.4</v>
      </c>
      <c r="E13" s="160">
        <v>0.1</v>
      </c>
      <c r="F13" s="159">
        <v>90</v>
      </c>
      <c r="G13" s="159">
        <f>D13*E13*F13</f>
        <v>3.6000000000000005</v>
      </c>
      <c r="H13" s="168" t="s">
        <v>24</v>
      </c>
    </row>
    <row r="14" spans="2:8" s="17" customFormat="1" ht="43.2">
      <c r="B14" s="167" t="s">
        <v>26</v>
      </c>
      <c r="C14" s="158" t="s">
        <v>91</v>
      </c>
      <c r="D14" s="160">
        <v>3</v>
      </c>
      <c r="E14" s="160">
        <v>3</v>
      </c>
      <c r="F14" s="159">
        <v>3</v>
      </c>
      <c r="G14" s="159">
        <f>D14*E14*F14*1.3</f>
        <v>35.1</v>
      </c>
      <c r="H14" s="168" t="s">
        <v>24</v>
      </c>
    </row>
    <row r="15" spans="2:8" s="17" customFormat="1" ht="28.8">
      <c r="B15" s="167" t="s">
        <v>28</v>
      </c>
      <c r="C15" s="158" t="s">
        <v>88</v>
      </c>
      <c r="D15" s="160">
        <v>3</v>
      </c>
      <c r="E15" s="160">
        <v>3</v>
      </c>
      <c r="F15" s="159" t="s">
        <v>119</v>
      </c>
      <c r="G15" s="159">
        <f>D15*E15*4</f>
        <v>36</v>
      </c>
      <c r="H15" s="168" t="s">
        <v>21</v>
      </c>
    </row>
    <row r="16" spans="2:8" s="17" customFormat="1" ht="14.4">
      <c r="B16" s="167" t="s">
        <v>29</v>
      </c>
      <c r="C16" s="158" t="s">
        <v>151</v>
      </c>
      <c r="D16" s="336" t="s">
        <v>178</v>
      </c>
      <c r="E16" s="337"/>
      <c r="F16" s="338"/>
      <c r="G16" s="159">
        <v>1</v>
      </c>
      <c r="H16" s="168" t="s">
        <v>16</v>
      </c>
    </row>
    <row r="17" spans="2:8" s="17" customFormat="1" ht="28.8">
      <c r="B17" s="167" t="s">
        <v>30</v>
      </c>
      <c r="C17" s="158" t="s">
        <v>81</v>
      </c>
      <c r="D17" s="160">
        <v>3</v>
      </c>
      <c r="E17" s="160">
        <v>0.1</v>
      </c>
      <c r="F17" s="159">
        <v>3</v>
      </c>
      <c r="G17" s="159">
        <f>D17*E17*F17</f>
        <v>0.90000000000000013</v>
      </c>
      <c r="H17" s="168" t="s">
        <v>24</v>
      </c>
    </row>
    <row r="18" spans="2:8" s="17" customFormat="1" ht="28.8">
      <c r="B18" s="167" t="s">
        <v>31</v>
      </c>
      <c r="C18" s="158" t="s">
        <v>83</v>
      </c>
      <c r="D18" s="160">
        <v>2</v>
      </c>
      <c r="E18" s="160">
        <v>0.1</v>
      </c>
      <c r="F18" s="159">
        <v>0.4</v>
      </c>
      <c r="G18" s="159">
        <f>D18*E18*F18*6</f>
        <v>0.48000000000000009</v>
      </c>
      <c r="H18" s="168" t="s">
        <v>24</v>
      </c>
    </row>
    <row r="19" spans="2:8" s="17" customFormat="1" ht="28.8">
      <c r="B19" s="167" t="s">
        <v>32</v>
      </c>
      <c r="C19" s="158" t="s">
        <v>126</v>
      </c>
      <c r="D19" s="336" t="s">
        <v>128</v>
      </c>
      <c r="E19" s="337"/>
      <c r="F19" s="338"/>
      <c r="G19" s="159">
        <v>10</v>
      </c>
      <c r="H19" s="168" t="s">
        <v>27</v>
      </c>
    </row>
    <row r="20" spans="2:8" s="17" customFormat="1" ht="28.8">
      <c r="B20" s="167" t="s">
        <v>127</v>
      </c>
      <c r="C20" s="158" t="s">
        <v>87</v>
      </c>
      <c r="D20" s="160">
        <v>0.5</v>
      </c>
      <c r="E20" s="160" t="s">
        <v>119</v>
      </c>
      <c r="F20" s="159">
        <v>6</v>
      </c>
      <c r="G20" s="159">
        <f>D20*F20</f>
        <v>3</v>
      </c>
      <c r="H20" s="168" t="s">
        <v>21</v>
      </c>
    </row>
    <row r="21" spans="2:8" s="17" customFormat="1" ht="15.6">
      <c r="B21" s="166">
        <v>3</v>
      </c>
      <c r="C21" s="149" t="s">
        <v>72</v>
      </c>
      <c r="D21" s="150" t="s">
        <v>176</v>
      </c>
      <c r="E21" s="151" t="s">
        <v>116</v>
      </c>
      <c r="F21" s="152" t="s">
        <v>177</v>
      </c>
      <c r="G21" s="152" t="s">
        <v>110</v>
      </c>
      <c r="H21" s="171"/>
    </row>
    <row r="22" spans="2:8" s="17" customFormat="1" ht="14.4">
      <c r="B22" s="167" t="s">
        <v>33</v>
      </c>
      <c r="C22" s="158" t="s">
        <v>175</v>
      </c>
      <c r="D22" s="161">
        <v>1.9</v>
      </c>
      <c r="E22" s="162">
        <v>0.4</v>
      </c>
      <c r="F22" s="163">
        <v>1.9</v>
      </c>
      <c r="G22" s="159">
        <f>(D22*F22-PI()*0.625^2)*E22</f>
        <v>0.95312614787659489</v>
      </c>
      <c r="H22" s="168" t="s">
        <v>24</v>
      </c>
    </row>
    <row r="23" spans="2:8" s="17" customFormat="1" ht="28.8">
      <c r="B23" s="167" t="s">
        <v>34</v>
      </c>
      <c r="C23" s="158" t="s">
        <v>143</v>
      </c>
      <c r="D23" s="333" t="s">
        <v>144</v>
      </c>
      <c r="E23" s="334"/>
      <c r="F23" s="335"/>
      <c r="G23" s="159">
        <v>2</v>
      </c>
      <c r="H23" s="168" t="s">
        <v>16</v>
      </c>
    </row>
    <row r="24" spans="2:8" s="17" customFormat="1" ht="28.8">
      <c r="B24" s="167" t="s">
        <v>35</v>
      </c>
      <c r="C24" s="158" t="s">
        <v>82</v>
      </c>
      <c r="D24" s="333" t="s">
        <v>120</v>
      </c>
      <c r="E24" s="334"/>
      <c r="F24" s="335"/>
      <c r="G24" s="159">
        <v>65</v>
      </c>
      <c r="H24" s="168" t="s">
        <v>27</v>
      </c>
    </row>
    <row r="25" spans="2:8" s="17" customFormat="1" ht="28.8">
      <c r="B25" s="167" t="s">
        <v>36</v>
      </c>
      <c r="C25" s="158" t="s">
        <v>86</v>
      </c>
      <c r="D25" s="333" t="s">
        <v>121</v>
      </c>
      <c r="E25" s="334"/>
      <c r="F25" s="335"/>
      <c r="G25" s="159">
        <v>25</v>
      </c>
      <c r="H25" s="168" t="s">
        <v>27</v>
      </c>
    </row>
    <row r="26" spans="2:8" s="17" customFormat="1" ht="14.4">
      <c r="B26" s="167" t="s">
        <v>122</v>
      </c>
      <c r="C26" s="158" t="s">
        <v>140</v>
      </c>
      <c r="D26" s="339" t="s">
        <v>142</v>
      </c>
      <c r="E26" s="340"/>
      <c r="F26" s="341"/>
      <c r="G26" s="159">
        <v>2</v>
      </c>
      <c r="H26" s="168" t="s">
        <v>16</v>
      </c>
    </row>
    <row r="27" spans="2:8" s="17" customFormat="1" ht="14.4">
      <c r="B27" s="167" t="s">
        <v>70</v>
      </c>
      <c r="C27" s="158" t="s">
        <v>141</v>
      </c>
      <c r="D27" s="342"/>
      <c r="E27" s="343"/>
      <c r="F27" s="344"/>
      <c r="G27" s="159">
        <v>2</v>
      </c>
      <c r="H27" s="168" t="s">
        <v>16</v>
      </c>
    </row>
    <row r="28" spans="2:8" s="17" customFormat="1" ht="28.8">
      <c r="B28" s="167" t="s">
        <v>71</v>
      </c>
      <c r="C28" s="158" t="s">
        <v>145</v>
      </c>
      <c r="D28" s="333" t="s">
        <v>146</v>
      </c>
      <c r="E28" s="334"/>
      <c r="F28" s="335"/>
      <c r="G28" s="159">
        <v>1</v>
      </c>
      <c r="H28" s="168" t="s">
        <v>16</v>
      </c>
    </row>
    <row r="29" spans="2:8" s="17" customFormat="1" ht="43.2">
      <c r="B29" s="167" t="s">
        <v>93</v>
      </c>
      <c r="C29" s="158" t="s">
        <v>68</v>
      </c>
      <c r="D29" s="160">
        <v>0.5</v>
      </c>
      <c r="E29" s="160">
        <v>0.2</v>
      </c>
      <c r="F29" s="159">
        <v>90</v>
      </c>
      <c r="G29" s="159">
        <f>D29*E29*F29</f>
        <v>9</v>
      </c>
      <c r="H29" s="168" t="s">
        <v>24</v>
      </c>
    </row>
    <row r="30" spans="2:8" s="17" customFormat="1" ht="14.4">
      <c r="B30" s="167" t="s">
        <v>123</v>
      </c>
      <c r="C30" s="158" t="s">
        <v>92</v>
      </c>
      <c r="D30" s="333" t="s">
        <v>193</v>
      </c>
      <c r="E30" s="334"/>
      <c r="F30" s="335"/>
      <c r="G30" s="159">
        <f>(3*3-PI()*1^2)*2.5+90*0.2*0.5</f>
        <v>23.646018366025515</v>
      </c>
      <c r="H30" s="168" t="s">
        <v>24</v>
      </c>
    </row>
    <row r="31" spans="2:8" s="17" customFormat="1" ht="43.2">
      <c r="B31" s="167" t="s">
        <v>124</v>
      </c>
      <c r="C31" s="158" t="s">
        <v>67</v>
      </c>
      <c r="D31" s="333" t="s">
        <v>182</v>
      </c>
      <c r="E31" s="334"/>
      <c r="F31" s="335"/>
      <c r="G31" s="159">
        <f>(3*3-PI()*1^2)*0.5</f>
        <v>2.9292036732051034</v>
      </c>
      <c r="H31" s="168" t="s">
        <v>24</v>
      </c>
    </row>
    <row r="32" spans="2:8" s="17" customFormat="1" ht="15.6">
      <c r="B32" s="166">
        <v>4</v>
      </c>
      <c r="C32" s="154" t="s">
        <v>76</v>
      </c>
      <c r="D32" s="155"/>
      <c r="E32" s="156"/>
      <c r="F32" s="153"/>
      <c r="G32" s="153"/>
      <c r="H32" s="171"/>
    </row>
    <row r="33" spans="2:8" s="17" customFormat="1" ht="28.8">
      <c r="B33" s="167" t="s">
        <v>37</v>
      </c>
      <c r="C33" s="158" t="s">
        <v>180</v>
      </c>
      <c r="D33" s="157">
        <v>2.5</v>
      </c>
      <c r="E33" s="164"/>
      <c r="F33" s="165">
        <v>2.5</v>
      </c>
      <c r="G33" s="159">
        <f>D33*F33</f>
        <v>6.25</v>
      </c>
      <c r="H33" s="168" t="s">
        <v>21</v>
      </c>
    </row>
    <row r="34" spans="2:8" s="17" customFormat="1" ht="14.4">
      <c r="B34" s="167" t="s">
        <v>38</v>
      </c>
      <c r="C34" s="158" t="s">
        <v>134</v>
      </c>
      <c r="D34" s="333" t="s">
        <v>138</v>
      </c>
      <c r="E34" s="334"/>
      <c r="F34" s="335"/>
      <c r="G34" s="159">
        <v>10</v>
      </c>
      <c r="H34" s="172" t="s">
        <v>27</v>
      </c>
    </row>
    <row r="35" spans="2:8" s="17" customFormat="1" ht="28.8">
      <c r="B35" s="167" t="s">
        <v>39</v>
      </c>
      <c r="C35" s="158" t="s">
        <v>84</v>
      </c>
      <c r="D35" s="160">
        <v>2</v>
      </c>
      <c r="E35" s="160" t="s">
        <v>119</v>
      </c>
      <c r="F35" s="159">
        <v>0.4</v>
      </c>
      <c r="G35" s="159">
        <f>D35*F35*5</f>
        <v>4</v>
      </c>
      <c r="H35" s="168" t="s">
        <v>21</v>
      </c>
    </row>
    <row r="36" spans="2:8" s="17" customFormat="1" ht="14.4">
      <c r="B36" s="167" t="s">
        <v>40</v>
      </c>
      <c r="C36" s="158" t="s">
        <v>85</v>
      </c>
      <c r="D36" s="160">
        <v>2</v>
      </c>
      <c r="E36" s="160" t="s">
        <v>119</v>
      </c>
      <c r="F36" s="159">
        <v>0.4</v>
      </c>
      <c r="G36" s="159">
        <f>D36*F36</f>
        <v>0.8</v>
      </c>
      <c r="H36" s="168" t="s">
        <v>21</v>
      </c>
    </row>
    <row r="37" spans="2:8" s="35" customFormat="1" ht="15.6" thickBot="1">
      <c r="B37" s="173" t="s">
        <v>41</v>
      </c>
      <c r="C37" s="174" t="s">
        <v>179</v>
      </c>
      <c r="D37" s="175">
        <v>0.4</v>
      </c>
      <c r="E37" s="175"/>
      <c r="F37" s="176">
        <v>90</v>
      </c>
      <c r="G37" s="177">
        <f>D37*F37-2*0.4*6-0.5*3</f>
        <v>29.7</v>
      </c>
      <c r="H37" s="178" t="s">
        <v>21</v>
      </c>
    </row>
    <row r="38" spans="2:8" s="35" customFormat="1" ht="6" customHeight="1"/>
  </sheetData>
  <sheetProtection selectLockedCells="1" selectUnlockedCells="1"/>
  <mergeCells count="19">
    <mergeCell ref="D8:F8"/>
    <mergeCell ref="B5:H5"/>
    <mergeCell ref="B4:H4"/>
    <mergeCell ref="B3:H3"/>
    <mergeCell ref="B2:H2"/>
    <mergeCell ref="B6:C6"/>
    <mergeCell ref="D6:G6"/>
    <mergeCell ref="D34:F34"/>
    <mergeCell ref="D9:F9"/>
    <mergeCell ref="D10:F10"/>
    <mergeCell ref="D16:F16"/>
    <mergeCell ref="D26:F27"/>
    <mergeCell ref="D30:F30"/>
    <mergeCell ref="D31:F31"/>
    <mergeCell ref="D28:F28"/>
    <mergeCell ref="D23:F23"/>
    <mergeCell ref="D19:F19"/>
    <mergeCell ref="D24:F24"/>
    <mergeCell ref="D25:F25"/>
  </mergeCells>
  <phoneticPr fontId="30" type="noConversion"/>
  <pageMargins left="0.54861111111111116" right="0.12986111111111112" top="1.0527777777777778" bottom="1.0527777777777778" header="0.78749999999999998" footer="0.78749999999999998"/>
  <pageSetup paperSize="9" scale="68" firstPageNumber="0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2"/>
  <dimension ref="B1:Q65423"/>
  <sheetViews>
    <sheetView showGridLines="0" topLeftCell="A22" workbookViewId="0">
      <selection activeCell="B46" sqref="B46:I46"/>
    </sheetView>
  </sheetViews>
  <sheetFormatPr defaultColWidth="0" defaultRowHeight="15.75" customHeight="1" zeroHeight="1"/>
  <cols>
    <col min="1" max="1" width="1.109375" customWidth="1"/>
    <col min="2" max="2" width="6.88671875" customWidth="1"/>
    <col min="3" max="3" width="87.88671875" customWidth="1"/>
    <col min="4" max="4" width="5.6640625" customWidth="1"/>
    <col min="5" max="5" width="7" style="1" customWidth="1"/>
    <col min="6" max="6" width="9.77734375" style="1" customWidth="1"/>
    <col min="7" max="7" width="13.33203125" style="1" bestFit="1" customWidth="1"/>
    <col min="8" max="8" width="13.109375" style="1" customWidth="1"/>
    <col min="9" max="9" width="10" style="1" customWidth="1"/>
    <col min="10" max="12" width="8" hidden="1" customWidth="1"/>
    <col min="13" max="13" width="1.109375" customWidth="1"/>
    <col min="14" max="14" width="8.88671875" hidden="1" customWidth="1"/>
    <col min="15" max="16" width="11.5546875" hidden="1" customWidth="1"/>
    <col min="17" max="17" width="8.88671875" hidden="1" customWidth="1"/>
  </cols>
  <sheetData>
    <row r="1" spans="2:15" ht="6" customHeight="1" thickBot="1"/>
    <row r="2" spans="2:15" ht="30" customHeight="1">
      <c r="B2" s="325" t="s">
        <v>188</v>
      </c>
      <c r="C2" s="354"/>
      <c r="D2" s="354"/>
      <c r="E2" s="354"/>
      <c r="F2" s="354"/>
      <c r="G2" s="354"/>
      <c r="H2" s="354"/>
      <c r="I2" s="326"/>
    </row>
    <row r="3" spans="2:15" ht="24" customHeight="1">
      <c r="B3" s="351" t="s">
        <v>189</v>
      </c>
      <c r="C3" s="352"/>
      <c r="D3" s="352"/>
      <c r="E3" s="352"/>
      <c r="F3" s="352"/>
      <c r="G3" s="352"/>
      <c r="H3" s="352"/>
      <c r="I3" s="353"/>
    </row>
    <row r="4" spans="2:15" s="2" customFormat="1" ht="19.5" customHeight="1">
      <c r="B4" s="348" t="s">
        <v>62</v>
      </c>
      <c r="C4" s="349"/>
      <c r="D4" s="349"/>
      <c r="E4" s="349"/>
      <c r="F4" s="349"/>
      <c r="G4" s="349"/>
      <c r="H4" s="349"/>
      <c r="I4" s="350"/>
    </row>
    <row r="5" spans="2:15" s="2" customFormat="1" ht="19.5" customHeight="1" thickBot="1">
      <c r="B5" s="345" t="s">
        <v>190</v>
      </c>
      <c r="C5" s="346"/>
      <c r="D5" s="346"/>
      <c r="E5" s="346"/>
      <c r="F5" s="346"/>
      <c r="G5" s="346"/>
      <c r="H5" s="346"/>
      <c r="I5" s="347"/>
    </row>
    <row r="6" spans="2:15" s="2" customFormat="1" ht="28.2" thickBot="1">
      <c r="B6" s="106" t="s">
        <v>1</v>
      </c>
      <c r="C6" s="107" t="s">
        <v>2</v>
      </c>
      <c r="D6" s="108" t="s">
        <v>11</v>
      </c>
      <c r="E6" s="107" t="s">
        <v>12</v>
      </c>
      <c r="F6" s="107" t="s">
        <v>13</v>
      </c>
      <c r="G6" s="107" t="s">
        <v>66</v>
      </c>
      <c r="H6" s="107" t="s">
        <v>14</v>
      </c>
      <c r="I6" s="109" t="s">
        <v>15</v>
      </c>
    </row>
    <row r="7" spans="2:15" s="2" customFormat="1" ht="15.6">
      <c r="B7" s="99">
        <v>1</v>
      </c>
      <c r="C7" s="100" t="s">
        <v>4</v>
      </c>
      <c r="D7" s="101"/>
      <c r="E7" s="102"/>
      <c r="F7" s="103"/>
      <c r="G7" s="103"/>
      <c r="H7" s="104"/>
      <c r="I7" s="105"/>
    </row>
    <row r="8" spans="2:15" s="2" customFormat="1" ht="26.4">
      <c r="B8" s="272" t="s">
        <v>5</v>
      </c>
      <c r="C8" s="273" t="s">
        <v>20</v>
      </c>
      <c r="D8" s="274" t="s">
        <v>19</v>
      </c>
      <c r="E8" s="275">
        <f>'MEMÓRIA CÁLCULO'!G8</f>
        <v>1</v>
      </c>
      <c r="F8" s="275">
        <v>781.25</v>
      </c>
      <c r="G8" s="275">
        <f>ROUND(F8*1.2821,2)</f>
        <v>1001.64</v>
      </c>
      <c r="H8" s="275">
        <f>ROUND(G8*E8,2)</f>
        <v>1001.64</v>
      </c>
      <c r="I8" s="276" t="s">
        <v>63</v>
      </c>
      <c r="N8" s="8"/>
      <c r="O8" s="9"/>
    </row>
    <row r="9" spans="2:15" s="2" customFormat="1" ht="13.2">
      <c r="B9" s="272" t="s">
        <v>6</v>
      </c>
      <c r="C9" s="8" t="s">
        <v>64</v>
      </c>
      <c r="D9" s="274" t="s">
        <v>59</v>
      </c>
      <c r="E9" s="275">
        <f>'MEMÓRIA CÁLCULO'!G9</f>
        <v>60</v>
      </c>
      <c r="F9" s="275">
        <v>109.26</v>
      </c>
      <c r="G9" s="275">
        <f>ROUND(F9*1.2821,2)</f>
        <v>140.08000000000001</v>
      </c>
      <c r="H9" s="275">
        <f>ROUND(G9*E9,2)</f>
        <v>8404.7999999999993</v>
      </c>
      <c r="I9" s="276">
        <v>90778</v>
      </c>
      <c r="N9" s="8"/>
      <c r="O9" s="9"/>
    </row>
    <row r="10" spans="2:15" s="2" customFormat="1" ht="13.2">
      <c r="B10" s="272" t="s">
        <v>18</v>
      </c>
      <c r="C10" s="273" t="s">
        <v>65</v>
      </c>
      <c r="D10" s="277" t="s">
        <v>19</v>
      </c>
      <c r="E10" s="275">
        <f>'MEMÓRIA CÁLCULO'!G10</f>
        <v>1</v>
      </c>
      <c r="F10" s="275">
        <v>9811.2800000000007</v>
      </c>
      <c r="G10" s="275">
        <f>ROUND(F10*1.2821,2)</f>
        <v>12579.04</v>
      </c>
      <c r="H10" s="275">
        <f>ROUND(G10*E10,2)</f>
        <v>12579.04</v>
      </c>
      <c r="I10" s="276">
        <v>93572</v>
      </c>
      <c r="N10" s="8"/>
      <c r="O10" s="9"/>
    </row>
    <row r="11" spans="2:15" s="16" customFormat="1" ht="13.2">
      <c r="B11" s="88"/>
      <c r="C11" s="61" t="s">
        <v>22</v>
      </c>
      <c r="D11" s="62"/>
      <c r="E11" s="63"/>
      <c r="F11" s="64"/>
      <c r="G11" s="64"/>
      <c r="H11" s="65">
        <f>SUM(H8:H10)</f>
        <v>21985.48</v>
      </c>
      <c r="I11" s="89"/>
      <c r="M11" s="17"/>
      <c r="N11" s="9"/>
      <c r="O11" s="9"/>
    </row>
    <row r="12" spans="2:15" s="2" customFormat="1" ht="6" customHeight="1">
      <c r="B12" s="90"/>
      <c r="C12" s="18"/>
      <c r="D12" s="4"/>
      <c r="E12" s="5"/>
      <c r="F12" s="6"/>
      <c r="G12" s="6"/>
      <c r="H12" s="7"/>
      <c r="I12" s="91"/>
      <c r="M12" s="10"/>
      <c r="N12" s="8"/>
      <c r="O12" s="9"/>
    </row>
    <row r="13" spans="2:15" s="2" customFormat="1" ht="15.6">
      <c r="B13" s="86">
        <v>2</v>
      </c>
      <c r="C13" s="56" t="s">
        <v>69</v>
      </c>
      <c r="D13" s="57"/>
      <c r="E13" s="58"/>
      <c r="F13" s="59"/>
      <c r="G13" s="59"/>
      <c r="H13" s="60"/>
      <c r="I13" s="87"/>
      <c r="M13" s="10"/>
      <c r="N13" s="10"/>
      <c r="O13" s="10"/>
    </row>
    <row r="14" spans="2:15" s="2" customFormat="1" ht="26.4">
      <c r="B14" s="272" t="s">
        <v>23</v>
      </c>
      <c r="C14" s="273" t="s">
        <v>89</v>
      </c>
      <c r="D14" s="274" t="s">
        <v>24</v>
      </c>
      <c r="E14" s="275">
        <f>'MEMÓRIA CÁLCULO'!G12</f>
        <v>18</v>
      </c>
      <c r="F14" s="275">
        <v>15.12</v>
      </c>
      <c r="G14" s="275">
        <f t="shared" ref="G14:G22" si="0">ROUND(F14*1.2821,2)</f>
        <v>19.39</v>
      </c>
      <c r="H14" s="275">
        <f t="shared" ref="H14:H22" si="1">ROUND(G14*E14,2)</f>
        <v>349.02</v>
      </c>
      <c r="I14" s="276">
        <v>90099</v>
      </c>
    </row>
    <row r="15" spans="2:15" s="2" customFormat="1" ht="26.4">
      <c r="B15" s="272" t="s">
        <v>25</v>
      </c>
      <c r="C15" s="273" t="s">
        <v>90</v>
      </c>
      <c r="D15" s="274" t="s">
        <v>24</v>
      </c>
      <c r="E15" s="275">
        <f>ROUNDUP('MEMÓRIA CÁLCULO'!G13,0)</f>
        <v>4</v>
      </c>
      <c r="F15" s="275">
        <v>258.44</v>
      </c>
      <c r="G15" s="275">
        <f t="shared" si="0"/>
        <v>331.35</v>
      </c>
      <c r="H15" s="275">
        <f t="shared" si="1"/>
        <v>1325.4</v>
      </c>
      <c r="I15" s="276">
        <v>101619</v>
      </c>
    </row>
    <row r="16" spans="2:15" s="2" customFormat="1" ht="52.8">
      <c r="B16" s="272" t="s">
        <v>26</v>
      </c>
      <c r="C16" s="273" t="s">
        <v>118</v>
      </c>
      <c r="D16" s="274" t="s">
        <v>24</v>
      </c>
      <c r="E16" s="275">
        <f>ROUNDUP('MEMÓRIA CÁLCULO'!G14,0)</f>
        <v>36</v>
      </c>
      <c r="F16" s="275">
        <v>11.8</v>
      </c>
      <c r="G16" s="275">
        <f t="shared" si="0"/>
        <v>15.13</v>
      </c>
      <c r="H16" s="275">
        <f t="shared" si="1"/>
        <v>544.67999999999995</v>
      </c>
      <c r="I16" s="278">
        <v>101266</v>
      </c>
    </row>
    <row r="17" spans="2:15" s="2" customFormat="1" ht="26.4">
      <c r="B17" s="272" t="s">
        <v>28</v>
      </c>
      <c r="C17" s="273" t="s">
        <v>88</v>
      </c>
      <c r="D17" s="274" t="s">
        <v>21</v>
      </c>
      <c r="E17" s="275">
        <f>'MEMÓRIA CÁLCULO'!G15</f>
        <v>36</v>
      </c>
      <c r="F17" s="275">
        <v>57.81</v>
      </c>
      <c r="G17" s="275">
        <f t="shared" si="0"/>
        <v>74.12</v>
      </c>
      <c r="H17" s="275">
        <f t="shared" si="1"/>
        <v>2668.32</v>
      </c>
      <c r="I17" s="276">
        <v>101585</v>
      </c>
    </row>
    <row r="18" spans="2:15" s="2" customFormat="1" ht="13.2">
      <c r="B18" s="272" t="s">
        <v>29</v>
      </c>
      <c r="C18" s="273" t="s">
        <v>151</v>
      </c>
      <c r="D18" s="274" t="s">
        <v>16</v>
      </c>
      <c r="E18" s="275">
        <f>'MEMÓRIA CÁLCULO'!G16</f>
        <v>1</v>
      </c>
      <c r="F18" s="275">
        <f>'COMPOSIÇÕES - DESONERADO'!G18</f>
        <v>10225.61925</v>
      </c>
      <c r="G18" s="275">
        <f t="shared" si="0"/>
        <v>13110.27</v>
      </c>
      <c r="H18" s="275">
        <f t="shared" si="1"/>
        <v>13110.27</v>
      </c>
      <c r="I18" s="276" t="s">
        <v>17</v>
      </c>
    </row>
    <row r="19" spans="2:15" s="2" customFormat="1" ht="26.4">
      <c r="B19" s="272" t="s">
        <v>30</v>
      </c>
      <c r="C19" s="273" t="s">
        <v>81</v>
      </c>
      <c r="D19" s="274" t="s">
        <v>24</v>
      </c>
      <c r="E19" s="275">
        <f>ROUNDUP('MEMÓRIA CÁLCULO'!G17,0)</f>
        <v>1</v>
      </c>
      <c r="F19" s="275">
        <v>185.86</v>
      </c>
      <c r="G19" s="275">
        <f t="shared" si="0"/>
        <v>238.29</v>
      </c>
      <c r="H19" s="275">
        <f t="shared" si="1"/>
        <v>238.29</v>
      </c>
      <c r="I19" s="278">
        <v>101624</v>
      </c>
    </row>
    <row r="20" spans="2:15" s="2" customFormat="1" ht="26.4">
      <c r="B20" s="272" t="s">
        <v>31</v>
      </c>
      <c r="C20" s="273" t="s">
        <v>83</v>
      </c>
      <c r="D20" s="274" t="s">
        <v>24</v>
      </c>
      <c r="E20" s="275">
        <f>ROUNDUP('MEMÓRIA CÁLCULO'!G18,1)</f>
        <v>0.5</v>
      </c>
      <c r="F20" s="275">
        <v>122.09</v>
      </c>
      <c r="G20" s="275">
        <f t="shared" si="0"/>
        <v>156.53</v>
      </c>
      <c r="H20" s="275">
        <f t="shared" si="1"/>
        <v>78.27</v>
      </c>
      <c r="I20" s="276">
        <v>104790</v>
      </c>
    </row>
    <row r="21" spans="2:15" s="2" customFormat="1" ht="26.4">
      <c r="B21" s="272" t="s">
        <v>32</v>
      </c>
      <c r="C21" s="273" t="s">
        <v>132</v>
      </c>
      <c r="D21" s="274" t="s">
        <v>27</v>
      </c>
      <c r="E21" s="275">
        <f>'MEMÓRIA CÁLCULO'!G19</f>
        <v>10</v>
      </c>
      <c r="F21" s="275">
        <v>18.149999999999999</v>
      </c>
      <c r="G21" s="275">
        <f t="shared" si="0"/>
        <v>23.27</v>
      </c>
      <c r="H21" s="275">
        <f t="shared" si="1"/>
        <v>232.7</v>
      </c>
      <c r="I21" s="276">
        <v>104797</v>
      </c>
    </row>
    <row r="22" spans="2:15" s="2" customFormat="1" ht="26.4">
      <c r="B22" s="272" t="s">
        <v>127</v>
      </c>
      <c r="C22" s="273" t="s">
        <v>87</v>
      </c>
      <c r="D22" s="274" t="s">
        <v>21</v>
      </c>
      <c r="E22" s="275">
        <f>'MEMÓRIA CÁLCULO'!G20</f>
        <v>3</v>
      </c>
      <c r="F22" s="275">
        <v>23.08</v>
      </c>
      <c r="G22" s="275">
        <f t="shared" si="0"/>
        <v>29.59</v>
      </c>
      <c r="H22" s="275">
        <f t="shared" si="1"/>
        <v>88.77</v>
      </c>
      <c r="I22" s="276">
        <v>97636</v>
      </c>
    </row>
    <row r="23" spans="2:15" s="2" customFormat="1" ht="13.2">
      <c r="B23" s="88"/>
      <c r="C23" s="11" t="s">
        <v>150</v>
      </c>
      <c r="D23" s="12"/>
      <c r="E23" s="13"/>
      <c r="F23" s="14"/>
      <c r="G23" s="14"/>
      <c r="H23" s="15">
        <f>SUM(H14:H22)</f>
        <v>18635.720000000005</v>
      </c>
      <c r="I23" s="89"/>
      <c r="O23" s="19"/>
    </row>
    <row r="24" spans="2:15" s="16" customFormat="1" ht="6" customHeight="1">
      <c r="B24" s="90"/>
      <c r="C24" s="18"/>
      <c r="D24" s="4"/>
      <c r="E24" s="5"/>
      <c r="F24" s="6"/>
      <c r="G24" s="6"/>
      <c r="H24" s="7"/>
      <c r="I24" s="91"/>
    </row>
    <row r="25" spans="2:15" s="16" customFormat="1" ht="15.6">
      <c r="B25" s="92">
        <v>3</v>
      </c>
      <c r="C25" s="3" t="s">
        <v>72</v>
      </c>
      <c r="D25" s="4"/>
      <c r="E25" s="5"/>
      <c r="F25" s="6"/>
      <c r="G25" s="6"/>
      <c r="H25" s="7"/>
      <c r="I25" s="91"/>
    </row>
    <row r="26" spans="2:15" s="2" customFormat="1" ht="13.2">
      <c r="B26" s="272" t="s">
        <v>33</v>
      </c>
      <c r="C26" s="273" t="s">
        <v>175</v>
      </c>
      <c r="D26" s="274" t="s">
        <v>24</v>
      </c>
      <c r="E26" s="275">
        <f>ROUNDUP('MEMÓRIA CÁLCULO'!G22,0)</f>
        <v>1</v>
      </c>
      <c r="F26" s="275">
        <v>776.16</v>
      </c>
      <c r="G26" s="275">
        <f t="shared" ref="G26:G34" si="2">ROUND(F26*1.2821,2)</f>
        <v>995.11</v>
      </c>
      <c r="H26" s="275">
        <f t="shared" ref="H26:H35" si="3">ROUND(G26*E26,2)</f>
        <v>995.11</v>
      </c>
      <c r="I26" s="276">
        <v>96616</v>
      </c>
    </row>
    <row r="27" spans="2:15" s="2" customFormat="1" ht="26.4">
      <c r="B27" s="272" t="s">
        <v>34</v>
      </c>
      <c r="C27" s="273" t="s">
        <v>183</v>
      </c>
      <c r="D27" s="274" t="s">
        <v>16</v>
      </c>
      <c r="E27" s="275">
        <f>ROUNDUP('MEMÓRIA CÁLCULO'!G23,0)</f>
        <v>2</v>
      </c>
      <c r="F27" s="275">
        <v>442.2</v>
      </c>
      <c r="G27" s="275">
        <f t="shared" si="2"/>
        <v>566.94000000000005</v>
      </c>
      <c r="H27" s="275">
        <f t="shared" si="3"/>
        <v>1133.8800000000001</v>
      </c>
      <c r="I27" s="276">
        <v>97897</v>
      </c>
    </row>
    <row r="28" spans="2:15" s="2" customFormat="1" ht="26.4">
      <c r="B28" s="272" t="s">
        <v>35</v>
      </c>
      <c r="C28" s="273" t="s">
        <v>139</v>
      </c>
      <c r="D28" s="274" t="s">
        <v>27</v>
      </c>
      <c r="E28" s="275">
        <f>ROUNDUP('MEMÓRIA CÁLCULO'!G24,0)</f>
        <v>65</v>
      </c>
      <c r="F28" s="275">
        <v>122.73</v>
      </c>
      <c r="G28" s="275">
        <f t="shared" si="2"/>
        <v>157.35</v>
      </c>
      <c r="H28" s="275">
        <f t="shared" si="3"/>
        <v>10227.75</v>
      </c>
      <c r="I28" s="276">
        <v>103376</v>
      </c>
    </row>
    <row r="29" spans="2:15" s="2" customFormat="1" ht="26.4">
      <c r="B29" s="272" t="s">
        <v>36</v>
      </c>
      <c r="C29" s="273" t="s">
        <v>147</v>
      </c>
      <c r="D29" s="274" t="s">
        <v>27</v>
      </c>
      <c r="E29" s="275">
        <f>ROUNDUP('MEMÓRIA CÁLCULO'!G25,0)</f>
        <v>25</v>
      </c>
      <c r="F29" s="275">
        <v>47.77</v>
      </c>
      <c r="G29" s="275">
        <f t="shared" si="2"/>
        <v>61.25</v>
      </c>
      <c r="H29" s="275">
        <f t="shared" si="3"/>
        <v>1531.25</v>
      </c>
      <c r="I29" s="276">
        <v>90694</v>
      </c>
    </row>
    <row r="30" spans="2:15" s="2" customFormat="1" ht="26.4">
      <c r="B30" s="272" t="s">
        <v>122</v>
      </c>
      <c r="C30" s="273" t="s">
        <v>140</v>
      </c>
      <c r="D30" s="274" t="s">
        <v>16</v>
      </c>
      <c r="E30" s="275">
        <f>ROUNDUP('MEMÓRIA CÁLCULO'!G26,0)</f>
        <v>2</v>
      </c>
      <c r="F30" s="275">
        <v>744.15</v>
      </c>
      <c r="G30" s="275">
        <f t="shared" si="2"/>
        <v>954.07</v>
      </c>
      <c r="H30" s="275">
        <f t="shared" si="3"/>
        <v>1908.14</v>
      </c>
      <c r="I30" s="276">
        <v>99625</v>
      </c>
    </row>
    <row r="31" spans="2:15" s="2" customFormat="1" ht="13.2">
      <c r="B31" s="272" t="s">
        <v>70</v>
      </c>
      <c r="C31" s="273" t="s">
        <v>141</v>
      </c>
      <c r="D31" s="274" t="s">
        <v>16</v>
      </c>
      <c r="E31" s="275">
        <f>ROUNDUP('MEMÓRIA CÁLCULO'!G27,0)</f>
        <v>2</v>
      </c>
      <c r="F31" s="275">
        <v>417.77</v>
      </c>
      <c r="G31" s="275">
        <f t="shared" si="2"/>
        <v>535.62</v>
      </c>
      <c r="H31" s="275">
        <f t="shared" si="3"/>
        <v>1071.24</v>
      </c>
      <c r="I31" s="276">
        <v>94500</v>
      </c>
    </row>
    <row r="32" spans="2:15" s="2" customFormat="1" ht="26.4">
      <c r="B32" s="272" t="s">
        <v>71</v>
      </c>
      <c r="C32" s="273" t="s">
        <v>145</v>
      </c>
      <c r="D32" s="274" t="s">
        <v>16</v>
      </c>
      <c r="E32" s="275">
        <f>ROUNDUP('MEMÓRIA CÁLCULO'!G28,0)</f>
        <v>1</v>
      </c>
      <c r="F32" s="275">
        <v>880.56</v>
      </c>
      <c r="G32" s="275">
        <f t="shared" si="2"/>
        <v>1128.97</v>
      </c>
      <c r="H32" s="275">
        <f t="shared" si="3"/>
        <v>1128.97</v>
      </c>
      <c r="I32" s="276">
        <v>99257</v>
      </c>
    </row>
    <row r="33" spans="2:10" s="2" customFormat="1" ht="39.6">
      <c r="B33" s="272" t="s">
        <v>93</v>
      </c>
      <c r="C33" s="273" t="s">
        <v>68</v>
      </c>
      <c r="D33" s="274" t="s">
        <v>24</v>
      </c>
      <c r="E33" s="275">
        <f>ROUNDUP('MEMÓRIA CÁLCULO'!G29,0)</f>
        <v>9</v>
      </c>
      <c r="F33" s="275">
        <v>24.82</v>
      </c>
      <c r="G33" s="275">
        <f t="shared" si="2"/>
        <v>31.82</v>
      </c>
      <c r="H33" s="275">
        <f t="shared" si="3"/>
        <v>286.38</v>
      </c>
      <c r="I33" s="276">
        <v>93378</v>
      </c>
    </row>
    <row r="34" spans="2:10" s="2" customFormat="1" ht="13.2">
      <c r="B34" s="272" t="s">
        <v>123</v>
      </c>
      <c r="C34" s="273" t="s">
        <v>92</v>
      </c>
      <c r="D34" s="274" t="s">
        <v>24</v>
      </c>
      <c r="E34" s="275">
        <f>ROUNDUP('MEMÓRIA CÁLCULO'!G30,0)</f>
        <v>24</v>
      </c>
      <c r="F34" s="275">
        <v>93.76</v>
      </c>
      <c r="G34" s="275">
        <f t="shared" si="2"/>
        <v>120.21</v>
      </c>
      <c r="H34" s="275">
        <f t="shared" si="3"/>
        <v>2885.04</v>
      </c>
      <c r="I34" s="276">
        <v>104739</v>
      </c>
    </row>
    <row r="35" spans="2:10" s="2" customFormat="1" ht="39.6">
      <c r="B35" s="272" t="s">
        <v>124</v>
      </c>
      <c r="C35" s="273" t="s">
        <v>67</v>
      </c>
      <c r="D35" s="274" t="s">
        <v>24</v>
      </c>
      <c r="E35" s="275">
        <f>ROUNDUP('MEMÓRIA CÁLCULO'!G31,0)</f>
        <v>3</v>
      </c>
      <c r="F35" s="275">
        <v>18.309999999999999</v>
      </c>
      <c r="G35" s="275">
        <f>ROUND(F35*1.2821,2)</f>
        <v>23.48</v>
      </c>
      <c r="H35" s="275">
        <f t="shared" si="3"/>
        <v>70.44</v>
      </c>
      <c r="I35" s="276">
        <v>93369</v>
      </c>
    </row>
    <row r="36" spans="2:10" s="2" customFormat="1" ht="13.2">
      <c r="B36" s="88"/>
      <c r="C36" s="11" t="s">
        <v>73</v>
      </c>
      <c r="D36" s="12"/>
      <c r="E36" s="13"/>
      <c r="F36" s="14"/>
      <c r="G36" s="14"/>
      <c r="H36" s="15">
        <f>SUM(H26:H35)</f>
        <v>21238.2</v>
      </c>
      <c r="I36" s="89"/>
    </row>
    <row r="37" spans="2:10" s="2" customFormat="1" ht="6" customHeight="1">
      <c r="B37" s="90"/>
      <c r="C37" s="18"/>
      <c r="D37" s="4"/>
      <c r="E37" s="5"/>
      <c r="F37" s="6"/>
      <c r="G37" s="6"/>
      <c r="H37" s="7"/>
      <c r="I37" s="91"/>
    </row>
    <row r="38" spans="2:10" s="2" customFormat="1" ht="15.6">
      <c r="B38" s="92">
        <v>4</v>
      </c>
      <c r="C38" s="45" t="s">
        <v>148</v>
      </c>
      <c r="D38" s="4"/>
      <c r="E38" s="5"/>
      <c r="F38" s="6"/>
      <c r="G38" s="6"/>
      <c r="H38" s="7"/>
      <c r="I38" s="91"/>
    </row>
    <row r="39" spans="2:10" s="2" customFormat="1" ht="26.4">
      <c r="B39" s="272" t="s">
        <v>37</v>
      </c>
      <c r="C39" s="273" t="s">
        <v>180</v>
      </c>
      <c r="D39" s="274" t="s">
        <v>21</v>
      </c>
      <c r="E39" s="275">
        <f>'MEMÓRIA CÁLCULO'!G33</f>
        <v>6.25</v>
      </c>
      <c r="F39" s="275">
        <v>193.49</v>
      </c>
      <c r="G39" s="275">
        <f>ROUND(F39*1.2821,2)</f>
        <v>248.07</v>
      </c>
      <c r="H39" s="275">
        <f>ROUND(G39*E39,2)</f>
        <v>1550.44</v>
      </c>
      <c r="I39" s="276">
        <v>103077</v>
      </c>
    </row>
    <row r="40" spans="2:10" s="2" customFormat="1" ht="26.4">
      <c r="B40" s="272" t="s">
        <v>38</v>
      </c>
      <c r="C40" s="273" t="s">
        <v>134</v>
      </c>
      <c r="D40" s="279" t="s">
        <v>27</v>
      </c>
      <c r="E40" s="275">
        <f>'MEMÓRIA CÁLCULO'!G34</f>
        <v>10</v>
      </c>
      <c r="F40" s="275">
        <f>'COMPOSIÇÕES - DESONERADO'!G43</f>
        <v>12.319305999999999</v>
      </c>
      <c r="G40" s="275">
        <f>ROUND(F40*1.2821,2)</f>
        <v>15.79</v>
      </c>
      <c r="H40" s="275">
        <f>ROUND(G40*E40,2)</f>
        <v>157.9</v>
      </c>
      <c r="I40" s="276" t="s">
        <v>181</v>
      </c>
    </row>
    <row r="41" spans="2:10" s="2" customFormat="1" ht="26.4">
      <c r="B41" s="272" t="s">
        <v>39</v>
      </c>
      <c r="C41" s="273" t="s">
        <v>125</v>
      </c>
      <c r="D41" s="274" t="s">
        <v>21</v>
      </c>
      <c r="E41" s="275">
        <f>'MEMÓRIA CÁLCULO'!G35</f>
        <v>4</v>
      </c>
      <c r="F41" s="275">
        <v>95.76</v>
      </c>
      <c r="G41" s="275">
        <f>ROUND(F41*1.2821,2)</f>
        <v>122.77</v>
      </c>
      <c r="H41" s="275">
        <f>ROUND(G41*E41,2)</f>
        <v>491.08</v>
      </c>
      <c r="I41" s="276">
        <v>94994</v>
      </c>
    </row>
    <row r="42" spans="2:10" s="2" customFormat="1" ht="13.2">
      <c r="B42" s="272" t="s">
        <v>40</v>
      </c>
      <c r="C42" s="273" t="s">
        <v>85</v>
      </c>
      <c r="D42" s="274" t="s">
        <v>21</v>
      </c>
      <c r="E42" s="275">
        <f>ROUNDUP('MEMÓRIA CÁLCULO'!G36,0)</f>
        <v>1</v>
      </c>
      <c r="F42" s="275">
        <v>343.66</v>
      </c>
      <c r="G42" s="275">
        <f>ROUND(F42*1.2821,2)</f>
        <v>440.61</v>
      </c>
      <c r="H42" s="275">
        <f>ROUND(G42*E42,2)</f>
        <v>440.61</v>
      </c>
      <c r="I42" s="276">
        <v>101731</v>
      </c>
    </row>
    <row r="43" spans="2:10" s="2" customFormat="1" ht="13.2">
      <c r="B43" s="272" t="s">
        <v>41</v>
      </c>
      <c r="C43" s="273" t="s">
        <v>149</v>
      </c>
      <c r="D43" s="274" t="s">
        <v>21</v>
      </c>
      <c r="E43" s="275">
        <f>ROUNDUP('MEMÓRIA CÁLCULO'!G37,0)</f>
        <v>30</v>
      </c>
      <c r="F43" s="275">
        <v>29.4</v>
      </c>
      <c r="G43" s="275">
        <f>ROUND(F43*1.2821,2)</f>
        <v>37.69</v>
      </c>
      <c r="H43" s="275">
        <f>ROUND(G43*E43,2)</f>
        <v>1130.7</v>
      </c>
      <c r="I43" s="276">
        <v>103946</v>
      </c>
    </row>
    <row r="44" spans="2:10" s="2" customFormat="1" ht="13.8" thickBot="1">
      <c r="B44" s="110"/>
      <c r="C44" s="111" t="s">
        <v>80</v>
      </c>
      <c r="D44" s="112"/>
      <c r="E44" s="113"/>
      <c r="F44" s="114"/>
      <c r="G44" s="114"/>
      <c r="H44" s="115">
        <f>SUM(H39:H43)</f>
        <v>3770.7300000000005</v>
      </c>
      <c r="I44" s="116"/>
    </row>
    <row r="45" spans="2:10" ht="16.2" thickBot="1">
      <c r="B45" s="117"/>
      <c r="C45" s="118" t="s">
        <v>42</v>
      </c>
      <c r="D45" s="119" t="s">
        <v>43</v>
      </c>
      <c r="E45" s="120"/>
      <c r="F45" s="120"/>
      <c r="G45" s="120"/>
      <c r="H45" s="121">
        <f>ROUND(H11+H23+H36+H44,2)</f>
        <v>65630.13</v>
      </c>
      <c r="I45" s="122"/>
    </row>
    <row r="46" spans="2:10" ht="24" customHeight="1">
      <c r="B46" s="358" t="s">
        <v>298</v>
      </c>
      <c r="C46" s="358"/>
      <c r="D46" s="358"/>
      <c r="E46" s="358"/>
      <c r="F46" s="358"/>
      <c r="G46" s="358"/>
      <c r="H46" s="358"/>
      <c r="I46" s="358"/>
    </row>
    <row r="47" spans="2:10" ht="21" customHeight="1">
      <c r="B47" s="357"/>
      <c r="C47" s="357"/>
      <c r="D47" s="357"/>
      <c r="E47" s="357"/>
      <c r="F47" s="357"/>
      <c r="G47" s="357"/>
      <c r="H47" s="357"/>
      <c r="I47" s="357"/>
      <c r="J47" s="20"/>
    </row>
    <row r="48" spans="2:10" ht="16.95" customHeight="1">
      <c r="B48" s="357"/>
      <c r="C48" s="357"/>
      <c r="D48" s="357"/>
      <c r="E48" s="357"/>
      <c r="F48" s="357"/>
      <c r="G48" s="357"/>
      <c r="H48" s="357"/>
      <c r="I48" s="357"/>
    </row>
    <row r="49" spans="2:10" ht="30.6" customHeight="1">
      <c r="B49" s="357"/>
      <c r="C49" s="357"/>
      <c r="D49" s="357"/>
      <c r="E49" s="357"/>
      <c r="F49" s="357"/>
      <c r="G49" s="357"/>
      <c r="H49" s="357"/>
      <c r="I49" s="357"/>
    </row>
    <row r="50" spans="2:10" ht="25.5" customHeight="1">
      <c r="B50" s="357" t="s">
        <v>45</v>
      </c>
      <c r="C50" s="357" t="s">
        <v>10</v>
      </c>
      <c r="D50" s="357"/>
      <c r="E50" s="357"/>
      <c r="F50" s="357"/>
      <c r="G50" s="357"/>
      <c r="H50" s="357"/>
      <c r="I50" s="357"/>
      <c r="J50" s="357"/>
    </row>
    <row r="51" spans="2:10" ht="16.95" customHeight="1">
      <c r="B51" s="358" t="s">
        <v>46</v>
      </c>
      <c r="C51" s="358" t="s">
        <v>44</v>
      </c>
      <c r="D51" s="358"/>
      <c r="E51" s="358"/>
      <c r="F51" s="358"/>
      <c r="G51" s="358"/>
      <c r="H51" s="358"/>
      <c r="I51" s="358"/>
    </row>
    <row r="52" spans="2:10" ht="38.1" hidden="1" customHeight="1"/>
    <row r="53" spans="2:10" ht="19.5" hidden="1" customHeight="1">
      <c r="B53" s="357"/>
      <c r="C53" s="357"/>
      <c r="D53" s="357"/>
      <c r="E53" s="357"/>
      <c r="F53" s="357"/>
      <c r="G53" s="357"/>
      <c r="H53" s="357"/>
      <c r="I53" s="357"/>
    </row>
    <row r="54" spans="2:10" ht="15.75" hidden="1" customHeight="1">
      <c r="B54" s="358"/>
      <c r="C54" s="358"/>
      <c r="D54" s="358"/>
      <c r="E54" s="358"/>
      <c r="F54" s="358"/>
      <c r="G54" s="358"/>
      <c r="H54" s="358"/>
      <c r="I54" s="358"/>
    </row>
    <row r="55" spans="2:10" ht="33.6" hidden="1" customHeight="1"/>
    <row r="56" spans="2:10" ht="25.35" hidden="1" customHeight="1">
      <c r="B56" s="357"/>
      <c r="C56" s="357"/>
      <c r="D56" s="357"/>
      <c r="E56" s="357"/>
      <c r="F56" s="357"/>
      <c r="G56" s="357"/>
      <c r="H56" s="357"/>
      <c r="I56" s="357"/>
    </row>
    <row r="57" spans="2:10" ht="19.5" hidden="1" customHeight="1">
      <c r="B57" s="358"/>
      <c r="C57" s="358"/>
      <c r="D57" s="358"/>
      <c r="E57" s="358"/>
      <c r="F57" s="358"/>
      <c r="G57" s="358"/>
      <c r="H57" s="358"/>
      <c r="I57" s="358"/>
    </row>
    <row r="98" ht="31.5" hidden="1" customHeight="1"/>
    <row r="99" ht="31.5" hidden="1" customHeight="1"/>
    <row r="100" ht="19.5" hidden="1" customHeight="1"/>
    <row r="101" ht="30" hidden="1" customHeight="1"/>
    <row r="102" ht="30" hidden="1" customHeight="1"/>
    <row r="103" ht="31.95" hidden="1" customHeight="1"/>
    <row r="104" ht="19.5" hidden="1" customHeight="1"/>
    <row r="105" ht="19.5" hidden="1" customHeight="1"/>
    <row r="106" ht="19.5" hidden="1" customHeight="1"/>
    <row r="107" ht="19.5" hidden="1" customHeight="1"/>
    <row r="108" ht="26.85" hidden="1" customHeight="1"/>
    <row r="109" ht="19.5" hidden="1" customHeight="1"/>
    <row r="110" ht="24" hidden="1" customHeight="1"/>
    <row r="65409" ht="12.75" hidden="1" customHeight="1"/>
    <row r="65410" ht="12.75" hidden="1" customHeight="1"/>
    <row r="65411" ht="12.75" hidden="1" customHeight="1"/>
    <row r="65412" ht="12.75" hidden="1" customHeight="1"/>
    <row r="65413" ht="12.75" hidden="1" customHeight="1"/>
    <row r="65414" ht="12.75" hidden="1" customHeight="1"/>
    <row r="65415" ht="12.75" hidden="1" customHeight="1"/>
    <row r="65416" ht="12.75" hidden="1" customHeight="1"/>
    <row r="65417" ht="12.75" hidden="1" customHeight="1"/>
    <row r="65418" ht="12.75" hidden="1" customHeight="1"/>
    <row r="65419" ht="12.75" hidden="1" customHeight="1"/>
    <row r="65420" ht="12.75" hidden="1" customHeight="1"/>
    <row r="65421" ht="12.75" hidden="1" customHeight="1"/>
    <row r="65422" ht="12.75" hidden="1" customHeight="1"/>
    <row r="65423" ht="12.75" hidden="1" customHeight="1"/>
  </sheetData>
  <sheetProtection selectLockedCells="1" selectUnlockedCells="1"/>
  <mergeCells count="12">
    <mergeCell ref="B57:I57"/>
    <mergeCell ref="B50:J50"/>
    <mergeCell ref="B51:I51"/>
    <mergeCell ref="B53:I53"/>
    <mergeCell ref="B54:I54"/>
    <mergeCell ref="B56:I56"/>
    <mergeCell ref="B2:I2"/>
    <mergeCell ref="B5:I5"/>
    <mergeCell ref="B47:I49"/>
    <mergeCell ref="B3:I3"/>
    <mergeCell ref="B4:I4"/>
    <mergeCell ref="B46:I46"/>
  </mergeCells>
  <phoneticPr fontId="30" type="noConversion"/>
  <pageMargins left="0.60347222222222219" right="0.4548611111111111" top="0.51944444444444449" bottom="0.65833333333333333" header="0.51180555555555551" footer="0.51180555555555551"/>
  <pageSetup paperSize="9" scale="61" firstPageNumber="0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5"/>
  <dimension ref="B1:H44"/>
  <sheetViews>
    <sheetView workbookViewId="0">
      <selection activeCell="B6" sqref="B6"/>
    </sheetView>
  </sheetViews>
  <sheetFormatPr defaultColWidth="0" defaultRowHeight="13.2" zeroHeight="1"/>
  <cols>
    <col min="1" max="1" width="1.109375" customWidth="1"/>
    <col min="2" max="2" width="8.5546875" bestFit="1" customWidth="1"/>
    <col min="3" max="3" width="94.6640625" bestFit="1" customWidth="1"/>
    <col min="4" max="4" width="8.88671875" bestFit="1" customWidth="1"/>
    <col min="5" max="5" width="11.33203125" bestFit="1" customWidth="1"/>
    <col min="6" max="6" width="6.77734375" bestFit="1" customWidth="1"/>
    <col min="7" max="7" width="11.6640625" bestFit="1" customWidth="1"/>
    <col min="8" max="8" width="1.109375" customWidth="1"/>
  </cols>
  <sheetData>
    <row r="1" spans="2:8" ht="6" customHeight="1" thickBot="1"/>
    <row r="2" spans="2:8" ht="30" customHeight="1">
      <c r="B2" s="325" t="s">
        <v>188</v>
      </c>
      <c r="C2" s="354"/>
      <c r="D2" s="354"/>
      <c r="E2" s="354"/>
      <c r="F2" s="354"/>
      <c r="G2" s="326"/>
    </row>
    <row r="3" spans="2:8" ht="24" customHeight="1">
      <c r="B3" s="351" t="s">
        <v>189</v>
      </c>
      <c r="C3" s="352"/>
      <c r="D3" s="352"/>
      <c r="E3" s="352"/>
      <c r="F3" s="352"/>
      <c r="G3" s="353"/>
      <c r="H3" s="33"/>
    </row>
    <row r="4" spans="2:8" ht="18">
      <c r="B4" s="348" t="s">
        <v>62</v>
      </c>
      <c r="C4" s="349"/>
      <c r="D4" s="349"/>
      <c r="E4" s="349"/>
      <c r="F4" s="349"/>
      <c r="G4" s="350"/>
      <c r="H4" s="33"/>
    </row>
    <row r="5" spans="2:8" ht="18" customHeight="1" thickBot="1">
      <c r="B5" s="345" t="s">
        <v>194</v>
      </c>
      <c r="C5" s="346"/>
      <c r="D5" s="346"/>
      <c r="E5" s="346"/>
      <c r="F5" s="346"/>
      <c r="G5" s="347"/>
    </row>
    <row r="6" spans="2:8" ht="15.6">
      <c r="B6" s="193" t="s">
        <v>17</v>
      </c>
      <c r="C6" s="194" t="s">
        <v>151</v>
      </c>
      <c r="D6" s="195" t="s">
        <v>16</v>
      </c>
      <c r="E6" s="196"/>
      <c r="F6" s="197"/>
      <c r="G6" s="198"/>
    </row>
    <row r="7" spans="2:8" ht="28.8">
      <c r="B7" s="186" t="s">
        <v>53</v>
      </c>
      <c r="C7" s="37" t="s">
        <v>54</v>
      </c>
      <c r="D7" s="36" t="s">
        <v>55</v>
      </c>
      <c r="E7" s="38" t="s">
        <v>56</v>
      </c>
      <c r="F7" s="39" t="s">
        <v>57</v>
      </c>
      <c r="G7" s="187" t="s">
        <v>58</v>
      </c>
    </row>
    <row r="8" spans="2:8" ht="14.4">
      <c r="B8" s="280" t="s">
        <v>152</v>
      </c>
      <c r="C8" s="281" t="s">
        <v>153</v>
      </c>
      <c r="D8" s="282" t="s">
        <v>16</v>
      </c>
      <c r="E8" s="283">
        <v>15.83</v>
      </c>
      <c r="F8" s="284">
        <v>15</v>
      </c>
      <c r="G8" s="285">
        <f t="shared" ref="G8:G17" si="0">E8*F8</f>
        <v>237.45</v>
      </c>
    </row>
    <row r="9" spans="2:8" ht="14.4">
      <c r="B9" s="280" t="s">
        <v>161</v>
      </c>
      <c r="C9" s="286" t="s">
        <v>162</v>
      </c>
      <c r="D9" s="282" t="s">
        <v>16</v>
      </c>
      <c r="E9" s="287">
        <v>13.38</v>
      </c>
      <c r="F9" s="284">
        <v>3</v>
      </c>
      <c r="G9" s="285">
        <f t="shared" si="0"/>
        <v>40.14</v>
      </c>
    </row>
    <row r="10" spans="2:8" ht="14.4">
      <c r="B10" s="280" t="s">
        <v>159</v>
      </c>
      <c r="C10" s="288" t="s">
        <v>160</v>
      </c>
      <c r="D10" s="282" t="s">
        <v>16</v>
      </c>
      <c r="E10" s="289">
        <v>9.89</v>
      </c>
      <c r="F10" s="290">
        <v>1</v>
      </c>
      <c r="G10" s="285">
        <f t="shared" si="0"/>
        <v>9.89</v>
      </c>
    </row>
    <row r="11" spans="2:8" ht="14.4">
      <c r="B11" s="280" t="s">
        <v>163</v>
      </c>
      <c r="C11" s="288" t="s">
        <v>164</v>
      </c>
      <c r="D11" s="282" t="s">
        <v>16</v>
      </c>
      <c r="E11" s="289">
        <v>78.3</v>
      </c>
      <c r="F11" s="290">
        <v>1</v>
      </c>
      <c r="G11" s="285">
        <f t="shared" si="0"/>
        <v>78.3</v>
      </c>
    </row>
    <row r="12" spans="2:8" ht="14.4">
      <c r="B12" s="280" t="s">
        <v>61</v>
      </c>
      <c r="C12" s="288" t="s">
        <v>156</v>
      </c>
      <c r="D12" s="282" t="s">
        <v>16</v>
      </c>
      <c r="E12" s="289">
        <f>G26</f>
        <v>113.854</v>
      </c>
      <c r="F12" s="290">
        <v>25</v>
      </c>
      <c r="G12" s="285">
        <f t="shared" si="0"/>
        <v>2846.35</v>
      </c>
    </row>
    <row r="13" spans="2:8" ht="14.4">
      <c r="B13" s="280" t="s">
        <v>133</v>
      </c>
      <c r="C13" s="288" t="s">
        <v>165</v>
      </c>
      <c r="D13" s="282" t="s">
        <v>27</v>
      </c>
      <c r="E13" s="289">
        <f>G35</f>
        <v>19.675594</v>
      </c>
      <c r="F13" s="290">
        <v>125</v>
      </c>
      <c r="G13" s="285">
        <f t="shared" si="0"/>
        <v>2459.4492500000001</v>
      </c>
    </row>
    <row r="14" spans="2:8" ht="28.8">
      <c r="B14" s="280">
        <v>90650</v>
      </c>
      <c r="C14" s="291" t="s">
        <v>172</v>
      </c>
      <c r="D14" s="282" t="s">
        <v>168</v>
      </c>
      <c r="E14" s="289">
        <v>11.05</v>
      </c>
      <c r="F14" s="292">
        <v>240</v>
      </c>
      <c r="G14" s="285">
        <f t="shared" si="0"/>
        <v>2652</v>
      </c>
    </row>
    <row r="15" spans="2:8" ht="28.8">
      <c r="B15" s="280">
        <v>104185</v>
      </c>
      <c r="C15" s="291" t="s">
        <v>173</v>
      </c>
      <c r="D15" s="282" t="s">
        <v>16</v>
      </c>
      <c r="E15" s="289">
        <v>23.24</v>
      </c>
      <c r="F15" s="292">
        <v>1</v>
      </c>
      <c r="G15" s="285">
        <f t="shared" si="0"/>
        <v>23.24</v>
      </c>
    </row>
    <row r="16" spans="2:8" ht="14.4">
      <c r="B16" s="280">
        <v>88267</v>
      </c>
      <c r="C16" s="291" t="s">
        <v>170</v>
      </c>
      <c r="D16" s="282" t="s">
        <v>131</v>
      </c>
      <c r="E16" s="289">
        <v>25.81</v>
      </c>
      <c r="F16" s="292">
        <v>40</v>
      </c>
      <c r="G16" s="285">
        <f t="shared" si="0"/>
        <v>1032.3999999999999</v>
      </c>
    </row>
    <row r="17" spans="2:8" ht="14.4">
      <c r="B17" s="280">
        <v>88248</v>
      </c>
      <c r="C17" s="291" t="s">
        <v>174</v>
      </c>
      <c r="D17" s="282" t="s">
        <v>131</v>
      </c>
      <c r="E17" s="289">
        <v>21.16</v>
      </c>
      <c r="F17" s="292">
        <v>40</v>
      </c>
      <c r="G17" s="285">
        <f t="shared" si="0"/>
        <v>846.4</v>
      </c>
    </row>
    <row r="18" spans="2:8" ht="14.4">
      <c r="B18" s="361" t="s">
        <v>60</v>
      </c>
      <c r="C18" s="362"/>
      <c r="D18" s="362"/>
      <c r="E18" s="362"/>
      <c r="F18" s="362"/>
      <c r="G18" s="188">
        <f>SUM(G8:G17)</f>
        <v>10225.61925</v>
      </c>
    </row>
    <row r="19" spans="2:8" ht="6.6" customHeight="1">
      <c r="B19" s="204"/>
      <c r="C19" s="205"/>
      <c r="D19" s="205"/>
      <c r="E19" s="205"/>
      <c r="F19" s="205"/>
      <c r="G19" s="206"/>
    </row>
    <row r="20" spans="2:8" ht="15.6">
      <c r="B20" s="199" t="s">
        <v>61</v>
      </c>
      <c r="C20" s="207" t="s">
        <v>156</v>
      </c>
      <c r="D20" s="200" t="s">
        <v>16</v>
      </c>
      <c r="E20" s="201"/>
      <c r="F20" s="202"/>
      <c r="G20" s="203"/>
    </row>
    <row r="21" spans="2:8" ht="28.8">
      <c r="B21" s="186" t="s">
        <v>53</v>
      </c>
      <c r="C21" s="37" t="s">
        <v>54</v>
      </c>
      <c r="D21" s="36" t="s">
        <v>55</v>
      </c>
      <c r="E21" s="38" t="s">
        <v>56</v>
      </c>
      <c r="F21" s="39" t="s">
        <v>57</v>
      </c>
      <c r="G21" s="187" t="s">
        <v>58</v>
      </c>
    </row>
    <row r="22" spans="2:8" ht="14.4">
      <c r="B22" s="293" t="s">
        <v>152</v>
      </c>
      <c r="C22" s="281" t="s">
        <v>153</v>
      </c>
      <c r="D22" s="294" t="s">
        <v>27</v>
      </c>
      <c r="E22" s="283">
        <v>15.83</v>
      </c>
      <c r="F22" s="295">
        <v>6</v>
      </c>
      <c r="G22" s="296">
        <f>E22*F22</f>
        <v>94.98</v>
      </c>
    </row>
    <row r="23" spans="2:8" ht="14.4">
      <c r="B23" s="297" t="s">
        <v>154</v>
      </c>
      <c r="C23" s="288" t="s">
        <v>155</v>
      </c>
      <c r="D23" s="282" t="s">
        <v>21</v>
      </c>
      <c r="E23" s="289">
        <v>8.52</v>
      </c>
      <c r="F23" s="290">
        <v>0.2</v>
      </c>
      <c r="G23" s="296">
        <f>E23*F23</f>
        <v>1.704</v>
      </c>
      <c r="H23" s="40"/>
    </row>
    <row r="24" spans="2:8" ht="14.4">
      <c r="B24" s="297" t="s">
        <v>157</v>
      </c>
      <c r="C24" s="288" t="s">
        <v>158</v>
      </c>
      <c r="D24" s="282" t="s">
        <v>16</v>
      </c>
      <c r="E24" s="289">
        <v>7.28</v>
      </c>
      <c r="F24" s="290">
        <v>1</v>
      </c>
      <c r="G24" s="296">
        <f>E24*F24</f>
        <v>7.28</v>
      </c>
      <c r="H24" s="40"/>
    </row>
    <row r="25" spans="2:8" ht="14.4">
      <c r="B25" s="297" t="s">
        <v>159</v>
      </c>
      <c r="C25" s="288" t="s">
        <v>160</v>
      </c>
      <c r="D25" s="282" t="s">
        <v>16</v>
      </c>
      <c r="E25" s="289">
        <v>9.89</v>
      </c>
      <c r="F25" s="290">
        <v>1</v>
      </c>
      <c r="G25" s="296">
        <f>E25*F25</f>
        <v>9.89</v>
      </c>
      <c r="H25" s="40"/>
    </row>
    <row r="26" spans="2:8" ht="14.4">
      <c r="B26" s="361" t="s">
        <v>60</v>
      </c>
      <c r="C26" s="362"/>
      <c r="D26" s="362"/>
      <c r="E26" s="362"/>
      <c r="F26" s="362"/>
      <c r="G26" s="188">
        <f>SUM(G22:G25)</f>
        <v>113.854</v>
      </c>
      <c r="H26" s="40"/>
    </row>
    <row r="27" spans="2:8" ht="6.6" customHeight="1">
      <c r="B27" s="204"/>
      <c r="C27" s="205"/>
      <c r="D27" s="205"/>
      <c r="E27" s="205"/>
      <c r="F27" s="205"/>
      <c r="G27" s="206"/>
      <c r="H27" s="40"/>
    </row>
    <row r="28" spans="2:8" ht="15.6">
      <c r="B28" s="199" t="s">
        <v>133</v>
      </c>
      <c r="C28" s="207" t="s">
        <v>165</v>
      </c>
      <c r="D28" s="200" t="s">
        <v>27</v>
      </c>
      <c r="E28" s="201"/>
      <c r="F28" s="202"/>
      <c r="G28" s="203"/>
    </row>
    <row r="29" spans="2:8" ht="28.8">
      <c r="B29" s="186" t="s">
        <v>53</v>
      </c>
      <c r="C29" s="37" t="s">
        <v>54</v>
      </c>
      <c r="D29" s="36" t="s">
        <v>55</v>
      </c>
      <c r="E29" s="38" t="s">
        <v>56</v>
      </c>
      <c r="F29" s="39" t="s">
        <v>57</v>
      </c>
      <c r="G29" s="187" t="s">
        <v>58</v>
      </c>
    </row>
    <row r="30" spans="2:8" ht="28.8">
      <c r="B30" s="293">
        <v>90625</v>
      </c>
      <c r="C30" s="281" t="s">
        <v>166</v>
      </c>
      <c r="D30" s="294" t="s">
        <v>168</v>
      </c>
      <c r="E30" s="283">
        <v>9.1199999999999992</v>
      </c>
      <c r="F30" s="298">
        <v>7.9100000000000004E-2</v>
      </c>
      <c r="G30" s="296">
        <f>E30*F30</f>
        <v>0.72139199999999992</v>
      </c>
    </row>
    <row r="31" spans="2:8" ht="14.4">
      <c r="B31" s="293">
        <v>90626</v>
      </c>
      <c r="C31" s="281" t="s">
        <v>167</v>
      </c>
      <c r="D31" s="294" t="s">
        <v>169</v>
      </c>
      <c r="E31" s="283">
        <v>3.1</v>
      </c>
      <c r="F31" s="298">
        <v>5.6399999999999999E-2</v>
      </c>
      <c r="G31" s="296">
        <f>E31*F31</f>
        <v>0.17484</v>
      </c>
    </row>
    <row r="32" spans="2:8" ht="14.4">
      <c r="B32" s="297">
        <v>90776</v>
      </c>
      <c r="C32" s="288" t="s">
        <v>171</v>
      </c>
      <c r="D32" s="282" t="s">
        <v>131</v>
      </c>
      <c r="E32" s="289">
        <v>56.06</v>
      </c>
      <c r="F32" s="299">
        <v>0.1356</v>
      </c>
      <c r="G32" s="296">
        <f>E32*F32</f>
        <v>7.6017359999999998</v>
      </c>
    </row>
    <row r="33" spans="2:7" ht="14.4">
      <c r="B33" s="297">
        <v>88316</v>
      </c>
      <c r="C33" s="288" t="s">
        <v>130</v>
      </c>
      <c r="D33" s="282" t="s">
        <v>131</v>
      </c>
      <c r="E33" s="289">
        <v>20.66</v>
      </c>
      <c r="F33" s="299">
        <v>0.40670000000000001</v>
      </c>
      <c r="G33" s="296">
        <f>E33*F33</f>
        <v>8.4024219999999996</v>
      </c>
    </row>
    <row r="34" spans="2:7" ht="14.4">
      <c r="B34" s="297">
        <v>90778</v>
      </c>
      <c r="C34" s="300" t="s">
        <v>64</v>
      </c>
      <c r="D34" s="282" t="s">
        <v>131</v>
      </c>
      <c r="E34" s="289">
        <v>109.26</v>
      </c>
      <c r="F34" s="299">
        <v>2.5399999999999999E-2</v>
      </c>
      <c r="G34" s="296">
        <f>E34*F34</f>
        <v>2.775204</v>
      </c>
    </row>
    <row r="35" spans="2:7" ht="14.4">
      <c r="B35" s="361" t="s">
        <v>60</v>
      </c>
      <c r="C35" s="362"/>
      <c r="D35" s="362"/>
      <c r="E35" s="362"/>
      <c r="F35" s="362"/>
      <c r="G35" s="188">
        <f>SUM(G30:G34)</f>
        <v>19.675594</v>
      </c>
    </row>
    <row r="36" spans="2:7" ht="6.6" customHeight="1">
      <c r="B36" s="204"/>
      <c r="C36" s="205"/>
      <c r="D36" s="205"/>
      <c r="E36" s="205"/>
      <c r="F36" s="205"/>
      <c r="G36" s="206"/>
    </row>
    <row r="37" spans="2:7" ht="15.6">
      <c r="B37" s="199" t="s">
        <v>181</v>
      </c>
      <c r="C37" s="207" t="s">
        <v>195</v>
      </c>
      <c r="D37" s="200" t="s">
        <v>27</v>
      </c>
      <c r="E37" s="208"/>
      <c r="F37" s="209"/>
      <c r="G37" s="203"/>
    </row>
    <row r="38" spans="2:7" ht="28.8">
      <c r="B38" s="186" t="s">
        <v>53</v>
      </c>
      <c r="C38" s="37" t="s">
        <v>54</v>
      </c>
      <c r="D38" s="36" t="s">
        <v>55</v>
      </c>
      <c r="E38" s="38" t="s">
        <v>56</v>
      </c>
      <c r="F38" s="39" t="s">
        <v>57</v>
      </c>
      <c r="G38" s="187" t="s">
        <v>58</v>
      </c>
    </row>
    <row r="39" spans="2:7" ht="14.4">
      <c r="B39" s="293" t="s">
        <v>135</v>
      </c>
      <c r="C39" s="281" t="s">
        <v>136</v>
      </c>
      <c r="D39" s="294" t="s">
        <v>24</v>
      </c>
      <c r="E39" s="283">
        <v>93</v>
      </c>
      <c r="F39" s="298">
        <v>6.6E-3</v>
      </c>
      <c r="G39" s="296">
        <f>E39*F39</f>
        <v>0.61380000000000001</v>
      </c>
    </row>
    <row r="40" spans="2:7" ht="14.4">
      <c r="B40" s="293">
        <v>88629</v>
      </c>
      <c r="C40" s="281" t="s">
        <v>137</v>
      </c>
      <c r="D40" s="294" t="s">
        <v>24</v>
      </c>
      <c r="E40" s="283">
        <v>696.73</v>
      </c>
      <c r="F40" s="298">
        <v>1.8E-3</v>
      </c>
      <c r="G40" s="296">
        <f>E40*F40</f>
        <v>1.254114</v>
      </c>
    </row>
    <row r="41" spans="2:7" ht="14.4">
      <c r="B41" s="297">
        <v>88309</v>
      </c>
      <c r="C41" s="288" t="s">
        <v>129</v>
      </c>
      <c r="D41" s="282" t="s">
        <v>131</v>
      </c>
      <c r="E41" s="289">
        <v>24.86</v>
      </c>
      <c r="F41" s="299">
        <v>0.2296</v>
      </c>
      <c r="G41" s="296">
        <f>E41*F41</f>
        <v>5.7078559999999996</v>
      </c>
    </row>
    <row r="42" spans="2:7" ht="14.4">
      <c r="B42" s="297">
        <v>88316</v>
      </c>
      <c r="C42" s="300" t="s">
        <v>130</v>
      </c>
      <c r="D42" s="282" t="s">
        <v>131</v>
      </c>
      <c r="E42" s="289">
        <v>20.66</v>
      </c>
      <c r="F42" s="299">
        <v>0.2296</v>
      </c>
      <c r="G42" s="296">
        <f>E42*F42</f>
        <v>4.7435359999999998</v>
      </c>
    </row>
    <row r="43" spans="2:7" ht="15" thickBot="1">
      <c r="B43" s="359" t="s">
        <v>60</v>
      </c>
      <c r="C43" s="360"/>
      <c r="D43" s="360"/>
      <c r="E43" s="360"/>
      <c r="F43" s="360"/>
      <c r="G43" s="192">
        <f>SUM(G39:G42)</f>
        <v>12.319305999999999</v>
      </c>
    </row>
    <row r="44" spans="2:7" ht="6" customHeight="1"/>
  </sheetData>
  <sheetProtection selectLockedCells="1" selectUnlockedCells="1"/>
  <mergeCells count="8">
    <mergeCell ref="B5:G5"/>
    <mergeCell ref="B43:F43"/>
    <mergeCell ref="B2:G2"/>
    <mergeCell ref="B3:G3"/>
    <mergeCell ref="B4:G4"/>
    <mergeCell ref="B18:F18"/>
    <mergeCell ref="B26:F26"/>
    <mergeCell ref="B35:F35"/>
  </mergeCells>
  <pageMargins left="0.78749999999999998" right="0.78749999999999998" top="0.58958333333333335" bottom="0.64444444444444438" header="0.32430555555555557" footer="0.37916666666666665"/>
  <pageSetup paperSize="9" scale="66" firstPageNumber="0" orientation="portrait" horizontalDpi="300" verticalDpi="300"/>
  <headerFooter alignWithMargins="0">
    <oddHeader>&amp;C&amp;"Times New Roman,Normal"&amp;12&amp;A</oddHeader>
    <oddFooter>&amp;C&amp;"Times New Roman,Normal"&amp;12Página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Q65426"/>
  <sheetViews>
    <sheetView showGridLines="0" topLeftCell="A25" workbookViewId="0">
      <selection activeCell="C64" sqref="C64"/>
    </sheetView>
  </sheetViews>
  <sheetFormatPr defaultColWidth="0" defaultRowHeight="15.75" customHeight="1" zeroHeight="1"/>
  <cols>
    <col min="1" max="1" width="1.109375" customWidth="1"/>
    <col min="2" max="2" width="6.88671875" customWidth="1"/>
    <col min="3" max="3" width="87.88671875" customWidth="1"/>
    <col min="4" max="4" width="5.6640625" customWidth="1"/>
    <col min="5" max="5" width="7" style="1" customWidth="1"/>
    <col min="6" max="6" width="9.77734375" style="1" customWidth="1"/>
    <col min="7" max="7" width="13.33203125" style="1" bestFit="1" customWidth="1"/>
    <col min="8" max="8" width="13.109375" style="1" customWidth="1"/>
    <col min="9" max="9" width="10" style="1" customWidth="1"/>
    <col min="10" max="12" width="8" hidden="1" customWidth="1"/>
    <col min="13" max="13" width="1.109375" customWidth="1"/>
    <col min="14" max="14" width="8.88671875" hidden="1" customWidth="1"/>
    <col min="15" max="16" width="11.5546875" hidden="1" customWidth="1"/>
    <col min="17" max="17" width="8.88671875" hidden="1" customWidth="1"/>
  </cols>
  <sheetData>
    <row r="1" spans="2:9" ht="6" customHeight="1" thickBot="1"/>
    <row r="2" spans="2:9" ht="30" customHeight="1">
      <c r="B2" s="325" t="s">
        <v>188</v>
      </c>
      <c r="C2" s="354"/>
      <c r="D2" s="354"/>
      <c r="E2" s="354"/>
      <c r="F2" s="354"/>
      <c r="G2" s="354"/>
      <c r="H2" s="354"/>
      <c r="I2" s="326"/>
    </row>
    <row r="3" spans="2:9" s="2" customFormat="1" ht="24" customHeight="1">
      <c r="B3" s="351" t="s">
        <v>189</v>
      </c>
      <c r="C3" s="352"/>
      <c r="D3" s="352"/>
      <c r="E3" s="352"/>
      <c r="F3" s="352"/>
      <c r="G3" s="352"/>
      <c r="H3" s="352"/>
      <c r="I3" s="353"/>
    </row>
    <row r="4" spans="2:9" s="2" customFormat="1" ht="18">
      <c r="B4" s="348" t="s">
        <v>62</v>
      </c>
      <c r="C4" s="349"/>
      <c r="D4" s="349"/>
      <c r="E4" s="349"/>
      <c r="F4" s="349"/>
      <c r="G4" s="349"/>
      <c r="H4" s="349"/>
      <c r="I4" s="350"/>
    </row>
    <row r="5" spans="2:9" s="2" customFormat="1" ht="18.600000000000001" thickBot="1">
      <c r="B5" s="345" t="s">
        <v>196</v>
      </c>
      <c r="C5" s="346"/>
      <c r="D5" s="346"/>
      <c r="E5" s="346"/>
      <c r="F5" s="346"/>
      <c r="G5" s="346"/>
      <c r="H5" s="346"/>
      <c r="I5" s="347"/>
    </row>
    <row r="6" spans="2:9" s="2" customFormat="1" ht="28.2" thickBot="1">
      <c r="B6" s="106" t="s">
        <v>1</v>
      </c>
      <c r="C6" s="107" t="s">
        <v>2</v>
      </c>
      <c r="D6" s="108" t="s">
        <v>11</v>
      </c>
      <c r="E6" s="107" t="s">
        <v>12</v>
      </c>
      <c r="F6" s="107" t="s">
        <v>13</v>
      </c>
      <c r="G6" s="107" t="s">
        <v>290</v>
      </c>
      <c r="H6" s="107" t="s">
        <v>14</v>
      </c>
      <c r="I6" s="109" t="s">
        <v>15</v>
      </c>
    </row>
    <row r="7" spans="2:9" s="2" customFormat="1" ht="15.6">
      <c r="B7" s="99">
        <v>1</v>
      </c>
      <c r="C7" s="100" t="s">
        <v>4</v>
      </c>
      <c r="D7" s="101"/>
      <c r="E7" s="102"/>
      <c r="F7" s="103"/>
      <c r="G7" s="103"/>
      <c r="H7" s="104"/>
      <c r="I7" s="105"/>
    </row>
    <row r="8" spans="2:9" s="2" customFormat="1" ht="26.4">
      <c r="B8" s="301" t="s">
        <v>5</v>
      </c>
      <c r="C8" s="302" t="s">
        <v>20</v>
      </c>
      <c r="D8" s="303" t="s">
        <v>19</v>
      </c>
      <c r="E8" s="304">
        <f>'MEMÓRIA CÁLCULO'!G8</f>
        <v>1</v>
      </c>
      <c r="F8" s="304">
        <v>781.25</v>
      </c>
      <c r="G8" s="304">
        <f>ROUND(F8*1.2215,2)</f>
        <v>954.3</v>
      </c>
      <c r="H8" s="304">
        <f>ROUND(G8*E8,2)</f>
        <v>954.3</v>
      </c>
      <c r="I8" s="305" t="s">
        <v>63</v>
      </c>
    </row>
    <row r="9" spans="2:9" s="2" customFormat="1" ht="13.2">
      <c r="B9" s="301" t="s">
        <v>6</v>
      </c>
      <c r="C9" s="8" t="s">
        <v>64</v>
      </c>
      <c r="D9" s="303" t="s">
        <v>59</v>
      </c>
      <c r="E9" s="304">
        <f>'MEMÓRIA CÁLCULO'!G9</f>
        <v>60</v>
      </c>
      <c r="F9" s="304">
        <v>126.58</v>
      </c>
      <c r="G9" s="304">
        <f>ROUND(F9*1.2215,2)</f>
        <v>154.62</v>
      </c>
      <c r="H9" s="304">
        <f>ROUND(G9*E9,2)</f>
        <v>9277.2000000000007</v>
      </c>
      <c r="I9" s="305">
        <v>90778</v>
      </c>
    </row>
    <row r="10" spans="2:9" s="2" customFormat="1" ht="13.2">
      <c r="B10" s="301" t="s">
        <v>18</v>
      </c>
      <c r="C10" s="302" t="s">
        <v>65</v>
      </c>
      <c r="D10" s="306" t="s">
        <v>19</v>
      </c>
      <c r="E10" s="304">
        <f>'MEMÓRIA CÁLCULO'!G10</f>
        <v>1</v>
      </c>
      <c r="F10" s="304">
        <v>11320.26</v>
      </c>
      <c r="G10" s="304">
        <f>ROUND(F10*1.2215,2)</f>
        <v>13827.7</v>
      </c>
      <c r="H10" s="304">
        <f>ROUND(G10*E10,2)</f>
        <v>13827.7</v>
      </c>
      <c r="I10" s="305">
        <v>93572</v>
      </c>
    </row>
    <row r="11" spans="2:9" s="2" customFormat="1" ht="13.2">
      <c r="B11" s="88"/>
      <c r="C11" s="61" t="s">
        <v>22</v>
      </c>
      <c r="D11" s="219"/>
      <c r="E11" s="218"/>
      <c r="F11" s="217"/>
      <c r="G11" s="217"/>
      <c r="H11" s="65">
        <f>SUM(H8:H10)</f>
        <v>24059.200000000001</v>
      </c>
      <c r="I11" s="220"/>
    </row>
    <row r="12" spans="2:9" s="2" customFormat="1" ht="6" customHeight="1">
      <c r="B12" s="221"/>
      <c r="C12" s="215"/>
      <c r="D12" s="214"/>
      <c r="E12" s="213"/>
      <c r="F12" s="6"/>
      <c r="G12" s="6"/>
      <c r="H12" s="212"/>
      <c r="I12" s="222"/>
    </row>
    <row r="13" spans="2:9" s="2" customFormat="1" ht="15.6">
      <c r="B13" s="86">
        <v>2</v>
      </c>
      <c r="C13" s="56" t="s">
        <v>69</v>
      </c>
      <c r="D13" s="57"/>
      <c r="E13" s="58"/>
      <c r="F13" s="59"/>
      <c r="G13" s="59"/>
      <c r="H13" s="60"/>
      <c r="I13" s="87"/>
    </row>
    <row r="14" spans="2:9" s="2" customFormat="1" ht="26.4">
      <c r="B14" s="301" t="s">
        <v>23</v>
      </c>
      <c r="C14" s="302" t="s">
        <v>89</v>
      </c>
      <c r="D14" s="303" t="s">
        <v>24</v>
      </c>
      <c r="E14" s="304">
        <f>'MEMÓRIA CÁLCULO'!G12</f>
        <v>18</v>
      </c>
      <c r="F14" s="304">
        <v>15.97</v>
      </c>
      <c r="G14" s="304">
        <f>ROUND(F14*1.2215,2)</f>
        <v>19.510000000000002</v>
      </c>
      <c r="H14" s="304">
        <f t="shared" ref="H14:H22" si="0">ROUND(G14*E14,2)</f>
        <v>351.18</v>
      </c>
      <c r="I14" s="305">
        <v>90099</v>
      </c>
    </row>
    <row r="15" spans="2:9" s="2" customFormat="1" ht="26.4">
      <c r="B15" s="301" t="s">
        <v>25</v>
      </c>
      <c r="C15" s="302" t="s">
        <v>90</v>
      </c>
      <c r="D15" s="303" t="s">
        <v>24</v>
      </c>
      <c r="E15" s="304">
        <f>ROUNDUP('MEMÓRIA CÁLCULO'!G13,0)</f>
        <v>4</v>
      </c>
      <c r="F15" s="304">
        <v>275.83</v>
      </c>
      <c r="G15" s="304">
        <f t="shared" ref="G15:G22" si="1">ROUND(F15*1.2215,2)</f>
        <v>336.93</v>
      </c>
      <c r="H15" s="304">
        <f t="shared" si="0"/>
        <v>1347.72</v>
      </c>
      <c r="I15" s="305">
        <v>101619</v>
      </c>
    </row>
    <row r="16" spans="2:9" s="2" customFormat="1" ht="52.8">
      <c r="B16" s="301" t="s">
        <v>26</v>
      </c>
      <c r="C16" s="302" t="s">
        <v>118</v>
      </c>
      <c r="D16" s="303" t="s">
        <v>24</v>
      </c>
      <c r="E16" s="304">
        <f>ROUNDUP('MEMÓRIA CÁLCULO'!G14,0)</f>
        <v>36</v>
      </c>
      <c r="F16" s="304">
        <v>12.04</v>
      </c>
      <c r="G16" s="304">
        <f t="shared" si="1"/>
        <v>14.71</v>
      </c>
      <c r="H16" s="304">
        <f t="shared" si="0"/>
        <v>529.55999999999995</v>
      </c>
      <c r="I16" s="307">
        <v>101266</v>
      </c>
    </row>
    <row r="17" spans="2:15" s="2" customFormat="1" ht="26.4">
      <c r="B17" s="301" t="s">
        <v>28</v>
      </c>
      <c r="C17" s="302" t="s">
        <v>88</v>
      </c>
      <c r="D17" s="303" t="s">
        <v>21</v>
      </c>
      <c r="E17" s="304">
        <f>'MEMÓRIA CÁLCULO'!G15</f>
        <v>36</v>
      </c>
      <c r="F17" s="304">
        <v>62.51</v>
      </c>
      <c r="G17" s="304">
        <f t="shared" si="1"/>
        <v>76.36</v>
      </c>
      <c r="H17" s="304">
        <f t="shared" si="0"/>
        <v>2748.96</v>
      </c>
      <c r="I17" s="305">
        <v>101585</v>
      </c>
    </row>
    <row r="18" spans="2:15" s="2" customFormat="1" ht="13.2">
      <c r="B18" s="301" t="s">
        <v>29</v>
      </c>
      <c r="C18" s="302" t="s">
        <v>151</v>
      </c>
      <c r="D18" s="303" t="s">
        <v>16</v>
      </c>
      <c r="E18" s="304">
        <f>'MEMÓRIA CÁLCULO'!G16</f>
        <v>1</v>
      </c>
      <c r="F18" s="304">
        <f>'COMPOSIÇÕES - NÃO DESONERADO'!G18</f>
        <v>10790.086499999999</v>
      </c>
      <c r="G18" s="304">
        <f t="shared" si="1"/>
        <v>13180.09</v>
      </c>
      <c r="H18" s="304">
        <f t="shared" si="0"/>
        <v>13180.09</v>
      </c>
      <c r="I18" s="305" t="s">
        <v>17</v>
      </c>
    </row>
    <row r="19" spans="2:15" s="2" customFormat="1" ht="26.4">
      <c r="B19" s="301" t="s">
        <v>30</v>
      </c>
      <c r="C19" s="302" t="s">
        <v>81</v>
      </c>
      <c r="D19" s="303" t="s">
        <v>24</v>
      </c>
      <c r="E19" s="304">
        <f>ROUNDUP('MEMÓRIA CÁLCULO'!G17,0)</f>
        <v>1</v>
      </c>
      <c r="F19" s="304">
        <v>192.18</v>
      </c>
      <c r="G19" s="304">
        <f t="shared" si="1"/>
        <v>234.75</v>
      </c>
      <c r="H19" s="304">
        <f t="shared" si="0"/>
        <v>234.75</v>
      </c>
      <c r="I19" s="307">
        <v>101624</v>
      </c>
    </row>
    <row r="20" spans="2:15" s="2" customFormat="1" ht="26.4">
      <c r="B20" s="301" t="s">
        <v>31</v>
      </c>
      <c r="C20" s="302" t="s">
        <v>83</v>
      </c>
      <c r="D20" s="303" t="s">
        <v>24</v>
      </c>
      <c r="E20" s="304">
        <f>ROUNDUP('MEMÓRIA CÁLCULO'!G18,1)</f>
        <v>0.5</v>
      </c>
      <c r="F20" s="304">
        <v>131.44</v>
      </c>
      <c r="G20" s="304">
        <f t="shared" si="1"/>
        <v>160.55000000000001</v>
      </c>
      <c r="H20" s="304">
        <f t="shared" si="0"/>
        <v>80.28</v>
      </c>
      <c r="I20" s="305">
        <v>104790</v>
      </c>
    </row>
    <row r="21" spans="2:15" s="2" customFormat="1" ht="26.4">
      <c r="B21" s="301" t="s">
        <v>32</v>
      </c>
      <c r="C21" s="302" t="s">
        <v>132</v>
      </c>
      <c r="D21" s="303" t="s">
        <v>27</v>
      </c>
      <c r="E21" s="304">
        <f>'MEMÓRIA CÁLCULO'!G19</f>
        <v>10</v>
      </c>
      <c r="F21" s="304">
        <v>19.84</v>
      </c>
      <c r="G21" s="304">
        <f t="shared" si="1"/>
        <v>24.23</v>
      </c>
      <c r="H21" s="304">
        <f t="shared" si="0"/>
        <v>242.3</v>
      </c>
      <c r="I21" s="305">
        <v>104797</v>
      </c>
    </row>
    <row r="22" spans="2:15" s="2" customFormat="1" ht="26.4">
      <c r="B22" s="301" t="s">
        <v>127</v>
      </c>
      <c r="C22" s="302" t="s">
        <v>87</v>
      </c>
      <c r="D22" s="303" t="s">
        <v>21</v>
      </c>
      <c r="E22" s="304">
        <f>'MEMÓRIA CÁLCULO'!G20</f>
        <v>3</v>
      </c>
      <c r="F22" s="304">
        <v>24.38</v>
      </c>
      <c r="G22" s="304">
        <f t="shared" si="1"/>
        <v>29.78</v>
      </c>
      <c r="H22" s="304">
        <f t="shared" si="0"/>
        <v>89.34</v>
      </c>
      <c r="I22" s="305">
        <v>97636</v>
      </c>
    </row>
    <row r="23" spans="2:15" s="2" customFormat="1" ht="13.2">
      <c r="B23" s="88"/>
      <c r="C23" s="11" t="s">
        <v>150</v>
      </c>
      <c r="D23" s="211"/>
      <c r="E23" s="210"/>
      <c r="F23" s="14"/>
      <c r="G23" s="14"/>
      <c r="H23" s="15">
        <f>SUM(H14:H22)</f>
        <v>18804.18</v>
      </c>
      <c r="I23" s="220"/>
      <c r="O23" s="216"/>
    </row>
    <row r="24" spans="2:15" s="2" customFormat="1" ht="6" customHeight="1">
      <c r="B24" s="221"/>
      <c r="C24" s="215"/>
      <c r="D24" s="214"/>
      <c r="E24" s="213"/>
      <c r="F24" s="6"/>
      <c r="G24" s="6"/>
      <c r="H24" s="212"/>
      <c r="I24" s="222"/>
    </row>
    <row r="25" spans="2:15" s="2" customFormat="1" ht="15.6">
      <c r="B25" s="86">
        <v>3</v>
      </c>
      <c r="C25" s="56" t="s">
        <v>72</v>
      </c>
      <c r="D25" s="57"/>
      <c r="E25" s="58"/>
      <c r="F25" s="59"/>
      <c r="G25" s="59"/>
      <c r="H25" s="60"/>
      <c r="I25" s="87"/>
    </row>
    <row r="26" spans="2:15" s="2" customFormat="1" ht="13.2">
      <c r="B26" s="301" t="s">
        <v>33</v>
      </c>
      <c r="C26" s="302" t="s">
        <v>175</v>
      </c>
      <c r="D26" s="303" t="s">
        <v>24</v>
      </c>
      <c r="E26" s="304">
        <f>ROUNDUP('MEMÓRIA CÁLCULO'!G22,0)</f>
        <v>1</v>
      </c>
      <c r="F26" s="304">
        <v>817.56</v>
      </c>
      <c r="G26" s="304">
        <f>ROUND(F26*1.2215,2)</f>
        <v>998.65</v>
      </c>
      <c r="H26" s="304">
        <f t="shared" ref="H26:H35" si="2">ROUND(G26*E26,2)</f>
        <v>998.65</v>
      </c>
      <c r="I26" s="305">
        <v>96616</v>
      </c>
    </row>
    <row r="27" spans="2:15" s="2" customFormat="1" ht="26.4">
      <c r="B27" s="301" t="s">
        <v>34</v>
      </c>
      <c r="C27" s="302" t="s">
        <v>183</v>
      </c>
      <c r="D27" s="303" t="s">
        <v>16</v>
      </c>
      <c r="E27" s="304">
        <f>ROUNDUP('MEMÓRIA CÁLCULO'!G23,0)</f>
        <v>2</v>
      </c>
      <c r="F27" s="304">
        <v>443.8</v>
      </c>
      <c r="G27" s="304">
        <f t="shared" ref="G27:G35" si="3">ROUND(F27*1.2215,2)</f>
        <v>542.1</v>
      </c>
      <c r="H27" s="304">
        <f t="shared" si="2"/>
        <v>1084.2</v>
      </c>
      <c r="I27" s="305">
        <v>97897</v>
      </c>
    </row>
    <row r="28" spans="2:15" s="2" customFormat="1" ht="26.4">
      <c r="B28" s="301" t="s">
        <v>35</v>
      </c>
      <c r="C28" s="302" t="s">
        <v>139</v>
      </c>
      <c r="D28" s="303" t="s">
        <v>27</v>
      </c>
      <c r="E28" s="304">
        <f>ROUNDUP('MEMÓRIA CÁLCULO'!G24,0)</f>
        <v>65</v>
      </c>
      <c r="F28" s="304">
        <v>122.86</v>
      </c>
      <c r="G28" s="304">
        <f t="shared" si="3"/>
        <v>150.07</v>
      </c>
      <c r="H28" s="304">
        <f t="shared" si="2"/>
        <v>9754.5499999999993</v>
      </c>
      <c r="I28" s="305">
        <v>103376</v>
      </c>
    </row>
    <row r="29" spans="2:15" s="2" customFormat="1" ht="26.4">
      <c r="B29" s="301" t="s">
        <v>36</v>
      </c>
      <c r="C29" s="302" t="s">
        <v>147</v>
      </c>
      <c r="D29" s="303" t="s">
        <v>27</v>
      </c>
      <c r="E29" s="304">
        <f>ROUNDUP('MEMÓRIA CÁLCULO'!G25,0)</f>
        <v>25</v>
      </c>
      <c r="F29" s="304">
        <v>48.12</v>
      </c>
      <c r="G29" s="304">
        <f t="shared" si="3"/>
        <v>58.78</v>
      </c>
      <c r="H29" s="304">
        <f t="shared" si="2"/>
        <v>1469.5</v>
      </c>
      <c r="I29" s="305">
        <v>90694</v>
      </c>
    </row>
    <row r="30" spans="2:15" s="2" customFormat="1" ht="26.4">
      <c r="B30" s="301" t="s">
        <v>122</v>
      </c>
      <c r="C30" s="302" t="s">
        <v>140</v>
      </c>
      <c r="D30" s="303" t="s">
        <v>16</v>
      </c>
      <c r="E30" s="304">
        <f>ROUNDUP('MEMÓRIA CÁLCULO'!G26,0)</f>
        <v>2</v>
      </c>
      <c r="F30" s="304">
        <v>747.53</v>
      </c>
      <c r="G30" s="304">
        <f t="shared" si="3"/>
        <v>913.11</v>
      </c>
      <c r="H30" s="304">
        <f t="shared" si="2"/>
        <v>1826.22</v>
      </c>
      <c r="I30" s="305">
        <v>99625</v>
      </c>
    </row>
    <row r="31" spans="2:15" s="2" customFormat="1" ht="13.2">
      <c r="B31" s="301" t="s">
        <v>70</v>
      </c>
      <c r="C31" s="302" t="s">
        <v>141</v>
      </c>
      <c r="D31" s="303" t="s">
        <v>16</v>
      </c>
      <c r="E31" s="304">
        <f>ROUNDUP('MEMÓRIA CÁLCULO'!G27,0)</f>
        <v>2</v>
      </c>
      <c r="F31" s="304">
        <v>421.15</v>
      </c>
      <c r="G31" s="304">
        <f t="shared" si="3"/>
        <v>514.42999999999995</v>
      </c>
      <c r="H31" s="304">
        <f t="shared" si="2"/>
        <v>1028.8599999999999</v>
      </c>
      <c r="I31" s="305">
        <v>94500</v>
      </c>
    </row>
    <row r="32" spans="2:15" s="2" customFormat="1" ht="26.4">
      <c r="B32" s="301" t="s">
        <v>71</v>
      </c>
      <c r="C32" s="302" t="s">
        <v>145</v>
      </c>
      <c r="D32" s="303" t="s">
        <v>16</v>
      </c>
      <c r="E32" s="304">
        <f>ROUNDUP('MEMÓRIA CÁLCULO'!G28,0)</f>
        <v>1</v>
      </c>
      <c r="F32" s="304">
        <v>935.72</v>
      </c>
      <c r="G32" s="304">
        <f t="shared" si="3"/>
        <v>1142.98</v>
      </c>
      <c r="H32" s="304">
        <f t="shared" si="2"/>
        <v>1142.98</v>
      </c>
      <c r="I32" s="305">
        <v>99257</v>
      </c>
    </row>
    <row r="33" spans="2:10" s="2" customFormat="1" ht="39.6">
      <c r="B33" s="301" t="s">
        <v>93</v>
      </c>
      <c r="C33" s="302" t="s">
        <v>68</v>
      </c>
      <c r="D33" s="303" t="s">
        <v>24</v>
      </c>
      <c r="E33" s="304">
        <f>ROUNDUP('MEMÓRIA CÁLCULO'!G29,0)</f>
        <v>9</v>
      </c>
      <c r="F33" s="304">
        <v>26.58</v>
      </c>
      <c r="G33" s="304">
        <f t="shared" si="3"/>
        <v>32.47</v>
      </c>
      <c r="H33" s="304">
        <f t="shared" si="2"/>
        <v>292.23</v>
      </c>
      <c r="I33" s="305">
        <v>93378</v>
      </c>
    </row>
    <row r="34" spans="2:10" s="2" customFormat="1" ht="13.2">
      <c r="B34" s="301" t="s">
        <v>123</v>
      </c>
      <c r="C34" s="302" t="s">
        <v>92</v>
      </c>
      <c r="D34" s="303" t="s">
        <v>24</v>
      </c>
      <c r="E34" s="304">
        <f>ROUNDUP('MEMÓRIA CÁLCULO'!G30,0)</f>
        <v>24</v>
      </c>
      <c r="F34" s="304">
        <v>95.88</v>
      </c>
      <c r="G34" s="304">
        <f t="shared" si="3"/>
        <v>117.12</v>
      </c>
      <c r="H34" s="304">
        <f t="shared" si="2"/>
        <v>2810.88</v>
      </c>
      <c r="I34" s="305">
        <v>104739</v>
      </c>
    </row>
    <row r="35" spans="2:10" s="2" customFormat="1" ht="39.6">
      <c r="B35" s="301" t="s">
        <v>124</v>
      </c>
      <c r="C35" s="302" t="s">
        <v>67</v>
      </c>
      <c r="D35" s="303" t="s">
        <v>24</v>
      </c>
      <c r="E35" s="304">
        <f>ROUNDUP('MEMÓRIA CÁLCULO'!G31,0)</f>
        <v>3</v>
      </c>
      <c r="F35" s="304">
        <v>19.350000000000001</v>
      </c>
      <c r="G35" s="304">
        <f t="shared" si="3"/>
        <v>23.64</v>
      </c>
      <c r="H35" s="304">
        <f t="shared" si="2"/>
        <v>70.92</v>
      </c>
      <c r="I35" s="305">
        <v>93369</v>
      </c>
    </row>
    <row r="36" spans="2:10" s="2" customFormat="1" ht="13.2">
      <c r="B36" s="88"/>
      <c r="C36" s="11" t="s">
        <v>73</v>
      </c>
      <c r="D36" s="211"/>
      <c r="E36" s="210"/>
      <c r="F36" s="14"/>
      <c r="G36" s="14"/>
      <c r="H36" s="15">
        <f>SUM(H26:H35)</f>
        <v>20478.989999999998</v>
      </c>
      <c r="I36" s="220"/>
    </row>
    <row r="37" spans="2:10" s="2" customFormat="1" ht="6" customHeight="1">
      <c r="B37" s="221"/>
      <c r="C37" s="215"/>
      <c r="D37" s="214"/>
      <c r="E37" s="213"/>
      <c r="F37" s="6"/>
      <c r="G37" s="6"/>
      <c r="H37" s="212"/>
      <c r="I37" s="222"/>
    </row>
    <row r="38" spans="2:10" s="2" customFormat="1" ht="15.6">
      <c r="B38" s="86">
        <v>4</v>
      </c>
      <c r="C38" s="266" t="s">
        <v>148</v>
      </c>
      <c r="D38" s="57"/>
      <c r="E38" s="58"/>
      <c r="F38" s="59"/>
      <c r="G38" s="59"/>
      <c r="H38" s="60"/>
      <c r="I38" s="87"/>
    </row>
    <row r="39" spans="2:10" s="2" customFormat="1" ht="26.4">
      <c r="B39" s="301" t="s">
        <v>37</v>
      </c>
      <c r="C39" s="302" t="s">
        <v>180</v>
      </c>
      <c r="D39" s="303" t="s">
        <v>21</v>
      </c>
      <c r="E39" s="304">
        <f>'MEMÓRIA CÁLCULO'!G33</f>
        <v>6.25</v>
      </c>
      <c r="F39" s="304">
        <v>196.51</v>
      </c>
      <c r="G39" s="304">
        <f>ROUND(F39*1.2215,2)</f>
        <v>240.04</v>
      </c>
      <c r="H39" s="304">
        <f>ROUND(G39*E39,2)</f>
        <v>1500.25</v>
      </c>
      <c r="I39" s="305">
        <v>103077</v>
      </c>
    </row>
    <row r="40" spans="2:10" s="2" customFormat="1" ht="26.4">
      <c r="B40" s="301" t="s">
        <v>38</v>
      </c>
      <c r="C40" s="302" t="s">
        <v>134</v>
      </c>
      <c r="D40" s="308" t="s">
        <v>27</v>
      </c>
      <c r="E40" s="304">
        <f>'MEMÓRIA CÁLCULO'!G34</f>
        <v>10</v>
      </c>
      <c r="F40" s="304">
        <f>'COMPOSIÇÕES - NÃO DESONERADO'!G43</f>
        <v>13.617141999999999</v>
      </c>
      <c r="G40" s="304">
        <f>ROUND(F40*1.2215,2)</f>
        <v>16.63</v>
      </c>
      <c r="H40" s="304">
        <f>ROUND(G40*E40,2)</f>
        <v>166.3</v>
      </c>
      <c r="I40" s="305" t="s">
        <v>181</v>
      </c>
    </row>
    <row r="41" spans="2:10" s="2" customFormat="1" ht="26.4">
      <c r="B41" s="301" t="s">
        <v>39</v>
      </c>
      <c r="C41" s="302" t="s">
        <v>125</v>
      </c>
      <c r="D41" s="303" t="s">
        <v>21</v>
      </c>
      <c r="E41" s="304">
        <f>'MEMÓRIA CÁLCULO'!G35</f>
        <v>4</v>
      </c>
      <c r="F41" s="304">
        <v>98.76</v>
      </c>
      <c r="G41" s="304">
        <f>ROUND(F41*1.2215,2)</f>
        <v>120.64</v>
      </c>
      <c r="H41" s="304">
        <f>ROUND(G41*E41,2)</f>
        <v>482.56</v>
      </c>
      <c r="I41" s="305">
        <v>94994</v>
      </c>
    </row>
    <row r="42" spans="2:10" s="2" customFormat="1" ht="13.2">
      <c r="B42" s="301" t="s">
        <v>40</v>
      </c>
      <c r="C42" s="302" t="s">
        <v>85</v>
      </c>
      <c r="D42" s="303" t="s">
        <v>21</v>
      </c>
      <c r="E42" s="304">
        <f>ROUNDUP('MEMÓRIA CÁLCULO'!G36,0)</f>
        <v>1</v>
      </c>
      <c r="F42" s="304">
        <v>349.71</v>
      </c>
      <c r="G42" s="304">
        <f>ROUND(F42*1.2215,2)</f>
        <v>427.17</v>
      </c>
      <c r="H42" s="304">
        <f>ROUND(G42*E42,2)</f>
        <v>427.17</v>
      </c>
      <c r="I42" s="305">
        <v>101731</v>
      </c>
    </row>
    <row r="43" spans="2:10" s="2" customFormat="1" ht="13.2">
      <c r="B43" s="301" t="s">
        <v>41</v>
      </c>
      <c r="C43" s="302" t="s">
        <v>149</v>
      </c>
      <c r="D43" s="303" t="s">
        <v>21</v>
      </c>
      <c r="E43" s="304">
        <f>ROUNDUP('MEMÓRIA CÁLCULO'!G37,0)</f>
        <v>30</v>
      </c>
      <c r="F43" s="304">
        <v>29.8</v>
      </c>
      <c r="G43" s="304">
        <f>ROUND(F43*1.2215,2)</f>
        <v>36.4</v>
      </c>
      <c r="H43" s="304">
        <f>ROUND(G43*E43,2)</f>
        <v>1092</v>
      </c>
      <c r="I43" s="305">
        <v>103946</v>
      </c>
    </row>
    <row r="44" spans="2:10" s="2" customFormat="1" ht="13.2">
      <c r="B44" s="88"/>
      <c r="C44" s="11" t="s">
        <v>80</v>
      </c>
      <c r="D44" s="211"/>
      <c r="E44" s="210"/>
      <c r="F44" s="14"/>
      <c r="G44" s="14"/>
      <c r="H44" s="55">
        <f>SUM(H39:H43)</f>
        <v>3668.28</v>
      </c>
      <c r="I44" s="220"/>
    </row>
    <row r="45" spans="2:10" ht="16.2" thickBot="1">
      <c r="B45" s="93"/>
      <c r="C45" s="94" t="s">
        <v>42</v>
      </c>
      <c r="D45" s="95" t="s">
        <v>43</v>
      </c>
      <c r="E45" s="96"/>
      <c r="F45" s="96"/>
      <c r="G45" s="96"/>
      <c r="H45" s="97">
        <f>ROUND(H11+H23+H36+H44,2)</f>
        <v>67010.649999999994</v>
      </c>
      <c r="I45" s="98"/>
    </row>
    <row r="46" spans="2:10" ht="21" customHeight="1">
      <c r="B46" s="358" t="s">
        <v>298</v>
      </c>
      <c r="C46" s="358"/>
      <c r="D46" s="358"/>
      <c r="E46" s="358"/>
      <c r="F46" s="358"/>
      <c r="G46" s="358"/>
      <c r="H46" s="358"/>
      <c r="I46" s="358"/>
    </row>
    <row r="47" spans="2:10" ht="21" customHeight="1">
      <c r="B47" s="357"/>
      <c r="C47" s="357"/>
      <c r="D47" s="357"/>
      <c r="E47" s="357"/>
      <c r="F47" s="357"/>
      <c r="G47" s="357"/>
      <c r="H47" s="357"/>
      <c r="I47" s="357"/>
      <c r="J47" s="20"/>
    </row>
    <row r="48" spans="2:10" ht="21" customHeight="1">
      <c r="B48" s="357"/>
      <c r="C48" s="357"/>
      <c r="D48" s="357"/>
      <c r="E48" s="357"/>
      <c r="F48" s="357"/>
      <c r="G48" s="357"/>
      <c r="H48" s="357"/>
      <c r="I48" s="357"/>
    </row>
    <row r="49" spans="2:10" ht="21" customHeight="1">
      <c r="B49" s="357"/>
      <c r="C49" s="357"/>
      <c r="D49" s="357"/>
      <c r="E49" s="357"/>
      <c r="F49" s="357"/>
      <c r="G49" s="357"/>
      <c r="H49" s="357"/>
      <c r="I49" s="357"/>
    </row>
    <row r="50" spans="2:10" ht="16.95" customHeight="1">
      <c r="B50" s="357" t="s">
        <v>45</v>
      </c>
      <c r="C50" s="357" t="s">
        <v>10</v>
      </c>
      <c r="D50" s="357"/>
      <c r="E50" s="357"/>
      <c r="F50" s="357"/>
      <c r="G50" s="357"/>
      <c r="H50" s="357"/>
      <c r="I50" s="357"/>
      <c r="J50" s="357"/>
    </row>
    <row r="51" spans="2:10" ht="30.6" customHeight="1">
      <c r="B51" s="358" t="s">
        <v>46</v>
      </c>
      <c r="C51" s="358" t="s">
        <v>44</v>
      </c>
      <c r="D51" s="358"/>
      <c r="E51" s="358"/>
      <c r="F51" s="358"/>
      <c r="G51" s="358"/>
      <c r="H51" s="358"/>
      <c r="I51" s="358"/>
    </row>
    <row r="52" spans="2:10" ht="25.5" hidden="1" customHeight="1">
      <c r="B52" s="224"/>
      <c r="C52" s="224"/>
      <c r="D52" s="224"/>
      <c r="E52" s="224"/>
      <c r="F52" s="224"/>
      <c r="G52" s="224"/>
      <c r="H52" s="224"/>
      <c r="I52" s="224"/>
      <c r="J52" s="224"/>
    </row>
    <row r="53" spans="2:10" ht="16.95" hidden="1" customHeight="1">
      <c r="B53" s="223"/>
      <c r="C53" s="223"/>
      <c r="D53" s="223"/>
      <c r="E53" s="223"/>
      <c r="F53" s="223"/>
      <c r="G53" s="223"/>
      <c r="H53" s="223"/>
      <c r="I53" s="223"/>
    </row>
    <row r="54" spans="2:10" ht="38.1" hidden="1" customHeight="1"/>
    <row r="55" spans="2:10" ht="19.5" hidden="1" customHeight="1">
      <c r="B55" s="364"/>
      <c r="C55" s="364"/>
      <c r="D55" s="364"/>
      <c r="E55" s="364"/>
      <c r="F55" s="364"/>
      <c r="G55" s="364"/>
      <c r="H55" s="364"/>
      <c r="I55" s="364"/>
    </row>
    <row r="56" spans="2:10" ht="15.75" hidden="1" customHeight="1">
      <c r="B56" s="363"/>
      <c r="C56" s="363"/>
      <c r="D56" s="363"/>
      <c r="E56" s="363"/>
      <c r="F56" s="363"/>
      <c r="G56" s="363"/>
      <c r="H56" s="363"/>
      <c r="I56" s="363"/>
    </row>
    <row r="57" spans="2:10" ht="33.6" hidden="1" customHeight="1"/>
    <row r="58" spans="2:10" ht="25.35" hidden="1" customHeight="1">
      <c r="B58" s="364"/>
      <c r="C58" s="364"/>
      <c r="D58" s="364"/>
      <c r="E58" s="364"/>
      <c r="F58" s="364"/>
      <c r="G58" s="364"/>
      <c r="H58" s="364"/>
      <c r="I58" s="364"/>
    </row>
    <row r="59" spans="2:10" ht="19.5" hidden="1" customHeight="1">
      <c r="B59" s="363"/>
      <c r="C59" s="363"/>
      <c r="D59" s="363"/>
      <c r="E59" s="363"/>
      <c r="F59" s="363"/>
      <c r="G59" s="363"/>
      <c r="H59" s="363"/>
      <c r="I59" s="363"/>
    </row>
    <row r="64" spans="2:10" ht="15.75" customHeight="1"/>
    <row r="100" ht="31.5" hidden="1" customHeight="1"/>
    <row r="101" ht="31.5" hidden="1" customHeight="1"/>
    <row r="102" ht="19.5" hidden="1" customHeight="1"/>
    <row r="103" ht="30" hidden="1" customHeight="1"/>
    <row r="104" ht="30" hidden="1" customHeight="1"/>
    <row r="105" ht="31.95" hidden="1" customHeight="1"/>
    <row r="106" ht="19.5" hidden="1" customHeight="1"/>
    <row r="107" ht="19.5" hidden="1" customHeight="1"/>
    <row r="108" ht="19.5" hidden="1" customHeight="1"/>
    <row r="109" ht="19.5" hidden="1" customHeight="1"/>
    <row r="110" ht="26.85" hidden="1" customHeight="1"/>
    <row r="111" ht="19.5" hidden="1" customHeight="1"/>
    <row r="112" ht="24" hidden="1" customHeight="1"/>
    <row r="128" ht="15.75" customHeight="1"/>
    <row r="65411" ht="12.75" hidden="1" customHeight="1"/>
    <row r="65412" ht="12.75" hidden="1" customHeight="1"/>
    <row r="65413" ht="12.75" hidden="1" customHeight="1"/>
    <row r="65414" ht="12.75" hidden="1" customHeight="1"/>
    <row r="65415" ht="12.75" hidden="1" customHeight="1"/>
    <row r="65416" ht="12.75" hidden="1" customHeight="1"/>
    <row r="65417" ht="12.75" hidden="1" customHeight="1"/>
    <row r="65418" ht="12.75" hidden="1" customHeight="1"/>
    <row r="65419" ht="12.75" hidden="1" customHeight="1"/>
    <row r="65420" ht="12.75" hidden="1" customHeight="1"/>
    <row r="65421" ht="12.75" hidden="1" customHeight="1"/>
    <row r="65422" ht="12.75" hidden="1" customHeight="1"/>
    <row r="65423" ht="12.75" hidden="1" customHeight="1"/>
    <row r="65424" ht="12.75" hidden="1" customHeight="1"/>
    <row r="65425" ht="12.75" hidden="1" customHeight="1"/>
    <row r="65426" ht="15.75" customHeight="1"/>
  </sheetData>
  <sheetProtection selectLockedCells="1" selectUnlockedCells="1"/>
  <mergeCells count="12">
    <mergeCell ref="B47:I49"/>
    <mergeCell ref="B50:J50"/>
    <mergeCell ref="B2:I2"/>
    <mergeCell ref="B3:I3"/>
    <mergeCell ref="B4:I4"/>
    <mergeCell ref="B5:I5"/>
    <mergeCell ref="B46:I46"/>
    <mergeCell ref="B59:I59"/>
    <mergeCell ref="B51:I51"/>
    <mergeCell ref="B55:I55"/>
    <mergeCell ref="B56:I56"/>
    <mergeCell ref="B58:I58"/>
  </mergeCells>
  <pageMargins left="0.60347222222222219" right="0.4548611111111111" top="0.51944444444444449" bottom="0.65833333333333333" header="0.51180555555555551" footer="0.51180555555555551"/>
  <pageSetup paperSize="9" scale="61" firstPageNumber="0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M44"/>
  <sheetViews>
    <sheetView showGridLines="0" topLeftCell="A19" workbookViewId="0">
      <selection activeCell="B6" sqref="B6"/>
    </sheetView>
  </sheetViews>
  <sheetFormatPr defaultColWidth="0" defaultRowHeight="13.2" zeroHeight="1"/>
  <cols>
    <col min="1" max="1" width="1.109375" customWidth="1"/>
    <col min="2" max="2" width="8.5546875" bestFit="1" customWidth="1"/>
    <col min="3" max="3" width="95.109375" bestFit="1" customWidth="1"/>
    <col min="4" max="4" width="8.88671875" bestFit="1" customWidth="1"/>
    <col min="5" max="5" width="11.33203125" bestFit="1" customWidth="1"/>
    <col min="6" max="6" width="6.77734375" bestFit="1" customWidth="1"/>
    <col min="7" max="7" width="11.6640625" bestFit="1" customWidth="1"/>
    <col min="8" max="8" width="1.109375" customWidth="1"/>
  </cols>
  <sheetData>
    <row r="1" spans="2:13" ht="6" customHeight="1" thickBot="1"/>
    <row r="2" spans="2:13" ht="30" customHeight="1">
      <c r="B2" s="325" t="s">
        <v>188</v>
      </c>
      <c r="C2" s="354"/>
      <c r="D2" s="354"/>
      <c r="E2" s="354"/>
      <c r="F2" s="354"/>
      <c r="G2" s="326"/>
    </row>
    <row r="3" spans="2:13" ht="24" customHeight="1">
      <c r="B3" s="351" t="s">
        <v>189</v>
      </c>
      <c r="C3" s="352"/>
      <c r="D3" s="352"/>
      <c r="E3" s="352"/>
      <c r="F3" s="352"/>
      <c r="G3" s="353"/>
      <c r="H3" s="225"/>
      <c r="I3" s="225"/>
      <c r="J3" s="225"/>
      <c r="K3" s="225"/>
      <c r="L3" s="225"/>
      <c r="M3" s="225"/>
    </row>
    <row r="4" spans="2:13" ht="18" customHeight="1">
      <c r="B4" s="348" t="s">
        <v>62</v>
      </c>
      <c r="C4" s="349"/>
      <c r="D4" s="349"/>
      <c r="E4" s="349"/>
      <c r="F4" s="349"/>
      <c r="G4" s="350"/>
      <c r="H4" s="225"/>
      <c r="I4" s="225"/>
      <c r="J4" s="225"/>
      <c r="K4" s="225"/>
      <c r="L4" s="225"/>
      <c r="M4" s="225"/>
    </row>
    <row r="5" spans="2:13" ht="18" customHeight="1" thickBot="1">
      <c r="B5" s="345" t="s">
        <v>197</v>
      </c>
      <c r="C5" s="346"/>
      <c r="D5" s="346"/>
      <c r="E5" s="346"/>
      <c r="F5" s="346"/>
      <c r="G5" s="347"/>
    </row>
    <row r="6" spans="2:13" ht="15.6">
      <c r="B6" s="193" t="s">
        <v>17</v>
      </c>
      <c r="C6" s="194" t="s">
        <v>151</v>
      </c>
      <c r="D6" s="195" t="s">
        <v>16</v>
      </c>
      <c r="E6" s="196"/>
      <c r="F6" s="197"/>
      <c r="G6" s="198"/>
    </row>
    <row r="7" spans="2:13" ht="28.8">
      <c r="B7" s="186" t="s">
        <v>53</v>
      </c>
      <c r="C7" s="37" t="s">
        <v>54</v>
      </c>
      <c r="D7" s="36" t="s">
        <v>55</v>
      </c>
      <c r="E7" s="38" t="s">
        <v>56</v>
      </c>
      <c r="F7" s="39" t="s">
        <v>57</v>
      </c>
      <c r="G7" s="187" t="s">
        <v>58</v>
      </c>
    </row>
    <row r="8" spans="2:13" ht="14.4">
      <c r="B8" s="309" t="s">
        <v>152</v>
      </c>
      <c r="C8" s="310" t="s">
        <v>153</v>
      </c>
      <c r="D8" s="311" t="s">
        <v>16</v>
      </c>
      <c r="E8" s="283">
        <v>15.83</v>
      </c>
      <c r="F8" s="284">
        <v>15</v>
      </c>
      <c r="G8" s="285">
        <f t="shared" ref="G8:G17" si="0">E8*F8</f>
        <v>237.45</v>
      </c>
    </row>
    <row r="9" spans="2:13" ht="14.4">
      <c r="B9" s="309" t="s">
        <v>161</v>
      </c>
      <c r="C9" s="312" t="s">
        <v>162</v>
      </c>
      <c r="D9" s="311" t="s">
        <v>16</v>
      </c>
      <c r="E9" s="287">
        <v>13.38</v>
      </c>
      <c r="F9" s="284">
        <v>3</v>
      </c>
      <c r="G9" s="285">
        <f t="shared" si="0"/>
        <v>40.14</v>
      </c>
    </row>
    <row r="10" spans="2:13" ht="14.4">
      <c r="B10" s="309" t="s">
        <v>159</v>
      </c>
      <c r="C10" s="313" t="s">
        <v>160</v>
      </c>
      <c r="D10" s="314" t="s">
        <v>16</v>
      </c>
      <c r="E10" s="315">
        <v>9.89</v>
      </c>
      <c r="F10" s="316">
        <v>1</v>
      </c>
      <c r="G10" s="285">
        <f t="shared" si="0"/>
        <v>9.89</v>
      </c>
    </row>
    <row r="11" spans="2:13" ht="14.4">
      <c r="B11" s="309" t="s">
        <v>163</v>
      </c>
      <c r="C11" s="313" t="s">
        <v>164</v>
      </c>
      <c r="D11" s="314" t="s">
        <v>16</v>
      </c>
      <c r="E11" s="315">
        <v>78.3</v>
      </c>
      <c r="F11" s="316">
        <v>1</v>
      </c>
      <c r="G11" s="285">
        <f t="shared" si="0"/>
        <v>78.3</v>
      </c>
    </row>
    <row r="12" spans="2:13" ht="14.4">
      <c r="B12" s="309" t="s">
        <v>61</v>
      </c>
      <c r="C12" s="313" t="s">
        <v>156</v>
      </c>
      <c r="D12" s="314" t="s">
        <v>16</v>
      </c>
      <c r="E12" s="315">
        <f>G26</f>
        <v>113.854</v>
      </c>
      <c r="F12" s="316">
        <v>25</v>
      </c>
      <c r="G12" s="285">
        <f t="shared" si="0"/>
        <v>2846.35</v>
      </c>
    </row>
    <row r="13" spans="2:13" ht="14.4">
      <c r="B13" s="309" t="s">
        <v>133</v>
      </c>
      <c r="C13" s="313" t="s">
        <v>165</v>
      </c>
      <c r="D13" s="314" t="s">
        <v>27</v>
      </c>
      <c r="E13" s="315">
        <f>G35</f>
        <v>22.267251999999999</v>
      </c>
      <c r="F13" s="316">
        <v>125</v>
      </c>
      <c r="G13" s="285">
        <f t="shared" si="0"/>
        <v>2783.4065000000001</v>
      </c>
    </row>
    <row r="14" spans="2:13" ht="28.8">
      <c r="B14" s="309">
        <v>90650</v>
      </c>
      <c r="C14" s="317" t="s">
        <v>172</v>
      </c>
      <c r="D14" s="314" t="s">
        <v>168</v>
      </c>
      <c r="E14" s="315">
        <v>11.05</v>
      </c>
      <c r="F14" s="318">
        <v>240</v>
      </c>
      <c r="G14" s="285">
        <f t="shared" si="0"/>
        <v>2652</v>
      </c>
    </row>
    <row r="15" spans="2:13" ht="28.8">
      <c r="B15" s="309">
        <v>104185</v>
      </c>
      <c r="C15" s="317" t="s">
        <v>173</v>
      </c>
      <c r="D15" s="314" t="s">
        <v>16</v>
      </c>
      <c r="E15" s="315">
        <v>26.15</v>
      </c>
      <c r="F15" s="318">
        <v>1</v>
      </c>
      <c r="G15" s="285">
        <f t="shared" si="0"/>
        <v>26.15</v>
      </c>
    </row>
    <row r="16" spans="2:13" ht="14.4">
      <c r="B16" s="309">
        <v>88267</v>
      </c>
      <c r="C16" s="317" t="s">
        <v>170</v>
      </c>
      <c r="D16" s="314" t="s">
        <v>131</v>
      </c>
      <c r="E16" s="315">
        <v>29.16</v>
      </c>
      <c r="F16" s="318">
        <v>40</v>
      </c>
      <c r="G16" s="285">
        <f t="shared" si="0"/>
        <v>1166.4000000000001</v>
      </c>
    </row>
    <row r="17" spans="2:10" ht="14.4">
      <c r="B17" s="309">
        <v>88248</v>
      </c>
      <c r="C17" s="317" t="s">
        <v>174</v>
      </c>
      <c r="D17" s="314" t="s">
        <v>131</v>
      </c>
      <c r="E17" s="315">
        <v>23.75</v>
      </c>
      <c r="F17" s="318">
        <v>40</v>
      </c>
      <c r="G17" s="285">
        <f t="shared" si="0"/>
        <v>950</v>
      </c>
    </row>
    <row r="18" spans="2:10" ht="14.4">
      <c r="B18" s="361" t="s">
        <v>60</v>
      </c>
      <c r="C18" s="362"/>
      <c r="D18" s="362"/>
      <c r="E18" s="362"/>
      <c r="F18" s="362"/>
      <c r="G18" s="188">
        <f>SUM(G8:G17)</f>
        <v>10790.086499999999</v>
      </c>
    </row>
    <row r="19" spans="2:10" ht="6" customHeight="1">
      <c r="B19" s="189"/>
      <c r="C19" s="190"/>
      <c r="D19" s="190"/>
      <c r="E19" s="190"/>
      <c r="F19" s="190"/>
      <c r="G19" s="191"/>
    </row>
    <row r="20" spans="2:10" ht="15.6">
      <c r="B20" s="199" t="s">
        <v>61</v>
      </c>
      <c r="C20" s="207" t="s">
        <v>156</v>
      </c>
      <c r="D20" s="200" t="s">
        <v>16</v>
      </c>
      <c r="E20" s="201"/>
      <c r="F20" s="202"/>
      <c r="G20" s="203"/>
    </row>
    <row r="21" spans="2:10" ht="28.8">
      <c r="B21" s="186" t="s">
        <v>53</v>
      </c>
      <c r="C21" s="37" t="s">
        <v>54</v>
      </c>
      <c r="D21" s="36" t="s">
        <v>55</v>
      </c>
      <c r="E21" s="38" t="s">
        <v>56</v>
      </c>
      <c r="F21" s="39" t="s">
        <v>57</v>
      </c>
      <c r="G21" s="187" t="s">
        <v>58</v>
      </c>
    </row>
    <row r="22" spans="2:10" ht="14.4">
      <c r="B22" s="319" t="s">
        <v>152</v>
      </c>
      <c r="C22" s="310" t="s">
        <v>153</v>
      </c>
      <c r="D22" s="320" t="s">
        <v>27</v>
      </c>
      <c r="E22" s="283">
        <v>15.83</v>
      </c>
      <c r="F22" s="295">
        <v>6</v>
      </c>
      <c r="G22" s="296">
        <f>E22*F22</f>
        <v>94.98</v>
      </c>
    </row>
    <row r="23" spans="2:10" ht="14.4">
      <c r="B23" s="321" t="s">
        <v>154</v>
      </c>
      <c r="C23" s="313" t="s">
        <v>155</v>
      </c>
      <c r="D23" s="314" t="s">
        <v>21</v>
      </c>
      <c r="E23" s="315">
        <v>8.52</v>
      </c>
      <c r="F23" s="316">
        <v>0.2</v>
      </c>
      <c r="G23" s="322">
        <f>E23*F23</f>
        <v>1.704</v>
      </c>
      <c r="H23" s="40"/>
      <c r="I23" s="41"/>
      <c r="J23" s="41"/>
    </row>
    <row r="24" spans="2:10" ht="14.4">
      <c r="B24" s="321" t="s">
        <v>157</v>
      </c>
      <c r="C24" s="313" t="s">
        <v>158</v>
      </c>
      <c r="D24" s="314" t="s">
        <v>16</v>
      </c>
      <c r="E24" s="315">
        <v>7.28</v>
      </c>
      <c r="F24" s="316">
        <v>1</v>
      </c>
      <c r="G24" s="322">
        <f>E24*F24</f>
        <v>7.28</v>
      </c>
      <c r="H24" s="40"/>
      <c r="I24" s="41"/>
      <c r="J24" s="41"/>
    </row>
    <row r="25" spans="2:10" ht="14.4">
      <c r="B25" s="321" t="s">
        <v>159</v>
      </c>
      <c r="C25" s="313" t="s">
        <v>160</v>
      </c>
      <c r="D25" s="314" t="s">
        <v>16</v>
      </c>
      <c r="E25" s="315">
        <v>9.89</v>
      </c>
      <c r="F25" s="316">
        <v>1</v>
      </c>
      <c r="G25" s="322">
        <f>E25*F25</f>
        <v>9.89</v>
      </c>
      <c r="H25" s="40"/>
      <c r="I25" s="41"/>
      <c r="J25" s="41"/>
    </row>
    <row r="26" spans="2:10" ht="14.4">
      <c r="B26" s="361" t="s">
        <v>60</v>
      </c>
      <c r="C26" s="362"/>
      <c r="D26" s="362"/>
      <c r="E26" s="362"/>
      <c r="F26" s="362"/>
      <c r="G26" s="188">
        <f>SUM(G22:G25)</f>
        <v>113.854</v>
      </c>
      <c r="H26" s="40"/>
      <c r="I26" s="41"/>
      <c r="J26" s="41"/>
    </row>
    <row r="27" spans="2:10" ht="6" customHeight="1">
      <c r="B27" s="189"/>
      <c r="C27" s="190"/>
      <c r="D27" s="190"/>
      <c r="E27" s="190"/>
      <c r="F27" s="190"/>
      <c r="G27" s="191"/>
      <c r="H27" s="40"/>
      <c r="I27" s="41"/>
      <c r="J27" s="41"/>
    </row>
    <row r="28" spans="2:10" ht="15.6">
      <c r="B28" s="199" t="s">
        <v>133</v>
      </c>
      <c r="C28" s="207" t="s">
        <v>165</v>
      </c>
      <c r="D28" s="200" t="s">
        <v>27</v>
      </c>
      <c r="E28" s="201"/>
      <c r="F28" s="202"/>
      <c r="G28" s="203"/>
    </row>
    <row r="29" spans="2:10" ht="28.8">
      <c r="B29" s="186" t="s">
        <v>53</v>
      </c>
      <c r="C29" s="37" t="s">
        <v>54</v>
      </c>
      <c r="D29" s="36" t="s">
        <v>55</v>
      </c>
      <c r="E29" s="38" t="s">
        <v>56</v>
      </c>
      <c r="F29" s="39" t="s">
        <v>57</v>
      </c>
      <c r="G29" s="187" t="s">
        <v>58</v>
      </c>
    </row>
    <row r="30" spans="2:10" ht="14.4">
      <c r="B30" s="319">
        <v>90625</v>
      </c>
      <c r="C30" s="310" t="s">
        <v>166</v>
      </c>
      <c r="D30" s="320" t="s">
        <v>168</v>
      </c>
      <c r="E30" s="283">
        <v>9.1199999999999992</v>
      </c>
      <c r="F30" s="298">
        <v>7.9100000000000004E-2</v>
      </c>
      <c r="G30" s="296">
        <f>E30*F30</f>
        <v>0.72139199999999992</v>
      </c>
    </row>
    <row r="31" spans="2:10" ht="14.4">
      <c r="B31" s="319">
        <v>90626</v>
      </c>
      <c r="C31" s="310" t="s">
        <v>167</v>
      </c>
      <c r="D31" s="320" t="s">
        <v>169</v>
      </c>
      <c r="E31" s="283">
        <v>3.1</v>
      </c>
      <c r="F31" s="298">
        <v>5.6399999999999999E-2</v>
      </c>
      <c r="G31" s="296">
        <f>E31*F31</f>
        <v>0.17484</v>
      </c>
    </row>
    <row r="32" spans="2:10" ht="14.4">
      <c r="B32" s="321">
        <v>90776</v>
      </c>
      <c r="C32" s="313" t="s">
        <v>171</v>
      </c>
      <c r="D32" s="314" t="s">
        <v>131</v>
      </c>
      <c r="E32" s="315">
        <v>64.67</v>
      </c>
      <c r="F32" s="323">
        <v>0.1356</v>
      </c>
      <c r="G32" s="322">
        <f>E32*F32</f>
        <v>8.7692519999999998</v>
      </c>
    </row>
    <row r="33" spans="2:7" ht="14.4">
      <c r="B33" s="321">
        <v>88316</v>
      </c>
      <c r="C33" s="313" t="s">
        <v>130</v>
      </c>
      <c r="D33" s="314" t="s">
        <v>131</v>
      </c>
      <c r="E33" s="315">
        <v>23.08</v>
      </c>
      <c r="F33" s="323">
        <v>0.40670000000000001</v>
      </c>
      <c r="G33" s="322">
        <f>E33*F33</f>
        <v>9.3866359999999993</v>
      </c>
    </row>
    <row r="34" spans="2:7" ht="14.4">
      <c r="B34" s="321">
        <v>90778</v>
      </c>
      <c r="C34" s="324" t="s">
        <v>64</v>
      </c>
      <c r="D34" s="314" t="s">
        <v>131</v>
      </c>
      <c r="E34" s="315">
        <v>126.58</v>
      </c>
      <c r="F34" s="323">
        <v>2.5399999999999999E-2</v>
      </c>
      <c r="G34" s="322">
        <f>E34*F34</f>
        <v>3.2151319999999997</v>
      </c>
    </row>
    <row r="35" spans="2:7" ht="14.4">
      <c r="B35" s="361" t="s">
        <v>60</v>
      </c>
      <c r="C35" s="362"/>
      <c r="D35" s="362"/>
      <c r="E35" s="362"/>
      <c r="F35" s="362"/>
      <c r="G35" s="188">
        <f>SUM(G30:G34)</f>
        <v>22.267251999999999</v>
      </c>
    </row>
    <row r="36" spans="2:7" ht="6" customHeight="1">
      <c r="B36" s="189"/>
      <c r="C36" s="190"/>
      <c r="D36" s="190"/>
      <c r="E36" s="190"/>
      <c r="F36" s="190"/>
      <c r="G36" s="191"/>
    </row>
    <row r="37" spans="2:7" ht="15.6">
      <c r="B37" s="199" t="s">
        <v>181</v>
      </c>
      <c r="C37" s="207" t="s">
        <v>134</v>
      </c>
      <c r="D37" s="200" t="s">
        <v>27</v>
      </c>
      <c r="E37" s="201"/>
      <c r="F37" s="202"/>
      <c r="G37" s="203"/>
    </row>
    <row r="38" spans="2:7" ht="28.8">
      <c r="B38" s="186" t="s">
        <v>53</v>
      </c>
      <c r="C38" s="37" t="s">
        <v>54</v>
      </c>
      <c r="D38" s="36" t="s">
        <v>55</v>
      </c>
      <c r="E38" s="38" t="s">
        <v>56</v>
      </c>
      <c r="F38" s="39" t="s">
        <v>57</v>
      </c>
      <c r="G38" s="187" t="s">
        <v>58</v>
      </c>
    </row>
    <row r="39" spans="2:7" ht="14.4">
      <c r="B39" s="319" t="s">
        <v>135</v>
      </c>
      <c r="C39" s="310" t="s">
        <v>136</v>
      </c>
      <c r="D39" s="320" t="s">
        <v>24</v>
      </c>
      <c r="E39" s="283">
        <v>93</v>
      </c>
      <c r="F39" s="298">
        <v>6.6E-3</v>
      </c>
      <c r="G39" s="296">
        <f>E39*F39</f>
        <v>0.61380000000000001</v>
      </c>
    </row>
    <row r="40" spans="2:7" ht="14.4">
      <c r="B40" s="319">
        <v>88629</v>
      </c>
      <c r="C40" s="310" t="s">
        <v>137</v>
      </c>
      <c r="D40" s="320" t="s">
        <v>24</v>
      </c>
      <c r="E40" s="283">
        <v>717.47</v>
      </c>
      <c r="F40" s="298">
        <v>1.8E-3</v>
      </c>
      <c r="G40" s="296">
        <f>E40*F40</f>
        <v>1.2914460000000001</v>
      </c>
    </row>
    <row r="41" spans="2:7" ht="14.4">
      <c r="B41" s="321">
        <v>88309</v>
      </c>
      <c r="C41" s="313" t="s">
        <v>129</v>
      </c>
      <c r="D41" s="314" t="s">
        <v>131</v>
      </c>
      <c r="E41" s="315">
        <v>27.93</v>
      </c>
      <c r="F41" s="323">
        <v>0.2296</v>
      </c>
      <c r="G41" s="322">
        <f>E41*F41</f>
        <v>6.4127279999999995</v>
      </c>
    </row>
    <row r="42" spans="2:7" ht="14.4">
      <c r="B42" s="321">
        <v>88316</v>
      </c>
      <c r="C42" s="324" t="s">
        <v>130</v>
      </c>
      <c r="D42" s="314" t="s">
        <v>131</v>
      </c>
      <c r="E42" s="315">
        <v>23.08</v>
      </c>
      <c r="F42" s="323">
        <v>0.2296</v>
      </c>
      <c r="G42" s="322">
        <f>E42*F42</f>
        <v>5.2991679999999999</v>
      </c>
    </row>
    <row r="43" spans="2:7" ht="15" thickBot="1">
      <c r="B43" s="359" t="s">
        <v>60</v>
      </c>
      <c r="C43" s="360"/>
      <c r="D43" s="360"/>
      <c r="E43" s="360"/>
      <c r="F43" s="360"/>
      <c r="G43" s="192">
        <f>SUM(G39:G42)</f>
        <v>13.617141999999999</v>
      </c>
    </row>
    <row r="44" spans="2:7" ht="6" customHeight="1"/>
  </sheetData>
  <sheetProtection selectLockedCells="1" selectUnlockedCells="1"/>
  <mergeCells count="8">
    <mergeCell ref="B43:F43"/>
    <mergeCell ref="B2:G2"/>
    <mergeCell ref="B3:G3"/>
    <mergeCell ref="B4:G4"/>
    <mergeCell ref="B18:F18"/>
    <mergeCell ref="B26:F26"/>
    <mergeCell ref="B35:F35"/>
    <mergeCell ref="B5:G5"/>
  </mergeCells>
  <pageMargins left="0.78749999999999998" right="0.78749999999999998" top="0.58958333333333335" bottom="0.64444444444444438" header="0.32430555555555557" footer="0.37916666666666665"/>
  <pageSetup paperSize="9" scale="66" firstPageNumber="0" orientation="portrait" horizontalDpi="300" verticalDpi="300"/>
  <headerFooter alignWithMargins="0">
    <oddHeader>&amp;C&amp;"Times New Roman,Normal"&amp;12&amp;A</oddHeader>
    <oddFooter>&amp;C&amp;"Times New Roman,Normal"&amp;12Página &amp;P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F9"/>
  <sheetViews>
    <sheetView showGridLines="0" workbookViewId="0">
      <selection activeCell="D8" sqref="D8"/>
    </sheetView>
  </sheetViews>
  <sheetFormatPr defaultColWidth="0" defaultRowHeight="13.2" zeroHeight="1"/>
  <cols>
    <col min="1" max="1" width="1.109375" customWidth="1"/>
    <col min="2" max="2" width="14.44140625" customWidth="1"/>
    <col min="3" max="3" width="12.21875" customWidth="1"/>
    <col min="4" max="4" width="14.21875" bestFit="1" customWidth="1"/>
    <col min="5" max="5" width="10" customWidth="1"/>
    <col min="6" max="6" width="16.6640625" customWidth="1"/>
    <col min="7" max="7" width="1.109375" customWidth="1"/>
  </cols>
  <sheetData>
    <row r="1" spans="2:6" ht="6" customHeight="1" thickBot="1"/>
    <row r="2" spans="2:6" ht="21">
      <c r="B2" s="371" t="s">
        <v>188</v>
      </c>
      <c r="C2" s="372"/>
      <c r="D2" s="372"/>
      <c r="E2" s="372"/>
      <c r="F2" s="373"/>
    </row>
    <row r="3" spans="2:6" ht="18">
      <c r="B3" s="374" t="s">
        <v>189</v>
      </c>
      <c r="C3" s="375"/>
      <c r="D3" s="375"/>
      <c r="E3" s="375"/>
      <c r="F3" s="376"/>
    </row>
    <row r="4" spans="2:6" ht="15.6">
      <c r="B4" s="377" t="s">
        <v>62</v>
      </c>
      <c r="C4" s="378"/>
      <c r="D4" s="378"/>
      <c r="E4" s="378"/>
      <c r="F4" s="379"/>
    </row>
    <row r="5" spans="2:6" ht="16.2" thickBot="1">
      <c r="B5" s="380" t="s">
        <v>291</v>
      </c>
      <c r="C5" s="381"/>
      <c r="D5" s="381"/>
      <c r="E5" s="381"/>
      <c r="F5" s="382"/>
    </row>
    <row r="6" spans="2:6" ht="15.6">
      <c r="B6" s="383" t="s">
        <v>292</v>
      </c>
      <c r="C6" s="384"/>
      <c r="D6" s="267" t="s">
        <v>295</v>
      </c>
      <c r="E6" s="367" t="s">
        <v>296</v>
      </c>
      <c r="F6" s="368"/>
    </row>
    <row r="7" spans="2:6" ht="15.6">
      <c r="B7" s="385" t="s">
        <v>293</v>
      </c>
      <c r="C7" s="386"/>
      <c r="D7" s="268">
        <f>'ORÇAMENTO - NÃO DESONERADO'!H45</f>
        <v>67010.649999999994</v>
      </c>
      <c r="E7" s="369" t="s">
        <v>297</v>
      </c>
      <c r="F7" s="370"/>
    </row>
    <row r="8" spans="2:6" ht="16.2" thickBot="1">
      <c r="B8" s="365" t="s">
        <v>294</v>
      </c>
      <c r="C8" s="366"/>
      <c r="D8" s="269">
        <f>'ORÇAMENTO - DESONERADO'!H45</f>
        <v>65630.13</v>
      </c>
      <c r="E8" s="270" t="s">
        <v>295</v>
      </c>
      <c r="F8" s="271">
        <f>MIN(D8,D7)</f>
        <v>65630.13</v>
      </c>
    </row>
    <row r="9" spans="2:6" ht="6" customHeight="1"/>
  </sheetData>
  <mergeCells count="9">
    <mergeCell ref="B8:C8"/>
    <mergeCell ref="E6:F6"/>
    <mergeCell ref="E7:F7"/>
    <mergeCell ref="B2:F2"/>
    <mergeCell ref="B3:F3"/>
    <mergeCell ref="B4:F4"/>
    <mergeCell ref="B5:F5"/>
    <mergeCell ref="B6:C6"/>
    <mergeCell ref="B7:C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M41"/>
  <sheetViews>
    <sheetView workbookViewId="0">
      <selection activeCell="B3" sqref="B3:F3"/>
    </sheetView>
  </sheetViews>
  <sheetFormatPr defaultColWidth="0" defaultRowHeight="13.2" zeroHeight="1"/>
  <cols>
    <col min="1" max="1" width="1.109375" customWidth="1"/>
    <col min="2" max="2" width="30.5546875" customWidth="1"/>
    <col min="3" max="6" width="20" customWidth="1"/>
    <col min="7" max="7" width="1.109375" customWidth="1"/>
  </cols>
  <sheetData>
    <row r="1" spans="2:13" ht="6" customHeight="1" thickBot="1">
      <c r="B1" s="226"/>
      <c r="C1" s="226"/>
      <c r="D1" s="226"/>
      <c r="E1" s="226"/>
      <c r="F1" s="226"/>
    </row>
    <row r="2" spans="2:13" ht="25.8">
      <c r="B2" s="325" t="s">
        <v>188</v>
      </c>
      <c r="C2" s="387"/>
      <c r="D2" s="387"/>
      <c r="E2" s="387"/>
      <c r="F2" s="388"/>
    </row>
    <row r="3" spans="2:13" ht="21">
      <c r="B3" s="351" t="s">
        <v>189</v>
      </c>
      <c r="C3" s="389"/>
      <c r="D3" s="389"/>
      <c r="E3" s="389"/>
      <c r="F3" s="390"/>
    </row>
    <row r="4" spans="2:13" ht="18" customHeight="1">
      <c r="B4" s="348" t="s">
        <v>62</v>
      </c>
      <c r="C4" s="349"/>
      <c r="D4" s="349"/>
      <c r="E4" s="349"/>
      <c r="F4" s="350"/>
      <c r="G4" s="231"/>
      <c r="H4" s="231"/>
      <c r="I4" s="231"/>
      <c r="J4" s="231"/>
      <c r="K4" s="231"/>
      <c r="L4" s="231"/>
      <c r="M4" s="232"/>
    </row>
    <row r="5" spans="2:13" ht="15.6">
      <c r="B5" s="391" t="s">
        <v>198</v>
      </c>
      <c r="C5" s="392"/>
      <c r="D5" s="392"/>
      <c r="E5" s="392"/>
      <c r="F5" s="393"/>
    </row>
    <row r="6" spans="2:13" ht="27" customHeight="1">
      <c r="B6" s="394" t="s">
        <v>199</v>
      </c>
      <c r="C6" s="396" t="s">
        <v>200</v>
      </c>
      <c r="D6" s="397"/>
      <c r="E6" s="398" t="s">
        <v>201</v>
      </c>
      <c r="F6" s="399"/>
    </row>
    <row r="7" spans="2:13" ht="172.8">
      <c r="B7" s="395"/>
      <c r="C7" s="227" t="s">
        <v>202</v>
      </c>
      <c r="D7" s="227" t="s">
        <v>203</v>
      </c>
      <c r="E7" s="227" t="s">
        <v>202</v>
      </c>
      <c r="F7" s="233" t="s">
        <v>203</v>
      </c>
    </row>
    <row r="8" spans="2:13" ht="14.4">
      <c r="B8" s="234" t="s">
        <v>204</v>
      </c>
      <c r="C8" s="228"/>
      <c r="D8" s="228"/>
      <c r="E8" s="228"/>
      <c r="F8" s="235"/>
    </row>
    <row r="9" spans="2:13" ht="14.4">
      <c r="B9" s="236" t="s">
        <v>205</v>
      </c>
      <c r="C9" s="229">
        <v>4.0300000000000002E-2</v>
      </c>
      <c r="D9" s="229">
        <v>4.0300000000000002E-2</v>
      </c>
      <c r="E9" s="229">
        <v>0.01</v>
      </c>
      <c r="F9" s="237">
        <v>0.01</v>
      </c>
    </row>
    <row r="10" spans="2:13" ht="14.4">
      <c r="B10" s="236" t="s">
        <v>206</v>
      </c>
      <c r="C10" s="229">
        <v>6.4999999999999997E-3</v>
      </c>
      <c r="D10" s="229">
        <v>6.4999999999999997E-3</v>
      </c>
      <c r="E10" s="229">
        <v>0</v>
      </c>
      <c r="F10" s="237">
        <v>0</v>
      </c>
    </row>
    <row r="11" spans="2:13" ht="14.4">
      <c r="B11" s="236" t="s">
        <v>207</v>
      </c>
      <c r="C11" s="229">
        <v>1.3299999999999999E-2</v>
      </c>
      <c r="D11" s="229">
        <v>1.3299999999999999E-2</v>
      </c>
      <c r="E11" s="229">
        <v>5.0000000000000001E-3</v>
      </c>
      <c r="F11" s="237">
        <v>5.0000000000000001E-3</v>
      </c>
    </row>
    <row r="12" spans="2:13" ht="14.4">
      <c r="B12" s="236" t="s">
        <v>208</v>
      </c>
      <c r="C12" s="229">
        <v>1.52E-2</v>
      </c>
      <c r="D12" s="229">
        <v>1.52E-2</v>
      </c>
      <c r="E12" s="229">
        <v>1.52E-2</v>
      </c>
      <c r="F12" s="237">
        <v>1.52E-2</v>
      </c>
    </row>
    <row r="13" spans="2:13" ht="14.4">
      <c r="B13" s="236" t="s">
        <v>209</v>
      </c>
      <c r="C13" s="229">
        <v>0.08</v>
      </c>
      <c r="D13" s="229">
        <v>0.08</v>
      </c>
      <c r="E13" s="229">
        <v>0.05</v>
      </c>
      <c r="F13" s="237">
        <v>0.05</v>
      </c>
    </row>
    <row r="14" spans="2:13" ht="14.4">
      <c r="B14" s="244" t="s">
        <v>210</v>
      </c>
      <c r="C14" s="245"/>
      <c r="D14" s="245"/>
      <c r="E14" s="245"/>
      <c r="F14" s="246"/>
    </row>
    <row r="15" spans="2:13" ht="14.4">
      <c r="B15" s="236" t="s">
        <v>211</v>
      </c>
      <c r="C15" s="230">
        <v>6.4999999999999997E-3</v>
      </c>
      <c r="D15" s="230">
        <v>6.4999999999999997E-3</v>
      </c>
      <c r="E15" s="230">
        <v>6.4999999999999997E-3</v>
      </c>
      <c r="F15" s="239">
        <v>6.4999999999999997E-3</v>
      </c>
    </row>
    <row r="16" spans="2:13" ht="14.4">
      <c r="B16" s="236" t="s">
        <v>212</v>
      </c>
      <c r="C16" s="230">
        <v>0.03</v>
      </c>
      <c r="D16" s="230">
        <v>0.03</v>
      </c>
      <c r="E16" s="230">
        <v>0.03</v>
      </c>
      <c r="F16" s="239">
        <v>0.03</v>
      </c>
    </row>
    <row r="17" spans="2:6" ht="14.4">
      <c r="B17" s="236" t="s">
        <v>213</v>
      </c>
      <c r="C17" s="230">
        <v>1.6E-2</v>
      </c>
      <c r="D17" s="230">
        <v>1.2E-2</v>
      </c>
      <c r="E17" s="230">
        <v>1.6E-2</v>
      </c>
      <c r="F17" s="239">
        <v>1.2E-2</v>
      </c>
    </row>
    <row r="18" spans="2:6" ht="29.4" thickBot="1">
      <c r="B18" s="247" t="s">
        <v>214</v>
      </c>
      <c r="C18" s="248">
        <v>4.4999999999999998E-2</v>
      </c>
      <c r="D18" s="248">
        <v>4.4999999999999998E-2</v>
      </c>
      <c r="E18" s="248">
        <v>4.4999999999999998E-2</v>
      </c>
      <c r="F18" s="249">
        <v>4.4999999999999998E-2</v>
      </c>
    </row>
    <row r="19" spans="2:6" ht="31.2">
      <c r="B19" s="250" t="s">
        <v>215</v>
      </c>
      <c r="C19" s="251">
        <f>ROUND(((((1+C9+C10+C11)*(1+C12)*(1+C13))/(1-(C15+C16+C17+C18)))-1)-0.0001,4)</f>
        <v>0.2878</v>
      </c>
      <c r="D19" s="251">
        <f>ROUND(((((1+D9+D10+D11)*(1+D12)*(1+D13))/(1-(D15+D16+D17+D18)))-1)-0.0001,4)</f>
        <v>0.28210000000000002</v>
      </c>
      <c r="E19" s="251">
        <f>ROUND(((((1+E9+E10+E11)*(1+E12)*(1+E13))/(1-(E15+E16+E17+E18)))-1),4)</f>
        <v>0.1988</v>
      </c>
      <c r="F19" s="252">
        <f>ROUND(((((1+F9+F10+F11)*(1+F12)*(1+F13))/(1-(F15+F16+F17+F18)))-1),4)</f>
        <v>0.19350000000000001</v>
      </c>
    </row>
    <row r="20" spans="2:6" ht="31.8" thickBot="1">
      <c r="B20" s="253" t="s">
        <v>216</v>
      </c>
      <c r="C20" s="254">
        <f>ROUND(((((1+C9+C10+C11)*(1+C12)*(1+C13))/(1-(C15+C16+C17)))-1),4)</f>
        <v>0.22670000000000001</v>
      </c>
      <c r="D20" s="254">
        <f>ROUND(((((1+D9+D10+D11)*(1+D12)*(1+D13))/(1-(D15+D16+D17)))-1)-0.0001,4)</f>
        <v>0.2215</v>
      </c>
      <c r="E20" s="254">
        <f>ROUND(((((1+E9+E10+E11)*(1+E12)*(1+E13))/(1-(E15+E16+E17)))-1)-0.0001,4)</f>
        <v>0.14180000000000001</v>
      </c>
      <c r="F20" s="255">
        <f>ROUND(((((1+F9+F10+F11)*(1+F12)*(1+F13))/(1-(F15+F16+F17)))-1)-0.0001,4)</f>
        <v>0.13700000000000001</v>
      </c>
    </row>
    <row r="21" spans="2:6" ht="14.4" thickBot="1">
      <c r="B21" s="402" t="s">
        <v>217</v>
      </c>
      <c r="C21" s="403"/>
      <c r="D21" s="403"/>
      <c r="E21" s="403"/>
      <c r="F21" s="404"/>
    </row>
    <row r="22" spans="2:6" ht="15" thickBot="1">
      <c r="B22" s="226"/>
      <c r="C22" s="226"/>
      <c r="D22" s="226"/>
      <c r="E22" s="226"/>
      <c r="F22" s="226"/>
    </row>
    <row r="23" spans="2:6" ht="25.8">
      <c r="B23" s="325" t="s">
        <v>188</v>
      </c>
      <c r="C23" s="387"/>
      <c r="D23" s="387"/>
      <c r="E23" s="387"/>
      <c r="F23" s="388"/>
    </row>
    <row r="24" spans="2:6" ht="21">
      <c r="B24" s="351" t="s">
        <v>189</v>
      </c>
      <c r="C24" s="389"/>
      <c r="D24" s="389"/>
      <c r="E24" s="389"/>
      <c r="F24" s="390"/>
    </row>
    <row r="25" spans="2:6" ht="18.600000000000001" thickBot="1">
      <c r="B25" s="422" t="s">
        <v>62</v>
      </c>
      <c r="C25" s="423"/>
      <c r="D25" s="423"/>
      <c r="E25" s="423"/>
      <c r="F25" s="424"/>
    </row>
    <row r="26" spans="2:6" ht="16.2" thickBot="1">
      <c r="B26" s="405" t="s">
        <v>198</v>
      </c>
      <c r="C26" s="406"/>
      <c r="D26" s="406"/>
      <c r="E26" s="406"/>
      <c r="F26" s="407"/>
    </row>
    <row r="27" spans="2:6">
      <c r="B27" s="412" t="s">
        <v>199</v>
      </c>
      <c r="C27" s="414" t="s">
        <v>218</v>
      </c>
      <c r="D27" s="415"/>
      <c r="E27" s="414" t="s">
        <v>219</v>
      </c>
      <c r="F27" s="388"/>
    </row>
    <row r="28" spans="2:6" ht="13.8" thickBot="1">
      <c r="B28" s="413"/>
      <c r="C28" s="416"/>
      <c r="D28" s="417"/>
      <c r="E28" s="416"/>
      <c r="F28" s="404"/>
    </row>
    <row r="29" spans="2:6" ht="15" thickBot="1">
      <c r="B29" s="241" t="s">
        <v>204</v>
      </c>
      <c r="C29" s="418"/>
      <c r="D29" s="419"/>
      <c r="E29" s="418"/>
      <c r="F29" s="420"/>
    </row>
    <row r="30" spans="2:6" ht="14.4">
      <c r="B30" s="240" t="s">
        <v>205</v>
      </c>
      <c r="C30" s="408">
        <v>0.01</v>
      </c>
      <c r="D30" s="409"/>
      <c r="E30" s="408">
        <v>0.01</v>
      </c>
      <c r="F30" s="410"/>
    </row>
    <row r="31" spans="2:6" ht="14.4">
      <c r="B31" s="236" t="s">
        <v>206</v>
      </c>
      <c r="C31" s="400">
        <v>2.8E-3</v>
      </c>
      <c r="D31" s="401"/>
      <c r="E31" s="400">
        <v>2.8E-3</v>
      </c>
      <c r="F31" s="411"/>
    </row>
    <row r="32" spans="2:6" ht="14.4">
      <c r="B32" s="236" t="s">
        <v>207</v>
      </c>
      <c r="C32" s="400">
        <v>0</v>
      </c>
      <c r="D32" s="401"/>
      <c r="E32" s="400">
        <v>0</v>
      </c>
      <c r="F32" s="411"/>
    </row>
    <row r="33" spans="2:6" ht="14.4">
      <c r="B33" s="236" t="s">
        <v>208</v>
      </c>
      <c r="C33" s="400">
        <v>1.2500000000000001E-2</v>
      </c>
      <c r="D33" s="401"/>
      <c r="E33" s="400">
        <v>1.2500000000000001E-2</v>
      </c>
      <c r="F33" s="411"/>
    </row>
    <row r="34" spans="2:6" ht="14.4">
      <c r="B34" s="236" t="s">
        <v>209</v>
      </c>
      <c r="C34" s="400">
        <v>6.1600000000000002E-2</v>
      </c>
      <c r="D34" s="401"/>
      <c r="E34" s="400">
        <v>6.1600000000000002E-2</v>
      </c>
      <c r="F34" s="411"/>
    </row>
    <row r="35" spans="2:6" ht="14.4">
      <c r="B35" s="238" t="s">
        <v>220</v>
      </c>
      <c r="C35" s="425"/>
      <c r="D35" s="397"/>
      <c r="E35" s="425"/>
      <c r="F35" s="426"/>
    </row>
    <row r="36" spans="2:6" ht="14.4">
      <c r="B36" s="236" t="s">
        <v>211</v>
      </c>
      <c r="C36" s="425">
        <v>6.4999999999999997E-3</v>
      </c>
      <c r="D36" s="397"/>
      <c r="E36" s="425">
        <v>6.4999999999999997E-3</v>
      </c>
      <c r="F36" s="426"/>
    </row>
    <row r="37" spans="2:6" ht="14.4">
      <c r="B37" s="236" t="s">
        <v>212</v>
      </c>
      <c r="C37" s="425">
        <v>0.03</v>
      </c>
      <c r="D37" s="397"/>
      <c r="E37" s="425">
        <v>0.03</v>
      </c>
      <c r="F37" s="426"/>
    </row>
    <row r="38" spans="2:6" ht="15" thickBot="1">
      <c r="B38" s="242" t="s">
        <v>213</v>
      </c>
      <c r="C38" s="427">
        <v>0.02</v>
      </c>
      <c r="D38" s="428"/>
      <c r="E38" s="427">
        <v>0.05</v>
      </c>
      <c r="F38" s="429"/>
    </row>
    <row r="39" spans="2:6" ht="16.2" thickBot="1">
      <c r="B39" s="243" t="s">
        <v>221</v>
      </c>
      <c r="C39" s="430">
        <f>ROUND(((((1+C30+C31+C32)*(1+C33)*(1+C34))/(1-(C36+C37+C38)))-1),4)</f>
        <v>0.15379999999999999</v>
      </c>
      <c r="D39" s="431">
        <f>((((1+D28+D29+D30)*(1+D31)*(1+D32))/(1-(D34+D35+D36)))-1)</f>
        <v>0</v>
      </c>
      <c r="E39" s="430">
        <f>ROUND(((((1+E30+E31+E32)*(1+E33)*(1+E34))/(1-(E36+E37+E38)))-1),4)</f>
        <v>0.19170000000000001</v>
      </c>
      <c r="F39" s="432">
        <f>((((1+F28+F29+F30)*(1+F31)*(1+F32))/(1-(F34+F35+F36)))-1)</f>
        <v>0</v>
      </c>
    </row>
    <row r="40" spans="2:6" ht="14.4" thickBot="1">
      <c r="B40" s="421" t="s">
        <v>217</v>
      </c>
      <c r="C40" s="403"/>
      <c r="D40" s="403"/>
      <c r="E40" s="403"/>
      <c r="F40" s="404"/>
    </row>
    <row r="41" spans="2:6" ht="6" customHeight="1"/>
  </sheetData>
  <mergeCells count="38">
    <mergeCell ref="B40:F40"/>
    <mergeCell ref="B4:F4"/>
    <mergeCell ref="B25:F25"/>
    <mergeCell ref="C37:D37"/>
    <mergeCell ref="E37:F37"/>
    <mergeCell ref="C38:D38"/>
    <mergeCell ref="E38:F38"/>
    <mergeCell ref="C39:D39"/>
    <mergeCell ref="E39:F39"/>
    <mergeCell ref="C34:D34"/>
    <mergeCell ref="E34:F34"/>
    <mergeCell ref="C35:D35"/>
    <mergeCell ref="E35:F35"/>
    <mergeCell ref="C36:D36"/>
    <mergeCell ref="E36:F36"/>
    <mergeCell ref="E33:F33"/>
    <mergeCell ref="C33:D33"/>
    <mergeCell ref="B21:F21"/>
    <mergeCell ref="B23:F23"/>
    <mergeCell ref="B24:F24"/>
    <mergeCell ref="B26:F26"/>
    <mergeCell ref="C30:D30"/>
    <mergeCell ref="E30:F30"/>
    <mergeCell ref="C31:D31"/>
    <mergeCell ref="E31:F31"/>
    <mergeCell ref="C32:D32"/>
    <mergeCell ref="E32:F32"/>
    <mergeCell ref="B27:B28"/>
    <mergeCell ref="C27:D28"/>
    <mergeCell ref="E27:F28"/>
    <mergeCell ref="C29:D29"/>
    <mergeCell ref="E29:F29"/>
    <mergeCell ref="B2:F2"/>
    <mergeCell ref="B3:F3"/>
    <mergeCell ref="B5:F5"/>
    <mergeCell ref="B6:B7"/>
    <mergeCell ref="C6:D6"/>
    <mergeCell ref="E6:F6"/>
  </mergeCells>
  <pageMargins left="0.511811024" right="0.511811024" top="0.78740157499999996" bottom="0.78740157499999996" header="0.31496062000000002" footer="0.31496062000000002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G45"/>
  <sheetViews>
    <sheetView topLeftCell="A2" workbookViewId="0">
      <selection activeCell="G40" sqref="G40"/>
    </sheetView>
  </sheetViews>
  <sheetFormatPr defaultColWidth="0" defaultRowHeight="13.2" zeroHeight="1"/>
  <cols>
    <col min="1" max="1" width="1.109375" customWidth="1"/>
    <col min="2" max="2" width="7.77734375" bestFit="1" customWidth="1"/>
    <col min="3" max="3" width="33.21875" bestFit="1" customWidth="1"/>
    <col min="4" max="7" width="14.44140625" customWidth="1"/>
    <col min="8" max="8" width="1.109375" customWidth="1"/>
  </cols>
  <sheetData>
    <row r="2" spans="2:7" ht="6" customHeight="1" thickBot="1"/>
    <row r="3" spans="2:7" ht="30" customHeight="1">
      <c r="B3" s="325" t="s">
        <v>188</v>
      </c>
      <c r="C3" s="354"/>
      <c r="D3" s="354"/>
      <c r="E3" s="354"/>
      <c r="F3" s="354"/>
      <c r="G3" s="326"/>
    </row>
    <row r="4" spans="2:7" ht="24" customHeight="1">
      <c r="B4" s="351" t="s">
        <v>189</v>
      </c>
      <c r="C4" s="352"/>
      <c r="D4" s="352"/>
      <c r="E4" s="352"/>
      <c r="F4" s="352"/>
      <c r="G4" s="353"/>
    </row>
    <row r="5" spans="2:7" ht="18" customHeight="1" thickBot="1">
      <c r="B5" s="422" t="s">
        <v>62</v>
      </c>
      <c r="C5" s="423"/>
      <c r="D5" s="423"/>
      <c r="E5" s="423"/>
      <c r="F5" s="423"/>
      <c r="G5" s="424"/>
    </row>
    <row r="6" spans="2:7" ht="16.2" thickBot="1">
      <c r="B6" s="405" t="s">
        <v>222</v>
      </c>
      <c r="C6" s="441"/>
      <c r="D6" s="441"/>
      <c r="E6" s="441"/>
      <c r="F6" s="441"/>
      <c r="G6" s="442"/>
    </row>
    <row r="7" spans="2:7" ht="14.4">
      <c r="B7" s="412" t="s">
        <v>53</v>
      </c>
      <c r="C7" s="444" t="s">
        <v>54</v>
      </c>
      <c r="D7" s="446" t="s">
        <v>223</v>
      </c>
      <c r="E7" s="447"/>
      <c r="F7" s="448" t="s">
        <v>224</v>
      </c>
      <c r="G7" s="435"/>
    </row>
    <row r="8" spans="2:7" ht="15" thickBot="1">
      <c r="B8" s="443"/>
      <c r="C8" s="445"/>
      <c r="D8" s="258" t="s">
        <v>225</v>
      </c>
      <c r="E8" s="258" t="s">
        <v>226</v>
      </c>
      <c r="F8" s="258" t="s">
        <v>225</v>
      </c>
      <c r="G8" s="259" t="s">
        <v>226</v>
      </c>
    </row>
    <row r="9" spans="2:7" ht="14.4">
      <c r="B9" s="433" t="s">
        <v>227</v>
      </c>
      <c r="C9" s="434"/>
      <c r="D9" s="434"/>
      <c r="E9" s="434"/>
      <c r="F9" s="434"/>
      <c r="G9" s="435"/>
    </row>
    <row r="10" spans="2:7" ht="14.4">
      <c r="B10" s="236" t="s">
        <v>228</v>
      </c>
      <c r="C10" s="256" t="s">
        <v>229</v>
      </c>
      <c r="D10" s="229">
        <v>0</v>
      </c>
      <c r="E10" s="229">
        <v>0</v>
      </c>
      <c r="F10" s="229">
        <v>0.2</v>
      </c>
      <c r="G10" s="237">
        <v>0.2</v>
      </c>
    </row>
    <row r="11" spans="2:7" ht="14.4">
      <c r="B11" s="236" t="s">
        <v>230</v>
      </c>
      <c r="C11" s="256" t="s">
        <v>231</v>
      </c>
      <c r="D11" s="229">
        <v>1.4999999999999999E-2</v>
      </c>
      <c r="E11" s="229">
        <v>1.4999999999999999E-2</v>
      </c>
      <c r="F11" s="229">
        <v>1.4999999999999999E-2</v>
      </c>
      <c r="G11" s="237">
        <v>1.4999999999999999E-2</v>
      </c>
    </row>
    <row r="12" spans="2:7" ht="14.4">
      <c r="B12" s="236" t="s">
        <v>232</v>
      </c>
      <c r="C12" s="256" t="s">
        <v>233</v>
      </c>
      <c r="D12" s="229">
        <v>0.01</v>
      </c>
      <c r="E12" s="229">
        <v>0.01</v>
      </c>
      <c r="F12" s="229">
        <v>0.01</v>
      </c>
      <c r="G12" s="237">
        <v>0.01</v>
      </c>
    </row>
    <row r="13" spans="2:7" ht="14.4">
      <c r="B13" s="236" t="s">
        <v>234</v>
      </c>
      <c r="C13" s="256" t="s">
        <v>235</v>
      </c>
      <c r="D13" s="229">
        <v>2E-3</v>
      </c>
      <c r="E13" s="229">
        <v>2E-3</v>
      </c>
      <c r="F13" s="229">
        <v>2E-3</v>
      </c>
      <c r="G13" s="237">
        <v>2E-3</v>
      </c>
    </row>
    <row r="14" spans="2:7" ht="14.4">
      <c r="B14" s="236" t="s">
        <v>236</v>
      </c>
      <c r="C14" s="256" t="s">
        <v>237</v>
      </c>
      <c r="D14" s="229">
        <v>6.0000000000000001E-3</v>
      </c>
      <c r="E14" s="229">
        <v>6.0000000000000001E-3</v>
      </c>
      <c r="F14" s="229">
        <v>6.0000000000000001E-3</v>
      </c>
      <c r="G14" s="237">
        <v>6.0000000000000001E-3</v>
      </c>
    </row>
    <row r="15" spans="2:7" ht="14.4">
      <c r="B15" s="236" t="s">
        <v>238</v>
      </c>
      <c r="C15" s="257" t="s">
        <v>239</v>
      </c>
      <c r="D15" s="229">
        <v>2.5000000000000001E-2</v>
      </c>
      <c r="E15" s="229">
        <v>2.5000000000000001E-2</v>
      </c>
      <c r="F15" s="229">
        <v>2.5000000000000001E-2</v>
      </c>
      <c r="G15" s="237">
        <v>2.5000000000000001E-2</v>
      </c>
    </row>
    <row r="16" spans="2:7" ht="14.4">
      <c r="B16" s="236" t="s">
        <v>240</v>
      </c>
      <c r="C16" s="256" t="s">
        <v>241</v>
      </c>
      <c r="D16" s="229">
        <v>0.03</v>
      </c>
      <c r="E16" s="229">
        <v>0.03</v>
      </c>
      <c r="F16" s="229">
        <v>0.03</v>
      </c>
      <c r="G16" s="237">
        <v>0.03</v>
      </c>
    </row>
    <row r="17" spans="2:7" ht="14.4">
      <c r="B17" s="236" t="s">
        <v>242</v>
      </c>
      <c r="C17" s="256" t="s">
        <v>243</v>
      </c>
      <c r="D17" s="230">
        <v>0.08</v>
      </c>
      <c r="E17" s="230">
        <v>0.08</v>
      </c>
      <c r="F17" s="230">
        <v>0.08</v>
      </c>
      <c r="G17" s="239">
        <v>0.08</v>
      </c>
    </row>
    <row r="18" spans="2:7" ht="14.4">
      <c r="B18" s="236" t="s">
        <v>244</v>
      </c>
      <c r="C18" s="256" t="s">
        <v>245</v>
      </c>
      <c r="D18" s="229">
        <v>0</v>
      </c>
      <c r="E18" s="229">
        <v>0</v>
      </c>
      <c r="F18" s="229">
        <v>0</v>
      </c>
      <c r="G18" s="237">
        <v>0</v>
      </c>
    </row>
    <row r="19" spans="2:7" ht="15" thickBot="1">
      <c r="B19" s="260" t="s">
        <v>246</v>
      </c>
      <c r="C19" s="258" t="s">
        <v>247</v>
      </c>
      <c r="D19" s="261">
        <f>SUM(D10:D18)</f>
        <v>0.16799999999999998</v>
      </c>
      <c r="E19" s="261">
        <f>SUM(E10:E18)</f>
        <v>0.16799999999999998</v>
      </c>
      <c r="F19" s="261">
        <f>SUM(F10:F18)</f>
        <v>0.36800000000000005</v>
      </c>
      <c r="G19" s="262">
        <f>SUM(G10:G18)</f>
        <v>0.36800000000000005</v>
      </c>
    </row>
    <row r="20" spans="2:7" ht="14.4">
      <c r="B20" s="433" t="s">
        <v>248</v>
      </c>
      <c r="C20" s="434"/>
      <c r="D20" s="434"/>
      <c r="E20" s="434"/>
      <c r="F20" s="434"/>
      <c r="G20" s="435"/>
    </row>
    <row r="21" spans="2:7" ht="14.4">
      <c r="B21" s="236" t="s">
        <v>249</v>
      </c>
      <c r="C21" s="256" t="s">
        <v>250</v>
      </c>
      <c r="D21" s="229">
        <v>0.17929999999999999</v>
      </c>
      <c r="E21" s="229">
        <v>0</v>
      </c>
      <c r="F21" s="229">
        <v>0.17929999999999999</v>
      </c>
      <c r="G21" s="237">
        <v>0</v>
      </c>
    </row>
    <row r="22" spans="2:7" ht="14.4">
      <c r="B22" s="236" t="s">
        <v>251</v>
      </c>
      <c r="C22" s="256" t="s">
        <v>252</v>
      </c>
      <c r="D22" s="229">
        <v>4.24E-2</v>
      </c>
      <c r="E22" s="229">
        <v>0</v>
      </c>
      <c r="F22" s="229">
        <v>4.24E-2</v>
      </c>
      <c r="G22" s="237">
        <v>0</v>
      </c>
    </row>
    <row r="23" spans="2:7" ht="14.4">
      <c r="B23" s="236" t="s">
        <v>253</v>
      </c>
      <c r="C23" s="256" t="s">
        <v>254</v>
      </c>
      <c r="D23" s="229">
        <v>8.5000000000000006E-3</v>
      </c>
      <c r="E23" s="229">
        <v>6.4000000000000003E-3</v>
      </c>
      <c r="F23" s="229">
        <v>8.5000000000000006E-3</v>
      </c>
      <c r="G23" s="237">
        <v>6.4000000000000003E-3</v>
      </c>
    </row>
    <row r="24" spans="2:7" ht="14.4">
      <c r="B24" s="236" t="s">
        <v>255</v>
      </c>
      <c r="C24" s="256" t="s">
        <v>256</v>
      </c>
      <c r="D24" s="229">
        <v>0.11020000000000001</v>
      </c>
      <c r="E24" s="229">
        <v>8.3299999999999999E-2</v>
      </c>
      <c r="F24" s="229">
        <v>0.11020000000000001</v>
      </c>
      <c r="G24" s="237">
        <v>8.3299999999999999E-2</v>
      </c>
    </row>
    <row r="25" spans="2:7" ht="14.4">
      <c r="B25" s="236" t="s">
        <v>257</v>
      </c>
      <c r="C25" s="256" t="s">
        <v>258</v>
      </c>
      <c r="D25" s="229">
        <v>5.9999999999999995E-4</v>
      </c>
      <c r="E25" s="229">
        <v>4.0000000000000002E-4</v>
      </c>
      <c r="F25" s="229">
        <v>5.9999999999999995E-4</v>
      </c>
      <c r="G25" s="237">
        <v>4.0000000000000002E-4</v>
      </c>
    </row>
    <row r="26" spans="2:7" ht="14.4">
      <c r="B26" s="236" t="s">
        <v>259</v>
      </c>
      <c r="C26" s="257" t="s">
        <v>260</v>
      </c>
      <c r="D26" s="229">
        <v>7.3000000000000001E-3</v>
      </c>
      <c r="E26" s="229">
        <v>5.5999999999999999E-3</v>
      </c>
      <c r="F26" s="229">
        <v>7.3000000000000001E-3</v>
      </c>
      <c r="G26" s="237">
        <v>5.5999999999999999E-3</v>
      </c>
    </row>
    <row r="27" spans="2:7" ht="14.4">
      <c r="B27" s="236" t="s">
        <v>261</v>
      </c>
      <c r="C27" s="256" t="s">
        <v>262</v>
      </c>
      <c r="D27" s="229">
        <v>1.55E-2</v>
      </c>
      <c r="E27" s="229">
        <v>0</v>
      </c>
      <c r="F27" s="229">
        <v>1.55E-2</v>
      </c>
      <c r="G27" s="237">
        <v>0</v>
      </c>
    </row>
    <row r="28" spans="2:7" ht="14.4">
      <c r="B28" s="236" t="s">
        <v>263</v>
      </c>
      <c r="C28" s="256" t="s">
        <v>264</v>
      </c>
      <c r="D28" s="229">
        <v>1E-3</v>
      </c>
      <c r="E28" s="229">
        <v>8.0000000000000004E-4</v>
      </c>
      <c r="F28" s="229">
        <v>1E-3</v>
      </c>
      <c r="G28" s="237">
        <v>8.0000000000000004E-4</v>
      </c>
    </row>
    <row r="29" spans="2:7" ht="14.4">
      <c r="B29" s="236" t="s">
        <v>265</v>
      </c>
      <c r="C29" s="256" t="s">
        <v>266</v>
      </c>
      <c r="D29" s="229">
        <v>0.11559999999999999</v>
      </c>
      <c r="E29" s="229">
        <v>8.7400000000000005E-2</v>
      </c>
      <c r="F29" s="229">
        <v>0.11559999999999999</v>
      </c>
      <c r="G29" s="237">
        <v>8.7400000000000005E-2</v>
      </c>
    </row>
    <row r="30" spans="2:7" ht="14.4">
      <c r="B30" s="236" t="s">
        <v>267</v>
      </c>
      <c r="C30" s="257" t="s">
        <v>268</v>
      </c>
      <c r="D30" s="229">
        <v>4.0000000000000002E-4</v>
      </c>
      <c r="E30" s="229">
        <v>2.9999999999999997E-4</v>
      </c>
      <c r="F30" s="229">
        <v>4.0000000000000002E-4</v>
      </c>
      <c r="G30" s="237">
        <v>2.9999999999999997E-4</v>
      </c>
    </row>
    <row r="31" spans="2:7" ht="15" thickBot="1">
      <c r="B31" s="260" t="s">
        <v>269</v>
      </c>
      <c r="C31" s="258" t="s">
        <v>247</v>
      </c>
      <c r="D31" s="261">
        <f>SUM(D21:D30)</f>
        <v>0.48079999999999995</v>
      </c>
      <c r="E31" s="261">
        <f>SUM(E21:E30)</f>
        <v>0.1842</v>
      </c>
      <c r="F31" s="261">
        <f>SUM(F21:F30)</f>
        <v>0.48079999999999995</v>
      </c>
      <c r="G31" s="262">
        <f>SUM(G21:G30)</f>
        <v>0.1842</v>
      </c>
    </row>
    <row r="32" spans="2:7" ht="14.4">
      <c r="B32" s="433" t="s">
        <v>270</v>
      </c>
      <c r="C32" s="434"/>
      <c r="D32" s="434"/>
      <c r="E32" s="434"/>
      <c r="F32" s="434"/>
      <c r="G32" s="435"/>
    </row>
    <row r="33" spans="2:7" ht="14.4">
      <c r="B33" s="236" t="s">
        <v>271</v>
      </c>
      <c r="C33" s="256" t="s">
        <v>272</v>
      </c>
      <c r="D33" s="229">
        <v>4.5900000000000003E-2</v>
      </c>
      <c r="E33" s="229">
        <v>3.4700000000000002E-2</v>
      </c>
      <c r="F33" s="229">
        <v>4.5900000000000003E-2</v>
      </c>
      <c r="G33" s="229">
        <v>3.4700000000000002E-2</v>
      </c>
    </row>
    <row r="34" spans="2:7" ht="14.4">
      <c r="B34" s="236" t="s">
        <v>273</v>
      </c>
      <c r="C34" s="256" t="s">
        <v>274</v>
      </c>
      <c r="D34" s="229">
        <v>1.1000000000000001E-3</v>
      </c>
      <c r="E34" s="229">
        <v>8.0000000000000004E-4</v>
      </c>
      <c r="F34" s="229">
        <v>1.1000000000000001E-3</v>
      </c>
      <c r="G34" s="229">
        <v>8.0000000000000004E-4</v>
      </c>
    </row>
    <row r="35" spans="2:7" ht="14.4">
      <c r="B35" s="236" t="s">
        <v>275</v>
      </c>
      <c r="C35" s="256" t="s">
        <v>276</v>
      </c>
      <c r="D35" s="229">
        <v>2.2599999999999999E-2</v>
      </c>
      <c r="E35" s="229">
        <v>1.7100000000000001E-2</v>
      </c>
      <c r="F35" s="229">
        <v>2.2599999999999999E-2</v>
      </c>
      <c r="G35" s="229">
        <v>1.7100000000000001E-2</v>
      </c>
    </row>
    <row r="36" spans="2:7" ht="14.4">
      <c r="B36" s="236" t="s">
        <v>277</v>
      </c>
      <c r="C36" s="256" t="s">
        <v>278</v>
      </c>
      <c r="D36" s="229">
        <v>2.5499999999999998E-2</v>
      </c>
      <c r="E36" s="229">
        <v>1.9300000000000001E-2</v>
      </c>
      <c r="F36" s="229">
        <v>2.5499999999999998E-2</v>
      </c>
      <c r="G36" s="229">
        <v>1.9300000000000001E-2</v>
      </c>
    </row>
    <row r="37" spans="2:7" ht="14.4">
      <c r="B37" s="236" t="s">
        <v>279</v>
      </c>
      <c r="C37" s="256" t="s">
        <v>280</v>
      </c>
      <c r="D37" s="229">
        <v>3.8999999999999998E-3</v>
      </c>
      <c r="E37" s="229">
        <v>2.8999999999999998E-3</v>
      </c>
      <c r="F37" s="229">
        <v>3.8999999999999998E-3</v>
      </c>
      <c r="G37" s="229">
        <v>2.8999999999999998E-3</v>
      </c>
    </row>
    <row r="38" spans="2:7" ht="15" thickBot="1">
      <c r="B38" s="260" t="s">
        <v>281</v>
      </c>
      <c r="C38" s="258" t="s">
        <v>247</v>
      </c>
      <c r="D38" s="261">
        <f>SUM(D33:D37)</f>
        <v>9.8999999999999991E-2</v>
      </c>
      <c r="E38" s="261">
        <f>SUM(E33:E37)</f>
        <v>7.4800000000000005E-2</v>
      </c>
      <c r="F38" s="261">
        <f>SUM(F33:F37)</f>
        <v>9.8999999999999991E-2</v>
      </c>
      <c r="G38" s="262">
        <f>SUM(G33:G37)</f>
        <v>7.4800000000000005E-2</v>
      </c>
    </row>
    <row r="39" spans="2:7" ht="14.4">
      <c r="B39" s="433" t="s">
        <v>282</v>
      </c>
      <c r="C39" s="434"/>
      <c r="D39" s="434"/>
      <c r="E39" s="434"/>
      <c r="F39" s="434"/>
      <c r="G39" s="435"/>
    </row>
    <row r="40" spans="2:7" ht="14.4">
      <c r="B40" s="236" t="s">
        <v>283</v>
      </c>
      <c r="C40" s="256" t="s">
        <v>284</v>
      </c>
      <c r="D40" s="230">
        <f>ROUND(D19*D31,4)</f>
        <v>8.0799999999999997E-2</v>
      </c>
      <c r="E40" s="230">
        <f>ROUND(E19*E31,4)</f>
        <v>3.09E-2</v>
      </c>
      <c r="F40" s="230">
        <f>ROUND(F19*F31,4)</f>
        <v>0.1769</v>
      </c>
      <c r="G40" s="239">
        <f>ROUND(G19*G31,4)</f>
        <v>6.7799999999999999E-2</v>
      </c>
    </row>
    <row r="41" spans="2:7" ht="43.2">
      <c r="B41" s="236" t="s">
        <v>285</v>
      </c>
      <c r="C41" s="257" t="s">
        <v>289</v>
      </c>
      <c r="D41" s="230">
        <f>ROUND((D19*D34)+(D17*D33),4)</f>
        <v>3.8999999999999998E-3</v>
      </c>
      <c r="E41" s="230">
        <f>ROUND((E19*E34)+(E17*E33),4)</f>
        <v>2.8999999999999998E-3</v>
      </c>
      <c r="F41" s="230">
        <f>ROUND((F19*F34)+(F17*F33),4)</f>
        <v>4.1000000000000003E-3</v>
      </c>
      <c r="G41" s="239">
        <f>ROUND((G19*G34)+(G17*G33),4)</f>
        <v>3.0999999999999999E-3</v>
      </c>
    </row>
    <row r="42" spans="2:7" ht="15" thickBot="1">
      <c r="B42" s="263" t="s">
        <v>286</v>
      </c>
      <c r="C42" s="258" t="s">
        <v>247</v>
      </c>
      <c r="D42" s="261">
        <f>SUM(D40:D41)</f>
        <v>8.4699999999999998E-2</v>
      </c>
      <c r="E42" s="261">
        <f>SUM(E40:E41)</f>
        <v>3.3799999999999997E-2</v>
      </c>
      <c r="F42" s="261">
        <f>SUM(F40:F41)</f>
        <v>0.18099999999999999</v>
      </c>
      <c r="G42" s="262">
        <f>SUM(G40:G41)</f>
        <v>7.0900000000000005E-2</v>
      </c>
    </row>
    <row r="43" spans="2:7" ht="15.6">
      <c r="B43" s="436" t="s">
        <v>287</v>
      </c>
      <c r="C43" s="437"/>
      <c r="D43" s="264">
        <f>SUM(D42,D38,D31,D19)</f>
        <v>0.8324999999999998</v>
      </c>
      <c r="E43" s="264">
        <f>SUM(E42,E38,E31,E19)</f>
        <v>0.46079999999999999</v>
      </c>
      <c r="F43" s="264">
        <f>SUM(F42,F38,F31,F19)</f>
        <v>1.1288</v>
      </c>
      <c r="G43" s="265">
        <f>SUM(G42,G38,G31,G19)</f>
        <v>0.69789999999999996</v>
      </c>
    </row>
    <row r="44" spans="2:7" ht="14.4" thickBot="1">
      <c r="B44" s="438" t="s">
        <v>288</v>
      </c>
      <c r="C44" s="439"/>
      <c r="D44" s="439"/>
      <c r="E44" s="439"/>
      <c r="F44" s="439"/>
      <c r="G44" s="440"/>
    </row>
    <row r="45" spans="2:7" ht="6" customHeight="1"/>
  </sheetData>
  <mergeCells count="14">
    <mergeCell ref="B32:G32"/>
    <mergeCell ref="B39:G39"/>
    <mergeCell ref="B43:C43"/>
    <mergeCell ref="B44:G44"/>
    <mergeCell ref="B3:G3"/>
    <mergeCell ref="B4:G4"/>
    <mergeCell ref="B6:G6"/>
    <mergeCell ref="B7:B8"/>
    <mergeCell ref="C7:C8"/>
    <mergeCell ref="D7:E7"/>
    <mergeCell ref="F7:G7"/>
    <mergeCell ref="B5:G5"/>
    <mergeCell ref="B9:G9"/>
    <mergeCell ref="B20:G20"/>
  </mergeCells>
  <pageMargins left="0.511811024" right="0.511811024" top="0.78740157499999996" bottom="0.78740157499999996" header="0.31496062000000002" footer="0.31496062000000002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3"/>
  <dimension ref="B1:IK20"/>
  <sheetViews>
    <sheetView tabSelected="1" workbookViewId="0">
      <selection activeCell="B15" sqref="B15:M17"/>
    </sheetView>
  </sheetViews>
  <sheetFormatPr defaultColWidth="0" defaultRowHeight="12.75" customHeight="1" zeroHeight="1"/>
  <cols>
    <col min="1" max="1" width="1.109375" customWidth="1"/>
    <col min="2" max="2" width="5.33203125" style="21" bestFit="1" customWidth="1"/>
    <col min="3" max="3" width="51.6640625" style="21" bestFit="1" customWidth="1"/>
    <col min="4" max="4" width="11.5546875" style="21" bestFit="1" customWidth="1"/>
    <col min="5" max="5" width="4.44140625" style="22" bestFit="1" customWidth="1"/>
    <col min="6" max="6" width="11.5546875" style="22" bestFit="1" customWidth="1"/>
    <col min="7" max="7" width="4.44140625" style="22" bestFit="1" customWidth="1"/>
    <col min="8" max="8" width="11.5546875" style="22" bestFit="1" customWidth="1"/>
    <col min="9" max="9" width="4.44140625" style="22" bestFit="1" customWidth="1"/>
    <col min="10" max="10" width="10.5546875" style="22" bestFit="1" customWidth="1"/>
    <col min="11" max="11" width="4.44140625" style="22" bestFit="1" customWidth="1"/>
    <col min="12" max="12" width="14.21875" style="22" bestFit="1" customWidth="1"/>
    <col min="13" max="13" width="5.44140625" style="22" bestFit="1" customWidth="1"/>
    <col min="14" max="14" width="1.109375" style="22" customWidth="1"/>
    <col min="15" max="15" width="9.109375" style="22" hidden="1" customWidth="1"/>
    <col min="16" max="240" width="0" style="22" hidden="1" customWidth="1"/>
  </cols>
  <sheetData>
    <row r="1" spans="2:245" ht="6" customHeight="1" thickBot="1"/>
    <row r="2" spans="2:245" s="23" customFormat="1" ht="30" customHeight="1">
      <c r="B2" s="325" t="s">
        <v>188</v>
      </c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26"/>
    </row>
    <row r="3" spans="2:245" s="23" customFormat="1" ht="24" customHeight="1">
      <c r="B3" s="351" t="s">
        <v>189</v>
      </c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353"/>
    </row>
    <row r="4" spans="2:245" s="23" customFormat="1" ht="24" customHeight="1">
      <c r="B4" s="348" t="s">
        <v>62</v>
      </c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50"/>
    </row>
    <row r="5" spans="2:245" s="23" customFormat="1" ht="18" customHeight="1" thickBot="1">
      <c r="B5" s="345" t="s">
        <v>191</v>
      </c>
      <c r="C5" s="346"/>
      <c r="D5" s="454"/>
      <c r="E5" s="454"/>
      <c r="F5" s="454"/>
      <c r="G5" s="454"/>
      <c r="H5" s="454"/>
      <c r="I5" s="454"/>
      <c r="J5" s="454"/>
      <c r="K5" s="454"/>
      <c r="L5" s="346"/>
      <c r="M5" s="347"/>
    </row>
    <row r="6" spans="2:245" s="24" customFormat="1" ht="14.4">
      <c r="B6" s="449" t="s">
        <v>1</v>
      </c>
      <c r="C6" s="451" t="s">
        <v>47</v>
      </c>
      <c r="D6" s="449" t="s">
        <v>101</v>
      </c>
      <c r="E6" s="453"/>
      <c r="F6" s="449" t="s">
        <v>102</v>
      </c>
      <c r="G6" s="453"/>
      <c r="H6" s="449" t="s">
        <v>103</v>
      </c>
      <c r="I6" s="453"/>
      <c r="J6" s="449" t="s">
        <v>104</v>
      </c>
      <c r="K6" s="453"/>
      <c r="L6" s="449" t="s">
        <v>48</v>
      </c>
      <c r="M6" s="453"/>
      <c r="IG6" s="25"/>
      <c r="IH6" s="25"/>
      <c r="II6" s="25"/>
      <c r="IJ6" s="25"/>
      <c r="IK6" s="25"/>
    </row>
    <row r="7" spans="2:245" s="24" customFormat="1" ht="15" thickBot="1">
      <c r="B7" s="450"/>
      <c r="C7" s="452"/>
      <c r="D7" s="138" t="s">
        <v>192</v>
      </c>
      <c r="E7" s="139" t="s">
        <v>49</v>
      </c>
      <c r="F7" s="138" t="s">
        <v>192</v>
      </c>
      <c r="G7" s="139" t="s">
        <v>49</v>
      </c>
      <c r="H7" s="138" t="s">
        <v>192</v>
      </c>
      <c r="I7" s="139" t="s">
        <v>49</v>
      </c>
      <c r="J7" s="138" t="s">
        <v>192</v>
      </c>
      <c r="K7" s="139" t="s">
        <v>49</v>
      </c>
      <c r="L7" s="138" t="s">
        <v>192</v>
      </c>
      <c r="M7" s="139" t="s">
        <v>49</v>
      </c>
      <c r="IG7" s="25"/>
      <c r="IH7" s="25"/>
      <c r="II7" s="25"/>
      <c r="IJ7" s="25"/>
      <c r="IK7" s="25"/>
    </row>
    <row r="8" spans="2:245" s="24" customFormat="1" ht="24" customHeight="1">
      <c r="B8" s="125">
        <v>1</v>
      </c>
      <c r="C8" s="123" t="str">
        <f>'ORÇAMENTO - DESONERADO'!C7</f>
        <v>SERVIÇOS PRELIMINARES</v>
      </c>
      <c r="D8" s="130">
        <f>'ORÇAMENTO - DESONERADO'!$H$11*E8</f>
        <v>6595.6439999999993</v>
      </c>
      <c r="E8" s="131">
        <v>0.3</v>
      </c>
      <c r="F8" s="130">
        <f>'ORÇAMENTO - DESONERADO'!$H$11*G8</f>
        <v>6595.6439999999993</v>
      </c>
      <c r="G8" s="136">
        <v>0.3</v>
      </c>
      <c r="H8" s="130">
        <f>'ORÇAMENTO - DESONERADO'!$H$11*I8</f>
        <v>4397.0960000000005</v>
      </c>
      <c r="I8" s="131">
        <v>0.2</v>
      </c>
      <c r="J8" s="130">
        <f>'ORÇAMENTO - DESONERADO'!$H$11*K8</f>
        <v>4397.0960000000005</v>
      </c>
      <c r="K8" s="131">
        <v>0.2</v>
      </c>
      <c r="L8" s="127">
        <f t="shared" ref="L8:M11" si="0">D8+F8+H8+J8</f>
        <v>21985.48</v>
      </c>
      <c r="M8" s="126">
        <f t="shared" si="0"/>
        <v>1</v>
      </c>
      <c r="N8" s="26"/>
      <c r="O8" s="27"/>
      <c r="IG8" s="25"/>
      <c r="IH8" s="25"/>
      <c r="II8" s="25"/>
      <c r="IJ8" s="25"/>
      <c r="IK8" s="25"/>
    </row>
    <row r="9" spans="2:245" s="24" customFormat="1" ht="24" customHeight="1">
      <c r="B9" s="125">
        <v>2</v>
      </c>
      <c r="C9" s="123" t="str">
        <f>'ORÇAMENTO - DESONERADO'!C13</f>
        <v>ESCAVAÇÕES E DEMOLIÇÕES</v>
      </c>
      <c r="D9" s="135">
        <f>'ORÇAMENTO - DESONERADO'!$H$23*E9</f>
        <v>13045.004000000003</v>
      </c>
      <c r="E9" s="131">
        <v>0.7</v>
      </c>
      <c r="F9" s="135">
        <f>'ORÇAMENTO - DESONERADO'!$H$23*G9</f>
        <v>5590.7160000000013</v>
      </c>
      <c r="G9" s="136">
        <v>0.3</v>
      </c>
      <c r="H9" s="135"/>
      <c r="I9" s="131"/>
      <c r="J9" s="132"/>
      <c r="K9" s="131"/>
      <c r="L9" s="127">
        <f t="shared" si="0"/>
        <v>18635.720000000005</v>
      </c>
      <c r="M9" s="126">
        <f t="shared" si="0"/>
        <v>1</v>
      </c>
      <c r="N9" s="26"/>
      <c r="O9" s="27"/>
      <c r="IG9" s="25"/>
      <c r="IH9" s="25"/>
      <c r="II9" s="25"/>
      <c r="IJ9" s="25"/>
      <c r="IK9" s="25"/>
    </row>
    <row r="10" spans="2:245" s="24" customFormat="1" ht="24" customHeight="1">
      <c r="B10" s="125">
        <v>3</v>
      </c>
      <c r="C10" s="124" t="str">
        <f>'ORÇAMENTO - DESONERADO'!C25</f>
        <v>INSTALAÇÃO DO EQUIPAMENTO/TUBULAÇÃO E REATERRO</v>
      </c>
      <c r="D10" s="130"/>
      <c r="E10" s="131"/>
      <c r="F10" s="130">
        <f>'ORÇAMENTO - DESONERADO'!$H$36*G10</f>
        <v>10619.1</v>
      </c>
      <c r="G10" s="136">
        <v>0.5</v>
      </c>
      <c r="H10" s="130">
        <f>'ORÇAMENTO - DESONERADO'!$H$36*I10</f>
        <v>10619.1</v>
      </c>
      <c r="I10" s="131">
        <v>0.5</v>
      </c>
      <c r="J10" s="130"/>
      <c r="K10" s="131"/>
      <c r="L10" s="127">
        <f t="shared" si="0"/>
        <v>21238.2</v>
      </c>
      <c r="M10" s="126">
        <f t="shared" si="0"/>
        <v>1</v>
      </c>
      <c r="N10" s="26"/>
      <c r="O10" s="27"/>
      <c r="IG10" s="25"/>
      <c r="IH10" s="25"/>
      <c r="II10" s="25"/>
      <c r="IJ10" s="25"/>
      <c r="IK10" s="25"/>
    </row>
    <row r="11" spans="2:245" s="24" customFormat="1" ht="15" thickBot="1">
      <c r="B11" s="125">
        <v>4</v>
      </c>
      <c r="C11" s="124" t="str">
        <f>'ORÇAMENTO - DESONERADO'!C38</f>
        <v>PAVIMENTAÇÃO E RECONDICIONAMENTO DO PASSEIO</v>
      </c>
      <c r="D11" s="133"/>
      <c r="E11" s="134"/>
      <c r="F11" s="133"/>
      <c r="G11" s="137"/>
      <c r="H11" s="133">
        <f>'ORÇAMENTO - DESONERADO'!$H$44*I11</f>
        <v>2262.4380000000001</v>
      </c>
      <c r="I11" s="134">
        <v>0.6</v>
      </c>
      <c r="J11" s="133">
        <f>'ORÇAMENTO - DESONERADO'!$H$44*K11</f>
        <v>1508.2920000000004</v>
      </c>
      <c r="K11" s="134">
        <v>0.4</v>
      </c>
      <c r="L11" s="128">
        <f t="shared" si="0"/>
        <v>3770.7300000000005</v>
      </c>
      <c r="M11" s="129">
        <f t="shared" si="0"/>
        <v>1</v>
      </c>
      <c r="N11" s="26"/>
      <c r="O11" s="27"/>
      <c r="IG11" s="25"/>
      <c r="IH11" s="25"/>
      <c r="II11" s="25"/>
      <c r="IJ11" s="25"/>
      <c r="IK11" s="25"/>
    </row>
    <row r="12" spans="2:245" s="24" customFormat="1" ht="15.6">
      <c r="B12" s="140"/>
      <c r="C12" s="141" t="s">
        <v>50</v>
      </c>
      <c r="D12" s="456">
        <f>SUM(D8:D11)</f>
        <v>19640.648000000001</v>
      </c>
      <c r="E12" s="456"/>
      <c r="F12" s="456">
        <f>SUM(F8:F11)</f>
        <v>22805.46</v>
      </c>
      <c r="G12" s="456"/>
      <c r="H12" s="456">
        <f>SUM(H8:H11)</f>
        <v>17278.633999999998</v>
      </c>
      <c r="I12" s="456"/>
      <c r="J12" s="456">
        <f>SUM(J8:J11)</f>
        <v>5905.3880000000008</v>
      </c>
      <c r="K12" s="456"/>
      <c r="L12" s="142">
        <f>SUM(L8:L11)</f>
        <v>65630.13</v>
      </c>
      <c r="M12" s="143"/>
      <c r="N12" s="28"/>
      <c r="O12" s="27"/>
      <c r="IG12" s="25"/>
      <c r="IH12" s="25"/>
      <c r="II12" s="25"/>
      <c r="IJ12" s="25"/>
      <c r="IK12" s="25"/>
    </row>
    <row r="13" spans="2:245" s="24" customFormat="1" ht="16.2" thickBot="1">
      <c r="B13" s="144"/>
      <c r="C13" s="145" t="s">
        <v>51</v>
      </c>
      <c r="D13" s="455">
        <f>D12</f>
        <v>19640.648000000001</v>
      </c>
      <c r="E13" s="455"/>
      <c r="F13" s="455">
        <f>F12+D13</f>
        <v>42446.108</v>
      </c>
      <c r="G13" s="455"/>
      <c r="H13" s="455">
        <f>H12+F13</f>
        <v>59724.741999999998</v>
      </c>
      <c r="I13" s="455"/>
      <c r="J13" s="455">
        <f>J12+H13</f>
        <v>65630.13</v>
      </c>
      <c r="K13" s="455"/>
      <c r="L13" s="146"/>
      <c r="M13" s="147"/>
      <c r="N13" s="28"/>
      <c r="O13" s="27"/>
      <c r="IG13" s="25"/>
      <c r="IH13" s="25"/>
      <c r="II13" s="25"/>
      <c r="IJ13" s="25"/>
      <c r="IK13" s="25"/>
    </row>
    <row r="14" spans="2:245" ht="20.100000000000001" customHeight="1">
      <c r="B14" s="457" t="s">
        <v>298</v>
      </c>
      <c r="C14" s="457"/>
      <c r="D14" s="457"/>
      <c r="E14" s="457"/>
      <c r="F14" s="457"/>
      <c r="G14" s="457"/>
      <c r="H14" s="457"/>
      <c r="I14" s="457"/>
      <c r="J14" s="457"/>
      <c r="K14" s="457"/>
      <c r="L14" s="457"/>
      <c r="M14" s="457"/>
      <c r="O14" s="27"/>
    </row>
    <row r="15" spans="2:245" ht="20.100000000000001" customHeight="1">
      <c r="B15" s="357"/>
      <c r="C15" s="357"/>
      <c r="D15" s="357"/>
      <c r="E15" s="357"/>
      <c r="F15" s="357"/>
      <c r="G15" s="357"/>
      <c r="H15" s="357"/>
      <c r="I15" s="357"/>
      <c r="J15" s="357"/>
      <c r="K15" s="357"/>
      <c r="L15" s="357"/>
      <c r="M15" s="357"/>
    </row>
    <row r="16" spans="2:245" ht="12.75" customHeight="1">
      <c r="B16" s="357"/>
      <c r="C16" s="357"/>
      <c r="D16" s="357"/>
      <c r="E16" s="357"/>
      <c r="F16" s="357"/>
      <c r="G16" s="357"/>
      <c r="H16" s="357"/>
      <c r="I16" s="357"/>
      <c r="J16" s="357"/>
      <c r="K16" s="357"/>
      <c r="L16" s="357"/>
      <c r="M16" s="357"/>
    </row>
    <row r="17" spans="2:13" ht="12.75" customHeight="1">
      <c r="B17" s="357"/>
      <c r="C17" s="357"/>
      <c r="D17" s="357"/>
      <c r="E17" s="357"/>
      <c r="F17" s="357"/>
      <c r="G17" s="357"/>
      <c r="H17" s="357"/>
      <c r="I17" s="357"/>
      <c r="J17" s="357"/>
      <c r="K17" s="357"/>
      <c r="L17" s="357"/>
      <c r="M17" s="357"/>
    </row>
    <row r="18" spans="2:13" ht="15.6">
      <c r="B18" s="357" t="s">
        <v>45</v>
      </c>
      <c r="C18" s="357"/>
      <c r="D18" s="357"/>
      <c r="E18" s="357"/>
      <c r="F18" s="357"/>
      <c r="G18" s="357"/>
      <c r="H18" s="357"/>
      <c r="I18" s="357"/>
      <c r="J18" s="357"/>
      <c r="K18" s="357"/>
      <c r="L18" s="357"/>
      <c r="M18" s="357"/>
    </row>
    <row r="19" spans="2:13" ht="26.85" customHeight="1">
      <c r="B19" s="358" t="s">
        <v>46</v>
      </c>
      <c r="C19" s="358"/>
      <c r="D19" s="358"/>
      <c r="E19" s="358"/>
      <c r="F19" s="358"/>
      <c r="G19" s="358"/>
      <c r="H19" s="358"/>
      <c r="I19" s="358"/>
      <c r="J19" s="358"/>
      <c r="K19" s="358"/>
      <c r="L19" s="358"/>
      <c r="M19" s="358"/>
    </row>
    <row r="20" spans="2:13" ht="15" hidden="1" customHeight="1">
      <c r="B20" s="148"/>
      <c r="C20" s="148"/>
      <c r="D20" s="148"/>
      <c r="E20" s="148"/>
      <c r="F20" s="148"/>
      <c r="G20" s="148"/>
      <c r="H20" s="148"/>
      <c r="I20" s="148"/>
      <c r="J20" s="148"/>
      <c r="K20" s="148"/>
      <c r="L20" s="148"/>
      <c r="M20" s="148"/>
    </row>
  </sheetData>
  <sheetProtection selectLockedCells="1" selectUnlockedCells="1"/>
  <mergeCells count="23">
    <mergeCell ref="D13:E13"/>
    <mergeCell ref="H13:I13"/>
    <mergeCell ref="B19:M19"/>
    <mergeCell ref="D12:E12"/>
    <mergeCell ref="F12:G12"/>
    <mergeCell ref="H12:I12"/>
    <mergeCell ref="J12:K12"/>
    <mergeCell ref="F13:G13"/>
    <mergeCell ref="J13:K13"/>
    <mergeCell ref="B15:M17"/>
    <mergeCell ref="B18:M18"/>
    <mergeCell ref="B14:M14"/>
    <mergeCell ref="B2:M2"/>
    <mergeCell ref="B3:M3"/>
    <mergeCell ref="B6:B7"/>
    <mergeCell ref="C6:C7"/>
    <mergeCell ref="L6:M6"/>
    <mergeCell ref="H6:I6"/>
    <mergeCell ref="J6:K6"/>
    <mergeCell ref="B4:M4"/>
    <mergeCell ref="B5:M5"/>
    <mergeCell ref="D6:E6"/>
    <mergeCell ref="F6:G6"/>
  </mergeCells>
  <pageMargins left="0.58958333333333335" right="0.5395833333333333" top="0.28680555555555554" bottom="0.58888888888888891" header="0.51180555555555551" footer="0.51180555555555551"/>
  <pageSetup paperSize="9" scale="88" firstPageNumber="0"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10</vt:i4>
      </vt:variant>
    </vt:vector>
  </HeadingPairs>
  <TitlesOfParts>
    <vt:vector size="10" baseType="lpstr">
      <vt:lpstr>PROG NECESSIDADES</vt:lpstr>
      <vt:lpstr>MEMÓRIA CÁLCULO</vt:lpstr>
      <vt:lpstr>ORÇAMENTO - DESONERADO</vt:lpstr>
      <vt:lpstr>COMPOSIÇÕES - DESONERADO</vt:lpstr>
      <vt:lpstr>ORÇAMENTO - NÃO DESONERADO</vt:lpstr>
      <vt:lpstr>COMPOSIÇÕES - NÃO DESONERADO</vt:lpstr>
      <vt:lpstr>COMPARATIVO</vt:lpstr>
      <vt:lpstr>BDI</vt:lpstr>
      <vt:lpstr>ENCARGOS</vt:lpstr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Rodrigues de Freitas Lima</dc:creator>
  <cp:lastModifiedBy>Arthur Rodrigues de Freitas Lima</cp:lastModifiedBy>
  <dcterms:created xsi:type="dcterms:W3CDTF">2024-04-29T18:25:07Z</dcterms:created>
  <dcterms:modified xsi:type="dcterms:W3CDTF">2024-11-29T13:37:52Z</dcterms:modified>
</cp:coreProperties>
</file>