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EstaPastaDeTrabalho"/>
  <mc:AlternateContent xmlns:mc="http://schemas.openxmlformats.org/markup-compatibility/2006">
    <mc:Choice Requires="x15">
      <x15ac:absPath xmlns:x15ac="http://schemas.microsoft.com/office/spreadsheetml/2010/11/ac" url="C:\Users\aloisiofreitas\Downloads\"/>
    </mc:Choice>
  </mc:AlternateContent>
  <xr:revisionPtr revIDLastSave="0" documentId="13_ncr:1_{089606F4-61A5-41AF-B4F5-DC8D18047A12}" xr6:coauthVersionLast="47" xr6:coauthVersionMax="47" xr10:uidLastSave="{00000000-0000-0000-0000-000000000000}"/>
  <bookViews>
    <workbookView xWindow="-120" yWindow="-120" windowWidth="29040" windowHeight="15720" tabRatio="749" activeTab="9" xr2:uid="{BCB4ADFC-1522-4E78-A319-D2CCB17B2D6E}"/>
  </bookViews>
  <sheets>
    <sheet name="QUADRO DE PROFISSIONAIS" sheetId="9" r:id="rId1"/>
    <sheet name="GERAL-12D" sheetId="13" r:id="rId2"/>
    <sheet name="GERAL-12N" sheetId="14" r:id="rId3"/>
    <sheet name="LÍDER-12D" sheetId="1" r:id="rId4"/>
    <sheet name="MONITOR-12D" sheetId="2" r:id="rId5"/>
    <sheet name="MONITOR-12N" sheetId="15" r:id="rId6"/>
    <sheet name="MONITOR-11D" sheetId="16" r:id="rId7"/>
    <sheet name="GERAL-11D" sheetId="12" r:id="rId8"/>
    <sheet name="MATERIAIS" sheetId="6" r:id="rId9"/>
    <sheet name="TOTAIS FINAIS" sheetId="7" r:id="rId10"/>
    <sheet name="CCT - RS000303 2024" sheetId="8" r:id="rId11"/>
  </sheets>
  <definedNames>
    <definedName name="Área_Médico_Hospitalar">#REF!</definedName>
    <definedName name="CPT">#REF!</definedName>
    <definedName name="Esquadrias_Externas">#REF!</definedName>
    <definedName name="Externa">#REF!</definedName>
    <definedName name="Fachada_Envidraçada">#REF!</definedName>
    <definedName name="Interna">#REF!</definedName>
    <definedName name="Percentuais">#REF!</definedName>
    <definedName name="Regime">#REF!</definedName>
    <definedName name="Tarefa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12" roundtripDataChecksum="WLSLT5ePbhsgyTHp+4NCobaQ6olGQUZK5PmV5CAe8TQ="/>
    </ext>
  </extLst>
</workbook>
</file>

<file path=xl/calcChain.xml><?xml version="1.0" encoding="utf-8"?>
<calcChain xmlns="http://schemas.openxmlformats.org/spreadsheetml/2006/main">
  <c r="F45" i="7" l="1"/>
  <c r="C135" i="12"/>
  <c r="B135" i="12" s="1"/>
  <c r="A135" i="12"/>
  <c r="B134" i="12"/>
  <c r="A134" i="12"/>
  <c r="C133" i="12"/>
  <c r="B133" i="12" s="1"/>
  <c r="A133" i="12"/>
  <c r="C135" i="16"/>
  <c r="B135" i="16" s="1"/>
  <c r="A135" i="16"/>
  <c r="B134" i="16"/>
  <c r="A134" i="16"/>
  <c r="C133" i="16"/>
  <c r="B133" i="16"/>
  <c r="A133" i="16"/>
  <c r="C135" i="15"/>
  <c r="A135" i="15"/>
  <c r="A134" i="15"/>
  <c r="C133" i="15"/>
  <c r="A133" i="15"/>
  <c r="C135" i="2"/>
  <c r="B135" i="2" s="1"/>
  <c r="A135" i="2"/>
  <c r="B134" i="2"/>
  <c r="A134" i="2"/>
  <c r="C133" i="2"/>
  <c r="B133" i="2"/>
  <c r="A133" i="2"/>
  <c r="C135" i="1"/>
  <c r="B135" i="1" s="1"/>
  <c r="A135" i="1"/>
  <c r="B134" i="1"/>
  <c r="A134" i="1"/>
  <c r="C133" i="1"/>
  <c r="B133" i="1"/>
  <c r="A133" i="1"/>
  <c r="C135" i="14"/>
  <c r="A135" i="14"/>
  <c r="A134" i="14"/>
  <c r="C133" i="14"/>
  <c r="A133" i="14"/>
  <c r="A135" i="13"/>
  <c r="A134" i="13"/>
  <c r="A133" i="13"/>
  <c r="C135" i="13"/>
  <c r="C133" i="13"/>
  <c r="C63" i="12"/>
  <c r="A63" i="12"/>
  <c r="C63" i="16"/>
  <c r="A63" i="16"/>
  <c r="C63" i="15"/>
  <c r="A63" i="15"/>
  <c r="C63" i="2"/>
  <c r="A63" i="2"/>
  <c r="C63" i="1"/>
  <c r="A63" i="1"/>
  <c r="C63" i="14"/>
  <c r="A63" i="14"/>
  <c r="C63" i="13"/>
  <c r="A63" i="13"/>
  <c r="E15" i="6"/>
  <c r="E16" i="6"/>
  <c r="E19" i="6"/>
  <c r="J15" i="6"/>
  <c r="I3" i="6" s="1"/>
  <c r="C24" i="12"/>
  <c r="C24" i="15"/>
  <c r="C24" i="2"/>
  <c r="C24" i="1"/>
  <c r="C24" i="14"/>
  <c r="C24" i="13"/>
  <c r="C24" i="16"/>
  <c r="C66" i="12"/>
  <c r="C66" i="16"/>
  <c r="C66" i="15"/>
  <c r="C66" i="2"/>
  <c r="C66" i="14"/>
  <c r="C66" i="13"/>
  <c r="C66" i="1"/>
  <c r="J5" i="6" l="1"/>
  <c r="K5" i="6" s="1"/>
  <c r="J4" i="6"/>
  <c r="K4" i="6" s="1"/>
  <c r="A1" i="1"/>
  <c r="B127" i="1"/>
  <c r="B129" i="1" s="1"/>
  <c r="B140" i="1" s="1"/>
  <c r="B112" i="1"/>
  <c r="B118" i="1" s="1"/>
  <c r="B139" i="1" s="1"/>
  <c r="B107" i="1"/>
  <c r="B138" i="1" s="1"/>
  <c r="B89" i="1"/>
  <c r="B93" i="1" s="1"/>
  <c r="B136" i="1" s="1"/>
  <c r="C76" i="1"/>
  <c r="C75" i="1"/>
  <c r="C74" i="1"/>
  <c r="B61" i="1"/>
  <c r="B60" i="1"/>
  <c r="B59" i="1"/>
  <c r="C59" i="1" s="1"/>
  <c r="B57" i="1"/>
  <c r="B56" i="1"/>
  <c r="C47" i="1"/>
  <c r="C46" i="1"/>
  <c r="C45" i="1"/>
  <c r="C48" i="1" s="1"/>
  <c r="C27" i="1"/>
  <c r="C73" i="1" s="1"/>
  <c r="A1" i="7"/>
  <c r="A1" i="12"/>
  <c r="A1" i="16"/>
  <c r="A1" i="15"/>
  <c r="A1" i="2"/>
  <c r="A1" i="14"/>
  <c r="B127" i="12"/>
  <c r="B129" i="12" s="1"/>
  <c r="B140" i="12" s="1"/>
  <c r="B112" i="12"/>
  <c r="B118" i="12" s="1"/>
  <c r="B139" i="12" s="1"/>
  <c r="B107" i="12"/>
  <c r="B138" i="12" s="1"/>
  <c r="B89" i="12"/>
  <c r="B93" i="12" s="1"/>
  <c r="B136" i="12" s="1"/>
  <c r="C76" i="12"/>
  <c r="C75" i="12"/>
  <c r="C74" i="12"/>
  <c r="B61" i="12"/>
  <c r="B60" i="12"/>
  <c r="B59" i="12"/>
  <c r="C59" i="12" s="1"/>
  <c r="B57" i="12"/>
  <c r="B56" i="12"/>
  <c r="C47" i="12"/>
  <c r="C46" i="12"/>
  <c r="C45" i="12"/>
  <c r="C48" i="12" s="1"/>
  <c r="C27" i="12"/>
  <c r="C73" i="12" s="1"/>
  <c r="B127" i="16"/>
  <c r="B129" i="16" s="1"/>
  <c r="B140" i="16" s="1"/>
  <c r="B112" i="16"/>
  <c r="B118" i="16" s="1"/>
  <c r="B139" i="16" s="1"/>
  <c r="B107" i="16"/>
  <c r="B138" i="16" s="1"/>
  <c r="B89" i="16"/>
  <c r="B93" i="16" s="1"/>
  <c r="B136" i="16" s="1"/>
  <c r="C76" i="16"/>
  <c r="C75" i="16"/>
  <c r="C74" i="16"/>
  <c r="B61" i="16"/>
  <c r="B60" i="16"/>
  <c r="B59" i="16"/>
  <c r="C59" i="16" s="1"/>
  <c r="B57" i="16"/>
  <c r="B56" i="16"/>
  <c r="C47" i="16"/>
  <c r="C46" i="16"/>
  <c r="C45" i="16"/>
  <c r="C48" i="16" s="1"/>
  <c r="C27" i="16"/>
  <c r="C73" i="16" s="1"/>
  <c r="B127" i="15"/>
  <c r="B129" i="15" s="1"/>
  <c r="B140" i="15" s="1"/>
  <c r="B112" i="15"/>
  <c r="B118" i="15" s="1"/>
  <c r="B139" i="15" s="1"/>
  <c r="B107" i="15"/>
  <c r="B138" i="15" s="1"/>
  <c r="B89" i="15"/>
  <c r="B93" i="15" s="1"/>
  <c r="B136" i="15" s="1"/>
  <c r="C76" i="15"/>
  <c r="C75" i="15"/>
  <c r="C74" i="15"/>
  <c r="B61" i="15"/>
  <c r="B60" i="15"/>
  <c r="B59" i="15"/>
  <c r="C59" i="15" s="1"/>
  <c r="B57" i="15"/>
  <c r="B56" i="15"/>
  <c r="C47" i="15"/>
  <c r="C46" i="15"/>
  <c r="C45" i="15"/>
  <c r="C48" i="15" s="1"/>
  <c r="C27" i="15"/>
  <c r="C73" i="15" s="1"/>
  <c r="B127" i="2"/>
  <c r="B129" i="2" s="1"/>
  <c r="B140" i="2" s="1"/>
  <c r="B112" i="2"/>
  <c r="B118" i="2" s="1"/>
  <c r="B139" i="2" s="1"/>
  <c r="B107" i="2"/>
  <c r="B138" i="2" s="1"/>
  <c r="B89" i="2"/>
  <c r="B93" i="2" s="1"/>
  <c r="B136" i="2" s="1"/>
  <c r="C76" i="2"/>
  <c r="C75" i="2"/>
  <c r="C74" i="2"/>
  <c r="B61" i="2"/>
  <c r="B60" i="2"/>
  <c r="B59" i="2"/>
  <c r="C59" i="2" s="1"/>
  <c r="B57" i="2"/>
  <c r="B56" i="2"/>
  <c r="C47" i="2"/>
  <c r="C46" i="2"/>
  <c r="C45" i="2"/>
  <c r="C48" i="2" s="1"/>
  <c r="C27" i="2"/>
  <c r="C73" i="2" s="1"/>
  <c r="B127" i="13"/>
  <c r="B129" i="13" s="1"/>
  <c r="B140" i="13" s="1"/>
  <c r="B112" i="13"/>
  <c r="B118" i="13" s="1"/>
  <c r="B139" i="13" s="1"/>
  <c r="B107" i="13"/>
  <c r="B138" i="13" s="1"/>
  <c r="B89" i="13"/>
  <c r="B93" i="13" s="1"/>
  <c r="B136" i="13" s="1"/>
  <c r="C76" i="13"/>
  <c r="C75" i="13"/>
  <c r="C74" i="13"/>
  <c r="B61" i="13"/>
  <c r="B60" i="13"/>
  <c r="B59" i="13"/>
  <c r="C59" i="13" s="1"/>
  <c r="B57" i="13"/>
  <c r="B56" i="13"/>
  <c r="C47" i="13"/>
  <c r="C46" i="13"/>
  <c r="C45" i="13"/>
  <c r="C48" i="13" s="1"/>
  <c r="C27" i="13"/>
  <c r="C73" i="13" s="1"/>
  <c r="BF11" i="9"/>
  <c r="AF43" i="9"/>
  <c r="AD43" i="9"/>
  <c r="E43" i="9"/>
  <c r="C49" i="16" l="1"/>
  <c r="C56" i="16" s="1"/>
  <c r="C49" i="15"/>
  <c r="C56" i="15" s="1"/>
  <c r="C55" i="15"/>
  <c r="C72" i="15" s="1"/>
  <c r="C49" i="12"/>
  <c r="C56" i="12" s="1"/>
  <c r="C55" i="1"/>
  <c r="C60" i="1" s="1"/>
  <c r="C58" i="1" s="1"/>
  <c r="J6" i="6"/>
  <c r="K6" i="6"/>
  <c r="F25" i="7" s="1"/>
  <c r="G25" i="7" s="1"/>
  <c r="C55" i="12"/>
  <c r="C61" i="12" s="1"/>
  <c r="C55" i="16"/>
  <c r="C49" i="2"/>
  <c r="C56" i="2" s="1"/>
  <c r="C55" i="2"/>
  <c r="C60" i="2" s="1"/>
  <c r="C58" i="2" s="1"/>
  <c r="C49" i="13"/>
  <c r="C50" i="13" s="1"/>
  <c r="C57" i="13" s="1"/>
  <c r="C55" i="13"/>
  <c r="C49" i="1"/>
  <c r="C56" i="1" s="1"/>
  <c r="C50" i="12"/>
  <c r="C57" i="12" s="1"/>
  <c r="B89" i="14"/>
  <c r="C50" i="16" l="1"/>
  <c r="C57" i="16" s="1"/>
  <c r="C50" i="15"/>
  <c r="C57" i="15" s="1"/>
  <c r="C72" i="1"/>
  <c r="C77" i="1" s="1"/>
  <c r="C61" i="1"/>
  <c r="C60" i="15"/>
  <c r="C58" i="15" s="1"/>
  <c r="C62" i="15" s="1"/>
  <c r="C61" i="15"/>
  <c r="C50" i="2"/>
  <c r="C57" i="2" s="1"/>
  <c r="C62" i="2" s="1"/>
  <c r="C60" i="16"/>
  <c r="C58" i="16" s="1"/>
  <c r="C61" i="2"/>
  <c r="C72" i="2"/>
  <c r="C77" i="2" s="1"/>
  <c r="C60" i="13"/>
  <c r="C58" i="13" s="1"/>
  <c r="C60" i="12"/>
  <c r="C58" i="12" s="1"/>
  <c r="C62" i="12" s="1"/>
  <c r="C72" i="12"/>
  <c r="C77" i="12" s="1"/>
  <c r="C72" i="16"/>
  <c r="C77" i="16" s="1"/>
  <c r="C61" i="16"/>
  <c r="C56" i="13"/>
  <c r="C61" i="13"/>
  <c r="C72" i="13"/>
  <c r="C77" i="13" s="1"/>
  <c r="C50" i="1"/>
  <c r="C57" i="1" s="1"/>
  <c r="C77" i="15"/>
  <c r="C62" i="16" l="1"/>
  <c r="C67" i="15"/>
  <c r="C68" i="15" s="1"/>
  <c r="C67" i="2"/>
  <c r="C68" i="2" s="1"/>
  <c r="C62" i="1"/>
  <c r="C67" i="1" s="1"/>
  <c r="C68" i="1" s="1"/>
  <c r="C62" i="13"/>
  <c r="C67" i="13" s="1"/>
  <c r="C68" i="13" s="1"/>
  <c r="C67" i="12"/>
  <c r="C68" i="12" s="1"/>
  <c r="B133" i="15" l="1"/>
  <c r="B134" i="15"/>
  <c r="B135" i="15"/>
  <c r="B133" i="13"/>
  <c r="B134" i="13"/>
  <c r="B135" i="13"/>
  <c r="B72" i="1"/>
  <c r="C91" i="13"/>
  <c r="C128" i="13"/>
  <c r="C97" i="13"/>
  <c r="B97" i="13" s="1"/>
  <c r="B99" i="13" s="1"/>
  <c r="C112" i="13"/>
  <c r="C111" i="13"/>
  <c r="B72" i="13"/>
  <c r="C123" i="13"/>
  <c r="C98" i="13"/>
  <c r="C114" i="13"/>
  <c r="B73" i="13"/>
  <c r="C92" i="13"/>
  <c r="C90" i="13"/>
  <c r="C106" i="13"/>
  <c r="C125" i="13"/>
  <c r="C84" i="13"/>
  <c r="B74" i="13"/>
  <c r="C117" i="13"/>
  <c r="C89" i="13"/>
  <c r="C105" i="13"/>
  <c r="C67" i="16"/>
  <c r="C68" i="16" s="1"/>
  <c r="C91" i="15"/>
  <c r="C112" i="15"/>
  <c r="C92" i="15"/>
  <c r="C90" i="15"/>
  <c r="B73" i="15"/>
  <c r="C84" i="15"/>
  <c r="C125" i="15"/>
  <c r="C106" i="15"/>
  <c r="C124" i="15"/>
  <c r="C88" i="15"/>
  <c r="B74" i="15"/>
  <c r="C126" i="15"/>
  <c r="C117" i="15"/>
  <c r="C89" i="15"/>
  <c r="C113" i="15"/>
  <c r="C128" i="15"/>
  <c r="C111" i="15"/>
  <c r="C86" i="15"/>
  <c r="C116" i="15"/>
  <c r="C98" i="15"/>
  <c r="C122" i="15"/>
  <c r="C85" i="15"/>
  <c r="C115" i="15"/>
  <c r="C114" i="15"/>
  <c r="C105" i="15"/>
  <c r="C123" i="15"/>
  <c r="B75" i="15"/>
  <c r="B72" i="15"/>
  <c r="C97" i="15"/>
  <c r="C87" i="15"/>
  <c r="B76" i="15"/>
  <c r="C115" i="2"/>
  <c r="B74" i="2"/>
  <c r="C123" i="2"/>
  <c r="C86" i="2"/>
  <c r="C117" i="2"/>
  <c r="C128" i="2"/>
  <c r="C125" i="2"/>
  <c r="C113" i="2"/>
  <c r="C126" i="2"/>
  <c r="C85" i="2"/>
  <c r="C116" i="2"/>
  <c r="B75" i="2"/>
  <c r="B73" i="2"/>
  <c r="C106" i="2"/>
  <c r="C97" i="2"/>
  <c r="B97" i="2" s="1"/>
  <c r="B99" i="2" s="1"/>
  <c r="B76" i="2"/>
  <c r="C124" i="2"/>
  <c r="B72" i="2"/>
  <c r="C111" i="2"/>
  <c r="C88" i="2"/>
  <c r="C98" i="2"/>
  <c r="C122" i="2"/>
  <c r="C84" i="2"/>
  <c r="C105" i="2"/>
  <c r="C91" i="2"/>
  <c r="C89" i="2"/>
  <c r="C92" i="2"/>
  <c r="C114" i="2"/>
  <c r="C90" i="2"/>
  <c r="C112" i="2"/>
  <c r="C87" i="2"/>
  <c r="C126" i="13"/>
  <c r="C115" i="13"/>
  <c r="B75" i="13"/>
  <c r="B76" i="13"/>
  <c r="C116" i="13"/>
  <c r="C122" i="13"/>
  <c r="C87" i="13"/>
  <c r="C85" i="13"/>
  <c r="C88" i="13"/>
  <c r="C86" i="13"/>
  <c r="C124" i="13"/>
  <c r="C113" i="13"/>
  <c r="C112" i="12"/>
  <c r="B73" i="12"/>
  <c r="C86" i="12"/>
  <c r="C106" i="12"/>
  <c r="C84" i="12"/>
  <c r="C113" i="12"/>
  <c r="B75" i="12"/>
  <c r="B72" i="12"/>
  <c r="C88" i="12"/>
  <c r="C90" i="12"/>
  <c r="C115" i="12"/>
  <c r="C128" i="12"/>
  <c r="C92" i="12"/>
  <c r="C117" i="12"/>
  <c r="C87" i="12"/>
  <c r="C105" i="12"/>
  <c r="C91" i="12"/>
  <c r="C116" i="12"/>
  <c r="C114" i="12"/>
  <c r="C97" i="12"/>
  <c r="B97" i="12" s="1"/>
  <c r="B99" i="12" s="1"/>
  <c r="B74" i="12"/>
  <c r="C125" i="12"/>
  <c r="C85" i="12"/>
  <c r="C124" i="12"/>
  <c r="C126" i="12"/>
  <c r="C98" i="12"/>
  <c r="C123" i="12"/>
  <c r="C89" i="12"/>
  <c r="B76" i="12"/>
  <c r="C122" i="12"/>
  <c r="C111" i="12"/>
  <c r="B75" i="1"/>
  <c r="C85" i="1"/>
  <c r="C125" i="1"/>
  <c r="C105" i="1"/>
  <c r="C128" i="1"/>
  <c r="C115" i="1"/>
  <c r="C124" i="1"/>
  <c r="C126" i="1"/>
  <c r="B76" i="1"/>
  <c r="C117" i="1"/>
  <c r="C112" i="1"/>
  <c r="C106" i="1"/>
  <c r="C98" i="1"/>
  <c r="C86" i="1"/>
  <c r="C97" i="1"/>
  <c r="B97" i="1" s="1"/>
  <c r="B99" i="1" s="1"/>
  <c r="C88" i="1"/>
  <c r="C90" i="1"/>
  <c r="C87" i="1"/>
  <c r="B74" i="1"/>
  <c r="C122" i="1"/>
  <c r="C91" i="1"/>
  <c r="C114" i="1"/>
  <c r="B73" i="1"/>
  <c r="C113" i="1"/>
  <c r="C116" i="1"/>
  <c r="C84" i="1"/>
  <c r="C123" i="1"/>
  <c r="C92" i="1"/>
  <c r="C89" i="1"/>
  <c r="C111" i="1"/>
  <c r="C107" i="15" l="1"/>
  <c r="C138" i="15" s="1"/>
  <c r="B77" i="15"/>
  <c r="C127" i="2"/>
  <c r="C129" i="2" s="1"/>
  <c r="C140" i="2" s="1"/>
  <c r="B77" i="13"/>
  <c r="C99" i="13"/>
  <c r="C107" i="13"/>
  <c r="C138" i="13" s="1"/>
  <c r="C118" i="13"/>
  <c r="C139" i="13" s="1"/>
  <c r="C127" i="15"/>
  <c r="C129" i="15" s="1"/>
  <c r="C140" i="15" s="1"/>
  <c r="C127" i="13"/>
  <c r="C129" i="13" s="1"/>
  <c r="C140" i="13" s="1"/>
  <c r="C93" i="13"/>
  <c r="C136" i="13" s="1"/>
  <c r="B77" i="2"/>
  <c r="C118" i="15"/>
  <c r="C139" i="15" s="1"/>
  <c r="C93" i="15"/>
  <c r="C136" i="15" s="1"/>
  <c r="C118" i="2"/>
  <c r="C139" i="2" s="1"/>
  <c r="C107" i="2"/>
  <c r="C138" i="2" s="1"/>
  <c r="C99" i="15"/>
  <c r="C127" i="12"/>
  <c r="C129" i="12" s="1"/>
  <c r="C140" i="12" s="1"/>
  <c r="C107" i="12"/>
  <c r="C138" i="12" s="1"/>
  <c r="C99" i="12"/>
  <c r="B76" i="16"/>
  <c r="C116" i="16"/>
  <c r="C88" i="16"/>
  <c r="C105" i="16"/>
  <c r="B74" i="16"/>
  <c r="C87" i="16"/>
  <c r="C125" i="16"/>
  <c r="C115" i="16"/>
  <c r="C124" i="16"/>
  <c r="C91" i="16"/>
  <c r="C126" i="16"/>
  <c r="C84" i="16"/>
  <c r="C106" i="16"/>
  <c r="C98" i="16"/>
  <c r="C114" i="16"/>
  <c r="C123" i="16"/>
  <c r="C97" i="16"/>
  <c r="B73" i="16"/>
  <c r="C92" i="16"/>
  <c r="C85" i="16"/>
  <c r="C89" i="16"/>
  <c r="B72" i="16"/>
  <c r="C111" i="16"/>
  <c r="C86" i="16"/>
  <c r="C128" i="16"/>
  <c r="C90" i="16"/>
  <c r="C112" i="16"/>
  <c r="C122" i="16"/>
  <c r="C113" i="16"/>
  <c r="B75" i="16"/>
  <c r="C117" i="16"/>
  <c r="B97" i="15"/>
  <c r="B99" i="15" s="1"/>
  <c r="B100" i="15" s="1"/>
  <c r="C100" i="15" s="1"/>
  <c r="C93" i="2"/>
  <c r="C136" i="2" s="1"/>
  <c r="C99" i="2"/>
  <c r="C118" i="1"/>
  <c r="C139" i="1" s="1"/>
  <c r="C93" i="1"/>
  <c r="C136" i="1" s="1"/>
  <c r="C118" i="12"/>
  <c r="C139" i="12" s="1"/>
  <c r="C93" i="12"/>
  <c r="C136" i="12" s="1"/>
  <c r="B77" i="12"/>
  <c r="C127" i="1"/>
  <c r="C129" i="1" s="1"/>
  <c r="C140" i="1" s="1"/>
  <c r="B77" i="1"/>
  <c r="C107" i="1"/>
  <c r="C138" i="1" s="1"/>
  <c r="C99" i="1"/>
  <c r="B100" i="1"/>
  <c r="C100" i="1" s="1"/>
  <c r="B100" i="12"/>
  <c r="C100" i="12" s="1"/>
  <c r="B100" i="2"/>
  <c r="C100" i="2" s="1"/>
  <c r="B100" i="13"/>
  <c r="C100" i="13" s="1"/>
  <c r="C101" i="1" l="1"/>
  <c r="C137" i="1" s="1"/>
  <c r="C141" i="1" s="1"/>
  <c r="C143" i="1" s="1"/>
  <c r="C101" i="2"/>
  <c r="C137" i="2" s="1"/>
  <c r="C101" i="13"/>
  <c r="C137" i="13" s="1"/>
  <c r="C141" i="13" s="1"/>
  <c r="C143" i="13" s="1"/>
  <c r="C101" i="15"/>
  <c r="C137" i="15" s="1"/>
  <c r="C93" i="16"/>
  <c r="C136" i="16" s="1"/>
  <c r="C101" i="12"/>
  <c r="C137" i="12" s="1"/>
  <c r="C141" i="12" s="1"/>
  <c r="C107" i="16"/>
  <c r="C138" i="16" s="1"/>
  <c r="B77" i="16"/>
  <c r="C127" i="16"/>
  <c r="C129" i="16" s="1"/>
  <c r="C140" i="16" s="1"/>
  <c r="C118" i="16"/>
  <c r="C139" i="16" s="1"/>
  <c r="C99" i="16"/>
  <c r="B97" i="16"/>
  <c r="B99" i="16" s="1"/>
  <c r="B100" i="16" s="1"/>
  <c r="C100" i="16" s="1"/>
  <c r="C101" i="16" s="1"/>
  <c r="C137" i="16" s="1"/>
  <c r="B101" i="1"/>
  <c r="B137" i="1" s="1"/>
  <c r="B141" i="1" s="1"/>
  <c r="B101" i="12"/>
  <c r="B137" i="12" s="1"/>
  <c r="B141" i="12" s="1"/>
  <c r="B101" i="15"/>
  <c r="B137" i="15" s="1"/>
  <c r="B141" i="15" s="1"/>
  <c r="B101" i="2"/>
  <c r="B137" i="2" s="1"/>
  <c r="B141" i="2" s="1"/>
  <c r="B101" i="13"/>
  <c r="B137" i="13" s="1"/>
  <c r="B141" i="13" s="1"/>
  <c r="C143" i="12" l="1"/>
  <c r="C141" i="16"/>
  <c r="C143" i="16" s="1"/>
  <c r="E10" i="7" s="1"/>
  <c r="F10" i="7" s="1"/>
  <c r="G10" i="7" s="1"/>
  <c r="C141" i="15"/>
  <c r="C143" i="15" s="1"/>
  <c r="E9" i="7" s="1"/>
  <c r="F9" i="7" s="1"/>
  <c r="G9" i="7" s="1"/>
  <c r="C141" i="2"/>
  <c r="C143" i="2" s="1"/>
  <c r="E8" i="7" s="1"/>
  <c r="F8" i="7" s="1"/>
  <c r="G8" i="7" s="1"/>
  <c r="B101" i="16"/>
  <c r="B137" i="16" s="1"/>
  <c r="B141" i="16" s="1"/>
  <c r="B7" i="7"/>
  <c r="C7" i="7"/>
  <c r="B127" i="14"/>
  <c r="B112" i="14"/>
  <c r="B93" i="14"/>
  <c r="B107" i="14" s="1"/>
  <c r="B138" i="14" s="1"/>
  <c r="C76" i="14"/>
  <c r="C75" i="14"/>
  <c r="C74" i="14"/>
  <c r="B61" i="14"/>
  <c r="B60" i="14"/>
  <c r="B59" i="14"/>
  <c r="B57" i="14"/>
  <c r="B56" i="14"/>
  <c r="C47" i="14"/>
  <c r="C46" i="14"/>
  <c r="C45" i="14"/>
  <c r="C48" i="14" s="1"/>
  <c r="C27" i="14"/>
  <c r="C73" i="14" s="1"/>
  <c r="C5" i="7"/>
  <c r="D22" i="7"/>
  <c r="D21" i="7"/>
  <c r="D20" i="7"/>
  <c r="D19" i="7"/>
  <c r="D18" i="7"/>
  <c r="D17" i="7"/>
  <c r="D16" i="7"/>
  <c r="E11" i="7"/>
  <c r="F11" i="7" s="1"/>
  <c r="G11" i="7" s="1"/>
  <c r="C9" i="7"/>
  <c r="C8" i="7"/>
  <c r="A10" i="7"/>
  <c r="A11" i="7"/>
  <c r="A9" i="7"/>
  <c r="A6" i="7"/>
  <c r="A5" i="7"/>
  <c r="B11" i="7"/>
  <c r="B10" i="7"/>
  <c r="B9" i="7"/>
  <c r="B8" i="7"/>
  <c r="A8" i="7"/>
  <c r="A7" i="7"/>
  <c r="E22" i="6"/>
  <c r="E21" i="6"/>
  <c r="E20" i="6"/>
  <c r="E18" i="6"/>
  <c r="E17" i="6"/>
  <c r="E11" i="6"/>
  <c r="E10" i="6"/>
  <c r="E9" i="6"/>
  <c r="E8" i="6"/>
  <c r="E7" i="6"/>
  <c r="E6" i="6"/>
  <c r="E5" i="6"/>
  <c r="E4" i="6"/>
  <c r="E3" i="6"/>
  <c r="E2" i="6"/>
  <c r="B118" i="14" l="1"/>
  <c r="B139" i="14" s="1"/>
  <c r="E12" i="6"/>
  <c r="B129" i="14"/>
  <c r="B140" i="14" s="1"/>
  <c r="B136" i="14"/>
  <c r="E23" i="6"/>
  <c r="B6" i="7"/>
  <c r="C49" i="14"/>
  <c r="C56" i="14" s="1"/>
  <c r="C55" i="14"/>
  <c r="C59" i="14"/>
  <c r="C6" i="7"/>
  <c r="B5" i="7"/>
  <c r="G27" i="7"/>
  <c r="F27" i="7"/>
  <c r="E24" i="6" l="1"/>
  <c r="E22" i="7" s="1"/>
  <c r="F22" i="7" s="1"/>
  <c r="G22" i="7" s="1"/>
  <c r="C61" i="14"/>
  <c r="C72" i="14"/>
  <c r="C77" i="14" s="1"/>
  <c r="C50" i="14"/>
  <c r="C57" i="14" s="1"/>
  <c r="C60" i="14"/>
  <c r="C58" i="14" s="1"/>
  <c r="E20" i="7" l="1"/>
  <c r="F20" i="7" s="1"/>
  <c r="G20" i="7" s="1"/>
  <c r="E18" i="7"/>
  <c r="F18" i="7" s="1"/>
  <c r="G18" i="7" s="1"/>
  <c r="E21" i="7"/>
  <c r="F21" i="7" s="1"/>
  <c r="G21" i="7" s="1"/>
  <c r="E16" i="7"/>
  <c r="F16" i="7" s="1"/>
  <c r="G16" i="7" s="1"/>
  <c r="E19" i="7"/>
  <c r="F19" i="7" s="1"/>
  <c r="G19" i="7" s="1"/>
  <c r="E17" i="7"/>
  <c r="F17" i="7" s="1"/>
  <c r="G17" i="7" s="1"/>
  <c r="C62" i="14"/>
  <c r="C67" i="14" l="1"/>
  <c r="C68" i="14" s="1"/>
  <c r="F23" i="7"/>
  <c r="F28" i="7" s="1"/>
  <c r="G23" i="7"/>
  <c r="G28" i="7" s="1"/>
  <c r="B134" i="14" l="1"/>
  <c r="B133" i="14"/>
  <c r="B135" i="14"/>
  <c r="C98" i="14"/>
  <c r="B72" i="14"/>
  <c r="C90" i="14"/>
  <c r="C122" i="14"/>
  <c r="C105" i="14"/>
  <c r="C84" i="14"/>
  <c r="C91" i="14"/>
  <c r="B73" i="14"/>
  <c r="C117" i="14"/>
  <c r="C92" i="14"/>
  <c r="C106" i="14"/>
  <c r="C85" i="14"/>
  <c r="C114" i="14"/>
  <c r="C89" i="14"/>
  <c r="C112" i="14"/>
  <c r="C123" i="14"/>
  <c r="B75" i="14"/>
  <c r="C97" i="14"/>
  <c r="B97" i="14" s="1"/>
  <c r="B99" i="14" s="1"/>
  <c r="B100" i="14" s="1"/>
  <c r="C100" i="14" s="1"/>
  <c r="C128" i="14"/>
  <c r="C87" i="14"/>
  <c r="C126" i="14"/>
  <c r="C113" i="14"/>
  <c r="B74" i="14"/>
  <c r="B76" i="14"/>
  <c r="C86" i="14"/>
  <c r="C111" i="14"/>
  <c r="C88" i="14"/>
  <c r="C125" i="14"/>
  <c r="C124" i="14"/>
  <c r="C115" i="14"/>
  <c r="C116" i="14"/>
  <c r="C107" i="14" l="1"/>
  <c r="C138" i="14" s="1"/>
  <c r="B77" i="14"/>
  <c r="C118" i="14"/>
  <c r="C139" i="14" s="1"/>
  <c r="C93" i="14"/>
  <c r="C136" i="14" s="1"/>
  <c r="C127" i="14"/>
  <c r="C129" i="14" s="1"/>
  <c r="C140" i="14" s="1"/>
  <c r="C99" i="14"/>
  <c r="C101" i="14" s="1"/>
  <c r="C137" i="14" s="1"/>
  <c r="E5" i="7"/>
  <c r="E7" i="7"/>
  <c r="F7" i="7" s="1"/>
  <c r="G7" i="7" s="1"/>
  <c r="B101" i="14"/>
  <c r="B137" i="14" s="1"/>
  <c r="B141" i="14" s="1"/>
  <c r="F48" i="7" l="1"/>
  <c r="H48" i="7" s="1"/>
  <c r="I48" i="7" s="1"/>
  <c r="F46" i="7"/>
  <c r="H46" i="7" s="1"/>
  <c r="I46" i="7" s="1"/>
  <c r="F49" i="7"/>
  <c r="H49" i="7" s="1"/>
  <c r="I49" i="7" s="1"/>
  <c r="F47" i="7"/>
  <c r="H47" i="7" s="1"/>
  <c r="I47" i="7" s="1"/>
  <c r="C141" i="14"/>
  <c r="C143" i="14" s="1"/>
  <c r="E6" i="7" s="1"/>
  <c r="D13" i="7"/>
  <c r="I50" i="7" l="1"/>
  <c r="F6" i="7"/>
  <c r="G6" i="7" s="1"/>
  <c r="F5" i="7"/>
  <c r="F53" i="7" l="1"/>
  <c r="F54" i="7" s="1"/>
  <c r="F55" i="7" s="1"/>
  <c r="G5" i="7"/>
  <c r="F13" i="7"/>
  <c r="F56" i="7" l="1"/>
  <c r="F57" i="7"/>
  <c r="F31" i="7"/>
  <c r="G13" i="7"/>
  <c r="F32" i="7" l="1"/>
  <c r="G32" i="7" s="1"/>
  <c r="F33" i="7"/>
  <c r="G33" i="7" s="1"/>
  <c r="G31" i="7"/>
  <c r="F35" i="7" l="1"/>
  <c r="G35" i="7" s="1"/>
  <c r="F34" i="7"/>
  <c r="G34" i="7" s="1"/>
  <c r="F36" i="7" l="1"/>
  <c r="G36" i="7" s="1"/>
  <c r="F40" i="7" s="1"/>
  <c r="E40" i="7"/>
  <c r="F58" i="7" l="1"/>
  <c r="G58" i="7" l="1"/>
  <c r="E62" i="7" s="1"/>
  <c r="F62" i="7"/>
</calcChain>
</file>

<file path=xl/sharedStrings.xml><?xml version="1.0" encoding="utf-8"?>
<sst xmlns="http://schemas.openxmlformats.org/spreadsheetml/2006/main" count="1731" uniqueCount="317">
  <si>
    <t>OBJETO DA LICITAÇÃO:</t>
  </si>
  <si>
    <t>COMENTÁRIO</t>
  </si>
  <si>
    <t>Horário de trabalho</t>
  </si>
  <si>
    <t>DIURNO</t>
  </si>
  <si>
    <t>Escala</t>
  </si>
  <si>
    <t>Qtd de dias de trabalho na semana</t>
  </si>
  <si>
    <t>Média de dias trabalhados por empregado no mês</t>
  </si>
  <si>
    <t>O artigo 73 da CLT, para o trabalho executado entre as 22 horas de um dia e as 5 horas do dia seguinte conf. §2°</t>
  </si>
  <si>
    <t xml:space="preserve">Quantidade horas diurnas </t>
  </si>
  <si>
    <t>Quantidade horas diárias do posto</t>
  </si>
  <si>
    <t xml:space="preserve">Quantidade horas extras </t>
  </si>
  <si>
    <t>Horas de trabalho no mês com RSR</t>
  </si>
  <si>
    <t>POSTO</t>
  </si>
  <si>
    <t>-</t>
  </si>
  <si>
    <t>Intervalo Intrajornada (Será concedido? sim/não)</t>
  </si>
  <si>
    <t>SIM</t>
  </si>
  <si>
    <t xml:space="preserve">Número de meses da execucao contratual </t>
  </si>
  <si>
    <t>Categoria Profissional</t>
  </si>
  <si>
    <t>CBO *</t>
  </si>
  <si>
    <t>Registro da CCT no MTE: *</t>
  </si>
  <si>
    <t>CCT</t>
  </si>
  <si>
    <t>Data base da categoria *</t>
  </si>
  <si>
    <t>Valor do salário normativo *</t>
  </si>
  <si>
    <t>Custo Unitário Transporte</t>
  </si>
  <si>
    <t>Quantidade de vale transporte mês</t>
  </si>
  <si>
    <t>Custo Unitário Alimentação/Lanche CCT *</t>
  </si>
  <si>
    <t>% Descontado do empregado alimentação CCT *</t>
  </si>
  <si>
    <t>Quantidade de vale alimentação mês</t>
  </si>
  <si>
    <t>2.3. Custo Unitário Assistencia médica *</t>
  </si>
  <si>
    <t>2.4. Custo Unitário PLANO DE BENEFÍCIO FAMILIAR *</t>
  </si>
  <si>
    <t>2.5. Custo Unitário Exames médicos/laudos segurança do trabalho</t>
  </si>
  <si>
    <t>1.2. Hora extra</t>
  </si>
  <si>
    <t>1.3. Adicional Noturno</t>
  </si>
  <si>
    <t>1.5. Adicional Insalubridade</t>
  </si>
  <si>
    <t>VALORES PARA UM EMPREGADO</t>
  </si>
  <si>
    <t xml:space="preserve">Limite de horas mensais com RSR </t>
  </si>
  <si>
    <t>Salário hora</t>
  </si>
  <si>
    <t>Salário hora com Gratificação de Função risco de vida</t>
  </si>
  <si>
    <t xml:space="preserve">Hora adicional noturno </t>
  </si>
  <si>
    <t>PLANILHA DE CUSTOS</t>
  </si>
  <si>
    <t>MÓDULO 1: COMPOSIÇÃO DA REMUNERAÇÃO</t>
  </si>
  <si>
    <t>REMUNERAÇÃO</t>
  </si>
  <si>
    <t>%</t>
  </si>
  <si>
    <t>VALOR</t>
  </si>
  <si>
    <t>1.1. Salário Base</t>
  </si>
  <si>
    <t>Artigo 7º, XVI da CF</t>
  </si>
  <si>
    <t>O artigo 73 da CLT, 20% de acréscimo para o trabalho executado entre as 22 horas de um dia e as 5 horas do dia seguinte conf. §2°</t>
  </si>
  <si>
    <t>1.8. RSR s/ Adicional Noturno, Hora Noturna Reduzida</t>
  </si>
  <si>
    <t>TOTAL DA REMUNERAÇÃO</t>
  </si>
  <si>
    <t>TOTAL DO MÓDULO 1</t>
  </si>
  <si>
    <t>MÓDULO 2: BENEFÍCIOS MENSAIS E DIÁRIOS</t>
  </si>
  <si>
    <t>BENEFÍCIOS</t>
  </si>
  <si>
    <t>% sobre remuneração</t>
  </si>
  <si>
    <t>2.1. Vale-transporte *</t>
  </si>
  <si>
    <t>= Valor Integral de todas as passagens - a parte paga pelo funcionário (SALÁRIO BASE * % de desconto do funcionário)</t>
  </si>
  <si>
    <t>2.2. Auxílio alimentação/Cesta básica/Vale Lanche *</t>
  </si>
  <si>
    <t>= Valor integral do Auxílio - a parte paga pelo funcionário</t>
  </si>
  <si>
    <t>2.3. Assistencia médica</t>
  </si>
  <si>
    <t>2.4. Plano de Benefício Familiar</t>
  </si>
  <si>
    <t>2.5. Exames médicos/ Laudos segurança do trabalho</t>
  </si>
  <si>
    <t>TOTAL DO MÓDULO 2</t>
  </si>
  <si>
    <t>TOTAL DO MÓDULO 3</t>
  </si>
  <si>
    <t>Rubrica</t>
  </si>
  <si>
    <t>Subtotal</t>
  </si>
  <si>
    <t>SUBTOTAL</t>
  </si>
  <si>
    <t>VALOR  DOS CUSTOS DIRETOS</t>
  </si>
  <si>
    <t>Fonte de dados para o preenchimento da planilha:</t>
  </si>
  <si>
    <t>1 - Manual de orientação de preenchimento da planilha analítica de composição de custos e formação de preços</t>
  </si>
  <si>
    <t>2 - Manual de preenchimento do modelo de planilhas de custos e de formação de preços do Superior Tribunal de Justiça</t>
  </si>
  <si>
    <t>3 - Caderno Técnico de Formação de Preços para Licitações (Mão de Obra Exclusiva)</t>
  </si>
  <si>
    <t>4 - Licitação Online Portal de Aprendizagem de Licitação</t>
  </si>
  <si>
    <t xml:space="preserve">RESUMO: VALOR </t>
  </si>
  <si>
    <t>Cargo</t>
  </si>
  <si>
    <t xml:space="preserve">Acúmulo em %: Chefia e Função Gratificada </t>
  </si>
  <si>
    <t>Jornada Semanal</t>
  </si>
  <si>
    <t>Número de Funcionários Estimados</t>
  </si>
  <si>
    <t>Valor Unitário do Cargo</t>
  </si>
  <si>
    <t>Valor Mensal</t>
  </si>
  <si>
    <t>Valor Anual</t>
  </si>
  <si>
    <t>Total Mão de Obra</t>
  </si>
  <si>
    <t>Total</t>
  </si>
  <si>
    <t>Valor mensal</t>
  </si>
  <si>
    <t>Despesas Administrativa</t>
  </si>
  <si>
    <t>Lucro</t>
  </si>
  <si>
    <t>COFINS</t>
  </si>
  <si>
    <t>PIS</t>
  </si>
  <si>
    <t>TOTAL CITL</t>
  </si>
  <si>
    <t>TOTAL FINAL</t>
  </si>
  <si>
    <t>Valor Contratual</t>
  </si>
  <si>
    <t>Base de Cálculo para Insalubridade</t>
  </si>
  <si>
    <t>1.6. Adicional Periculosidade</t>
  </si>
  <si>
    <t>1.7. Gratificação de Função</t>
  </si>
  <si>
    <r>
      <rPr>
        <sz val="10"/>
        <color theme="1"/>
        <rFont val="Arial"/>
        <family val="2"/>
      </rPr>
      <t xml:space="preserve">* </t>
    </r>
    <r>
      <rPr>
        <b/>
        <sz val="10"/>
        <color theme="1"/>
        <rFont val="Arial"/>
        <family val="2"/>
      </rPr>
      <t xml:space="preserve">Nota: </t>
    </r>
    <r>
      <rPr>
        <sz val="10"/>
        <color theme="1"/>
        <rFont val="Arial"/>
        <family val="2"/>
      </rPr>
      <t>Itens com fundo verde que geralmente estão disponibilizados na CCT</t>
    </r>
  </si>
  <si>
    <t>O artigo 192 da CLT determina que o cálculo do adicional de insalubridade é feito com base no salário-mínimo — ou seja,  ele não é relacionado ao salário do trabalhador. Porém, o adicional pode ser calculado sobre o piso da categoria em casos determinados por convenção coletiva.</t>
  </si>
  <si>
    <t xml:space="preserve">SÚMULA Nº 191 -  ADICIONAL. PERICULOSIDADE. INCIDÊNCIA
O adicional de periculosidade incide apenas sobre o salário básico e não sobre este acrescido de outros adicionais. </t>
  </si>
  <si>
    <r>
      <rPr>
        <b/>
        <sz val="10"/>
        <color rgb="FF000000"/>
        <rFont val="Arial"/>
        <family val="2"/>
      </rPr>
      <t>* Nota</t>
    </r>
    <r>
      <rPr>
        <sz val="10"/>
        <color rgb="FF000000"/>
        <rFont val="Arial"/>
        <family val="2"/>
      </rPr>
      <t>: O valor informado deverá ser o custo real do benefício (descontado o valor eventualmente pago pelo empregado).</t>
    </r>
  </si>
  <si>
    <t>Valor Mensal- EPI</t>
  </si>
  <si>
    <t>Valor Anual - EPI</t>
  </si>
  <si>
    <t>R$ de EPI por funcionário</t>
  </si>
  <si>
    <t>MATERIAIS / EQUIPAMENTOS COLETIVOS (EPC)</t>
  </si>
  <si>
    <t>Total EPI</t>
  </si>
  <si>
    <t>Total Materiais / Equipamentos Coletivos (EPC)</t>
  </si>
  <si>
    <t>ISSQN (entre 2% a 5%)</t>
  </si>
  <si>
    <t>MÓDULO 3: ENCARGOS SOCIAIS E TRABALHISTAS</t>
  </si>
  <si>
    <t>SUBMÓDULO 3.1 Encargos Previdenciários e FGTS</t>
  </si>
  <si>
    <t>SUBMÓDULO 3.2: 13º SALÁRIO E ADICIONAL DE FÉRIAS</t>
  </si>
  <si>
    <t>SUBMÓDULO 3.3:  AFASTAMENTO MATERNIDADE</t>
  </si>
  <si>
    <t>SUBMÓDULO 3.4: PROVISÃO PARA RESCISÃO</t>
  </si>
  <si>
    <t>TOTAL  DO SUBMÓDULO 3.4</t>
  </si>
  <si>
    <t>TOTAL DO SUBMÓDULO 3.3</t>
  </si>
  <si>
    <t>TOTAL DO SUBMÓDULO 3.2</t>
  </si>
  <si>
    <t>TOTAL DO SUBMÓDULO 3.1</t>
  </si>
  <si>
    <t>RESUMO 3</t>
  </si>
  <si>
    <t xml:space="preserve">MÓD1 + MÓD2 + MÓD3 </t>
  </si>
  <si>
    <t>3.1. Encargos Previdenciários e FGTS</t>
  </si>
  <si>
    <t>3.2. 13º Salário e Adicional de Férias</t>
  </si>
  <si>
    <t>3.3. Afastamento  Maternidade</t>
  </si>
  <si>
    <t>3.4. Provisão para rescisão</t>
  </si>
  <si>
    <t>3.5. Custo de Reposição Profissional Ausente</t>
  </si>
  <si>
    <t>3.1.1. INSS</t>
  </si>
  <si>
    <t>3.1.2. SESI/SESC</t>
  </si>
  <si>
    <t>3.1.3. INCRA</t>
  </si>
  <si>
    <t>3.1.5. Salário Educação</t>
  </si>
  <si>
    <t>3.1.6. RAT Ajustado  (RAT   x FAP )</t>
  </si>
  <si>
    <t>3.1.7. FGTS</t>
  </si>
  <si>
    <t>3.1.8. SEBRAE</t>
  </si>
  <si>
    <t>3.1.4. SENAI/SENAC</t>
  </si>
  <si>
    <t>3.2.1. Adicional de Férias</t>
  </si>
  <si>
    <t>3.2.2. 13º salário</t>
  </si>
  <si>
    <t>3.2.3. Incidência do submódulo 3.1 sobre 13º salário e adicional de férias</t>
  </si>
  <si>
    <t>3.3.1. Licença Maternidade</t>
  </si>
  <si>
    <t>3.3.2. Incidência do 3.1 sobre afastamento maternidade</t>
  </si>
  <si>
    <t>3.4.1. Aviso Prévio Indenizado 2</t>
  </si>
  <si>
    <t>3.4.2. FGTS (4.1.7) sobre 3.4.1 2</t>
  </si>
  <si>
    <t>3.4.3. Multa do FGTS sobre 3.4.1 2</t>
  </si>
  <si>
    <t>3.4.5. Aviso Prévio Trabalhado</t>
  </si>
  <si>
    <t>3.4.7. Incidência 4.1 sobre 3.4.5 e 3.4.6</t>
  </si>
  <si>
    <t>3.4.8. Multa do FGTS (4.1.7) sobre 3.4.5</t>
  </si>
  <si>
    <t>3.5.1. Férias</t>
  </si>
  <si>
    <t>3.5.2. Ausência por Doença</t>
  </si>
  <si>
    <t>3.5.3. Licença Paternidade</t>
  </si>
  <si>
    <t>3.5.4. Ausências Legais</t>
  </si>
  <si>
    <t>3.5.5. Ausência por Acidente do Trabalho</t>
  </si>
  <si>
    <t>3.5.7. Incid. 3.1 s/ custo reposição profissional ausente</t>
  </si>
  <si>
    <t>Nº FUNC/CARGO</t>
  </si>
  <si>
    <t>MÓDULO 4: RESUMO MATERIAIS E EQUIPAMENTOS INDIVIDUAIS E COLETIVOS</t>
  </si>
  <si>
    <t>MÓDULO 5: CITL - CUSTOS INDIRETOS, TRIBUTOS E LUCRO (SL, LA e SU)</t>
  </si>
  <si>
    <t>Item</t>
  </si>
  <si>
    <t>Prazo De Substituição</t>
  </si>
  <si>
    <t>Número de peças por vigia</t>
  </si>
  <si>
    <t xml:space="preserve">Valor Unitário da peça R$ </t>
  </si>
  <si>
    <t xml:space="preserve">Valor total por vigia mensal R$ </t>
  </si>
  <si>
    <t>Calça Tipo Rip Stop, com 6 bolsos (2 frente, 2 atrás e 2 laterais)</t>
  </si>
  <si>
    <t>Camisa manga longa, com abotoamento frontal, com logomarca e nas cores da empresa</t>
  </si>
  <si>
    <t>Camisa manga curta, com abotoamento frontal, com logomarca e nas cores da empresa</t>
  </si>
  <si>
    <r>
      <t xml:space="preserve">Jaqueta de frio, japona ou </t>
    </r>
    <r>
      <rPr>
        <i/>
        <sz val="10"/>
        <color rgb="FF000000"/>
        <rFont val="Arial"/>
        <family val="2"/>
        <scheme val="minor"/>
      </rPr>
      <t xml:space="preserve">parka, </t>
    </r>
    <r>
      <rPr>
        <sz val="10"/>
        <color rgb="FF000000"/>
        <rFont val="Arial"/>
        <family val="2"/>
        <scheme val="minor"/>
      </rPr>
      <t>de náilon, com logotipo e nas cores da empresa</t>
    </r>
  </si>
  <si>
    <t>Capa de chuva, confeccionada em náilon emborrachado, com capuz e punhos ajustáveis, com fita reflexiva na frente e nas costas, com logomarca e nas cores da empresa</t>
  </si>
  <si>
    <t>Coturno (par)</t>
  </si>
  <si>
    <t>Meia cano alto</t>
  </si>
  <si>
    <t>Cinto de guarnição tático completo</t>
  </si>
  <si>
    <t>Boné no modelo, logotipo e cores da empresa</t>
  </si>
  <si>
    <t>Gravata nas cores da empresa</t>
  </si>
  <si>
    <t>TOTAL PARCIAL ROUPAS  POR VIGIA</t>
  </si>
  <si>
    <t xml:space="preserve">Valor Unitário R$ </t>
  </si>
  <si>
    <t xml:space="preserve">Valor Unitário mensal R$ </t>
  </si>
  <si>
    <t>Equipamento profissional de Rádio Comunicação, em VHF, com bateria e carregador.</t>
  </si>
  <si>
    <t>Bastão PR24</t>
  </si>
  <si>
    <t>Porta-bastão</t>
  </si>
  <si>
    <t>Apito com cordão de apito</t>
  </si>
  <si>
    <t>Lanterna de LED, com bateria</t>
  </si>
  <si>
    <t>Colete refletivo</t>
  </si>
  <si>
    <t>TOTAL PARCIAL EQUIPAMENTOS POR VIGIA</t>
  </si>
  <si>
    <t>TOTAL GLOBAL MENSAL  POR VIGIA/ SUPERVISOR/ MONITOR</t>
  </si>
  <si>
    <t xml:space="preserve">CLÁUSULA TERCEIRA - SALÁRIOS PROFISSIONAIS </t>
  </si>
  <si>
    <t>LEI No 7.418, DE 16 DE DEZEMBRO DE 1985 Art. 4 Parágrafo único</t>
  </si>
  <si>
    <t>Tribunal Regional do Trabalho da 1ª Região TRT-1 - RECURSO ORDINÁRIO: RO XXXXX20155010030 RJ
ADICIONAL DE PERICULOSIDADE. VIGILANTE. ATIVIDADE COMPREENDIDA NO ART. 193, II, DA CLT. Fazem jus ao adicional de periculosidade equivalente a 30% do efetivo salário os trabalhadores em atividades profissionais de segurança pessoal ou patrimonial, em razão da exposição a risco de roubos ou outras espécies de violência …</t>
  </si>
  <si>
    <t>SINDVIGILANTES</t>
  </si>
  <si>
    <t>Postos</t>
  </si>
  <si>
    <t>Profissional</t>
  </si>
  <si>
    <t>Posto de vigilância controle de vias e acessos - (Pórtico)</t>
  </si>
  <si>
    <t>Posto de vigilância controle de vias e acessos – (estacionamentos)</t>
  </si>
  <si>
    <t xml:space="preserve">Posto de vigilância Portaria Norte Térreo </t>
  </si>
  <si>
    <t>Posto de vigilância Portaria N 2ºA</t>
  </si>
  <si>
    <t>Posto de vigilância Loureiro da Silva</t>
  </si>
  <si>
    <r>
      <t xml:space="preserve">Posto de vigilância Central de </t>
    </r>
    <r>
      <rPr>
        <b/>
        <sz val="11"/>
        <color rgb="FF000000"/>
        <rFont val="Verdana"/>
        <family val="2"/>
      </rPr>
      <t>Monitoramento</t>
    </r>
    <r>
      <rPr>
        <sz val="11"/>
        <color rgb="FF000000"/>
        <rFont val="Verdana"/>
        <family val="2"/>
      </rPr>
      <t xml:space="preserve"> </t>
    </r>
  </si>
  <si>
    <r>
      <t xml:space="preserve">Posto de Supervisor – </t>
    </r>
    <r>
      <rPr>
        <b/>
        <sz val="11"/>
        <color rgb="FF000000"/>
        <rFont val="Verdana"/>
        <family val="2"/>
      </rPr>
      <t>vigilante líder</t>
    </r>
  </si>
  <si>
    <t>Limite de horas mensais com RSR (Repouso Salarial Remunerado)*</t>
  </si>
  <si>
    <t>SUBMÓDULO 3.5: CUSTO DE REPOSIÇÃO DE PROFISSIONAL AUSENTE</t>
  </si>
  <si>
    <t>TOTAL DO SUBMÓDULO 3.5</t>
  </si>
  <si>
    <t>QUADRO RESUMO MÓDULO 3: ENCARGOS SOCIAIS E TRABALHISTAS</t>
  </si>
  <si>
    <t>Agente monitoramento, Operador de Vídeo</t>
  </si>
  <si>
    <t>5174-20</t>
  </si>
  <si>
    <t>PROCESSO SEI 130.00016/2024-59</t>
  </si>
  <si>
    <t>Qtde. de horas noturnas x qtde de dias laborados a noite x 0,142857 x (Salário base + adicionais periculosidade/insalubridade) ÷ total de horas mensais x 1,2</t>
  </si>
  <si>
    <t>1.4. Valor Hora Noturna Reduzida</t>
  </si>
  <si>
    <t>RSR - Repouso Semanal Remunerado.</t>
  </si>
  <si>
    <t>Nr</t>
  </si>
  <si>
    <t>ATUAL</t>
  </si>
  <si>
    <t>PROPOSTO</t>
  </si>
  <si>
    <t>07 às 19:00hs  12x36 (44hs)</t>
  </si>
  <si>
    <t>19:00 às 07:00hs 12x36 (44hs)</t>
  </si>
  <si>
    <t>07:00 às 13:00 (30hs)</t>
  </si>
  <si>
    <t>Posto de vigilância controle de vias e acessos (estacionamentos)</t>
  </si>
  <si>
    <t>13:00 às 19:00 (30hs)</t>
  </si>
  <si>
    <t>08:00 às 14:00 (30hs)</t>
  </si>
  <si>
    <t>14:00 às 20:00 (30hs)</t>
  </si>
  <si>
    <t>07:30 às 17:08 (44hs)</t>
  </si>
  <si>
    <t>17:00 às 23:00 (30hs)</t>
  </si>
  <si>
    <t>Posto de vigilância Portaria S</t>
  </si>
  <si>
    <t>08:00 às 17:48hs (44 hs)</t>
  </si>
  <si>
    <t>Total por horário</t>
  </si>
  <si>
    <t>Pontos críticos</t>
  </si>
  <si>
    <t>NR</t>
  </si>
  <si>
    <t>VIGILANTE</t>
  </si>
  <si>
    <t>ADICIONAL</t>
  </si>
  <si>
    <t>MONITOR-12D</t>
  </si>
  <si>
    <t>MONITOR-12N</t>
  </si>
  <si>
    <t>MONITOR-11D</t>
  </si>
  <si>
    <t>GERAL-11D</t>
  </si>
  <si>
    <t>GERAL-12D</t>
  </si>
  <si>
    <t>GERAL-12N</t>
  </si>
  <si>
    <t>LÍDER-12D</t>
  </si>
  <si>
    <t>PLANILHA</t>
  </si>
  <si>
    <r>
      <t>Adicional de Periculosidade</t>
    </r>
    <r>
      <rPr>
        <sz val="10"/>
        <color rgb="FF000000"/>
        <rFont val="Arial"/>
        <family val="2"/>
        <scheme val="minor"/>
      </rPr>
      <t>: 30%</t>
    </r>
  </si>
  <si>
    <r>
      <t>Adicional Noturno</t>
    </r>
    <r>
      <rPr>
        <sz val="10"/>
        <color rgb="FF000000"/>
        <rFont val="Arial"/>
        <family val="2"/>
        <scheme val="minor"/>
      </rPr>
      <t>: 20%</t>
    </r>
  </si>
  <si>
    <r>
      <t>Vale-Transporte</t>
    </r>
    <r>
      <rPr>
        <sz val="10"/>
        <color rgb="FF000000"/>
        <rFont val="Arial"/>
        <family val="2"/>
        <scheme val="minor"/>
      </rPr>
      <t>: Com desconto de 6% do salário</t>
    </r>
  </si>
  <si>
    <t>3.1.9. SAT (Seguro contra acidade de trabalho)</t>
  </si>
  <si>
    <t>3.4.6. Multa FGTS s/aviso prévio trabalhado</t>
  </si>
  <si>
    <t>Conforme CCT - RS002241/2025</t>
  </si>
  <si>
    <t>12x36</t>
  </si>
  <si>
    <t>Quantidade horas noturnas diárias</t>
  </si>
  <si>
    <t>Quantidade horas extras mensais</t>
  </si>
  <si>
    <t>GERAL 12N</t>
  </si>
  <si>
    <t>GERAL 12D</t>
  </si>
  <si>
    <t>LIDER 12D</t>
  </si>
  <si>
    <t>MONITOR 12D</t>
  </si>
  <si>
    <t>MONITOR 12N</t>
  </si>
  <si>
    <t>MONITOR 11D</t>
  </si>
  <si>
    <t>GERAL 11D</t>
  </si>
  <si>
    <t>11hs (5x2)</t>
  </si>
  <si>
    <t>Valor do Intervalor Intrajornada Indenizado</t>
  </si>
  <si>
    <t>Sim</t>
  </si>
  <si>
    <t>275horas/mensais - 220horas/mensais = 55 horas/mensais</t>
  </si>
  <si>
    <t>Monitor Noturno</t>
  </si>
  <si>
    <t>Monitor Diurno</t>
  </si>
  <si>
    <t>Vigilante Diurno</t>
  </si>
  <si>
    <t>LÍDER Diurno</t>
  </si>
  <si>
    <t>Vigia Noturno</t>
  </si>
  <si>
    <t>Vigia Diurno</t>
  </si>
  <si>
    <t>07 às 19:30hs  12x36 (44hs)</t>
  </si>
  <si>
    <t xml:space="preserve">Veículo para monitoramento </t>
  </si>
  <si>
    <t xml:space="preserve">Valor estimado </t>
  </si>
  <si>
    <t>Amortização anual</t>
  </si>
  <si>
    <t>Valor</t>
  </si>
  <si>
    <t>Custo de Oportunidade</t>
  </si>
  <si>
    <t>LINK</t>
  </si>
  <si>
    <t xml:space="preserve">Valor total </t>
  </si>
  <si>
    <t>Veículo para Ronda</t>
  </si>
  <si>
    <t>NÃO</t>
  </si>
  <si>
    <t>Intervalo
Intrajornada</t>
  </si>
  <si>
    <t>NOTURNO
HORAS</t>
  </si>
  <si>
    <t>3.1.6. RAT Ajustado  (RAT x FAP )</t>
  </si>
  <si>
    <t>5173-30</t>
  </si>
  <si>
    <t>RS000776/2026</t>
  </si>
  <si>
    <t>01º de fevereiro de 2026 a 31 de janeiro de 2027</t>
  </si>
  <si>
    <t>01/02</t>
  </si>
  <si>
    <t>Veículo</t>
  </si>
  <si>
    <t>Link</t>
  </si>
  <si>
    <t>SCOOTER ELÉTRICA 1000W</t>
  </si>
  <si>
    <t>Local</t>
  </si>
  <si>
    <t>Data</t>
  </si>
  <si>
    <t>Prefeitura Municipal de Santana da Vargem</t>
  </si>
  <si>
    <t>Prefeitura Municipal de Alegrete</t>
  </si>
  <si>
    <t>SCOOTER ELÉTRICA, Motor com potência mínima de 1000w;</t>
  </si>
  <si>
    <t>Scooter Elétrica X11</t>
  </si>
  <si>
    <t>Ecomotors Brasil</t>
  </si>
  <si>
    <t>Scooter Elétrica X12</t>
  </si>
  <si>
    <t>Motochefe</t>
  </si>
  <si>
    <t>Scooter MC SOMA</t>
  </si>
  <si>
    <t>Média de valores</t>
  </si>
  <si>
    <t>Fone de ouvido</t>
  </si>
  <si>
    <t xml:space="preserve">Bateria </t>
  </si>
  <si>
    <t>Foi prevista a aquisição de bateria para que seja mantido o mesmo número de bateria carregada para cada rádio utilizado</t>
  </si>
  <si>
    <t xml:space="preserve">Considerando que  haverá no máximo 9 vigilantes atuando ao mesmo tempo, 10 rádios atenderiam a necessidade </t>
  </si>
  <si>
    <t>08:00hs às 20:00hs  11hs (55hs)</t>
  </si>
  <si>
    <t>11:00hs às 23:00hs  11hs (55hs)</t>
  </si>
  <si>
    <t>08:00hs às 20:00hs  11hs (55hs)
11:00hs às 23:00hs  11hs (55hs)</t>
  </si>
  <si>
    <t>1.9. Adicional de troca de uniforme</t>
  </si>
  <si>
    <t>CLÁUSULA DÉCIMA QUINTA - AUXÍLIO ALIMENTAÇÃO</t>
  </si>
  <si>
    <t>1.91. Prêmio assiduidade</t>
  </si>
  <si>
    <t>1.92. Reciclagem/formação continuada (Lei 14.967/24)</t>
  </si>
  <si>
    <r>
      <rPr>
        <b/>
        <sz val="10"/>
        <color theme="1"/>
        <rFont val="Arial"/>
        <family val="2"/>
      </rPr>
      <t>Valores referentes a Cláusula 14º da CCT.</t>
    </r>
    <r>
      <rPr>
        <sz val="10"/>
        <color theme="1"/>
        <rFont val="Arial"/>
        <family val="2"/>
      </rPr>
      <t xml:space="preserve">
Não fará jus ao prêmio assiduidade quem apresentar falta, atraso, saída antes do fim de jornada, ausência (ainda que justificada ou abonada), punição disciplinar, atestado médico ou declaração de comparecimento</t>
    </r>
  </si>
  <si>
    <r>
      <rPr>
        <b/>
        <sz val="10"/>
        <color theme="1"/>
        <rFont val="Arial"/>
        <family val="2"/>
      </rPr>
      <t>Valores referentes a Cláusula 26º da CCT</t>
    </r>
    <r>
      <rPr>
        <sz val="10"/>
        <color theme="1"/>
        <rFont val="Arial"/>
        <family val="2"/>
      </rPr>
      <t>. §10.</t>
    </r>
  </si>
  <si>
    <t>1.93. Custeio da Aprendizagem</t>
  </si>
  <si>
    <t>Valor Cláusula Décima Sexta - Treinamento</t>
  </si>
  <si>
    <r>
      <t>Auxílio Alimentação</t>
    </r>
    <r>
      <rPr>
        <sz val="10"/>
        <color rgb="FF000000"/>
        <rFont val="Arial"/>
        <family val="2"/>
        <scheme val="minor"/>
      </rPr>
      <t>: R$ 33,00</t>
    </r>
  </si>
  <si>
    <t>Exemplos de Veículo Elétrico</t>
  </si>
  <si>
    <t>PROPOSTA_SPAC_VIGIL01</t>
  </si>
  <si>
    <t>55 horas</t>
  </si>
  <si>
    <t>55 Horas</t>
  </si>
  <si>
    <t>Tipo de hora</t>
  </si>
  <si>
    <t>Fator</t>
  </si>
  <si>
    <t>Custo/h efetivo (R$)</t>
  </si>
  <si>
    <t>Dias úteis — diurno</t>
  </si>
  <si>
    <t>Sábados (adicional 50%)</t>
  </si>
  <si>
    <t>Domingos/feriados (adicional 100%)</t>
  </si>
  <si>
    <t>Noturno em dias úteis (adicional 20%)</t>
  </si>
  <si>
    <t>SUBTOTAL MÃO DE OBRA</t>
  </si>
  <si>
    <t>—</t>
  </si>
  <si>
    <t>VALORES POR DEMANDA</t>
  </si>
  <si>
    <t>Horas Anual</t>
  </si>
  <si>
    <t>Subtotal (R$) Anual</t>
  </si>
  <si>
    <t>CCT - Valor da hora intervalar de R$ 13,07 x 15 = 196,05
Cobrir 1 hora diária por plantão durante o horário do almoço, sem abandono do posto.</t>
  </si>
  <si>
    <t>CCT - Valor da hora intervalar de R$ 13,74 x 15 = 206,10
Cobrir 1 hora diária por plantão durante o horário do almoço, sem abandono do posto.</t>
  </si>
  <si>
    <t>CCT - Valor da hora intervalar de R$ 15,68 x 15 = 235,20
Cobrir 1 hora diária por plantão durante o horário do almoço, sem abandono do posto.</t>
  </si>
  <si>
    <t>TOTAL FINAL Valores por Demanda</t>
  </si>
  <si>
    <t xml:space="preserve"> Conforme anexo VI, item 11.02, do DECRETO Nº 15.416, DE 20 DE DEZEMBRO DE 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</si>
</sst>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0\ &quot;dias&quot;"/>
    <numFmt numFmtId="165" formatCode="0\ &quot;horas&quot;"/>
    <numFmt numFmtId="166" formatCode="0\ &quot;meses&quot;"/>
    <numFmt numFmtId="167" formatCode="[$-416]d\-mmm"/>
    <numFmt numFmtId="168" formatCode="0.0%"/>
    <numFmt numFmtId="169" formatCode="#,##0.00;[Red]#,##0.00"/>
    <numFmt numFmtId="170" formatCode="_(* #,##0.00_);_(* \(#,##0.00\);_(* &quot;-&quot;??_);_(@_)"/>
    <numFmt numFmtId="171" formatCode="&quot;R$&quot;\ #,##0.00"/>
    <numFmt numFmtId="172" formatCode="0\ &quot;Horas&quot;"/>
    <numFmt numFmtId="173" formatCode="[$R$ -416]#,##0.00"/>
    <numFmt numFmtId="174" formatCode="_-&quot;R$&quot;\ * #,##0.00_-;\-&quot;R$&quot;\ * #,##0.00_-;_-&quot;R$&quot;\ * &quot;-&quot;??_-;_-@"/>
    <numFmt numFmtId="175" formatCode="0\ &quot;vales.&quot;"/>
    <numFmt numFmtId="176" formatCode="0\ &quot;vales&quot;"/>
    <numFmt numFmtId="177" formatCode="0\ &quot;Vigilante Monitor&quot;"/>
  </numFmts>
  <fonts count="49" x14ac:knownFonts="1">
    <font>
      <sz val="10"/>
      <color rgb="FF000000"/>
      <name val="Arial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  <font>
      <b/>
      <sz val="10"/>
      <color theme="0"/>
      <name val="Arial"/>
      <family val="2"/>
    </font>
    <font>
      <b/>
      <sz val="9"/>
      <color theme="0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u/>
      <sz val="10"/>
      <color theme="10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  <scheme val="minor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b/>
      <sz val="10"/>
      <color rgb="FF000000"/>
      <name val="Arial"/>
      <family val="2"/>
      <scheme val="minor"/>
    </font>
    <font>
      <i/>
      <sz val="10"/>
      <color rgb="FF00000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rgb="FF000000"/>
      <name val="Arial"/>
      <family val="2"/>
      <scheme val="minor"/>
    </font>
    <font>
      <b/>
      <sz val="11"/>
      <color rgb="FF000000"/>
      <name val="Verdana"/>
      <family val="2"/>
    </font>
    <font>
      <sz val="11"/>
      <color rgb="FF000000"/>
      <name val="Verdana"/>
      <family val="2"/>
    </font>
    <font>
      <sz val="10"/>
      <color rgb="FF000000"/>
      <name val="Arial"/>
      <family val="2"/>
      <scheme val="minor"/>
    </font>
    <font>
      <sz val="8"/>
      <color rgb="FF000000"/>
      <name val="Verdana"/>
      <family val="2"/>
    </font>
    <font>
      <sz val="11"/>
      <name val="Segoe UI Emoji"/>
      <family val="2"/>
    </font>
    <font>
      <b/>
      <sz val="8"/>
      <color rgb="FF000000"/>
      <name val="Verdana"/>
      <family val="2"/>
    </font>
    <font>
      <sz val="11"/>
      <color rgb="FF000000"/>
      <name val="Calibri"/>
      <family val="2"/>
    </font>
    <font>
      <b/>
      <sz val="11"/>
      <color rgb="FFFFFFFF"/>
      <name val="Verdana"/>
      <family val="2"/>
    </font>
    <font>
      <b/>
      <sz val="8"/>
      <color rgb="FFFFFFFF"/>
      <name val="Verdana"/>
      <family val="2"/>
    </font>
    <font>
      <b/>
      <sz val="16"/>
      <color rgb="FFFFFFFF"/>
      <name val="Calibri"/>
      <family val="2"/>
    </font>
    <font>
      <sz val="11"/>
      <color rgb="FFFFFFFF"/>
      <name val="Calibri"/>
      <family val="2"/>
    </font>
    <font>
      <sz val="10"/>
      <color rgb="FFFFFFFF"/>
      <name val="Calibri"/>
      <family val="2"/>
    </font>
    <font>
      <b/>
      <sz val="11"/>
      <color rgb="FFFFFFFF"/>
      <name val="Calibri"/>
      <family val="2"/>
    </font>
    <font>
      <b/>
      <sz val="11"/>
      <color theme="0"/>
      <name val="Calibri"/>
      <family val="2"/>
    </font>
    <font>
      <b/>
      <sz val="10"/>
      <color rgb="FF000000"/>
      <name val="Arial"/>
      <family val="2"/>
      <scheme val="minor"/>
    </font>
    <font>
      <sz val="10"/>
      <color theme="0" tint="-4.9989318521683403E-2"/>
      <name val="Arial"/>
      <family val="2"/>
    </font>
    <font>
      <b/>
      <sz val="20"/>
      <color theme="0" tint="-4.9989318521683403E-2"/>
      <name val="Arial"/>
      <family val="2"/>
    </font>
    <font>
      <b/>
      <sz val="12"/>
      <color theme="0" tint="-4.9989318521683403E-2"/>
      <name val="Arial"/>
      <family val="2"/>
      <scheme val="minor"/>
    </font>
    <font>
      <b/>
      <sz val="10"/>
      <color theme="0" tint="-4.9989318521683403E-2"/>
      <name val="Arial"/>
      <family val="2"/>
      <scheme val="minor"/>
    </font>
    <font>
      <b/>
      <sz val="28"/>
      <color theme="0" tint="-4.9989318521683403E-2"/>
      <name val="Arial"/>
      <family val="2"/>
      <scheme val="minor"/>
    </font>
    <font>
      <b/>
      <sz val="12"/>
      <name val="Arial"/>
      <family val="2"/>
      <scheme val="minor"/>
    </font>
    <font>
      <b/>
      <sz val="10"/>
      <color rgb="FF262626"/>
      <name val="Arial"/>
      <family val="2"/>
      <scheme val="minor"/>
    </font>
    <font>
      <b/>
      <sz val="9"/>
      <color rgb="FFFFFFFF"/>
      <name val="Arial"/>
      <family val="2"/>
      <scheme val="minor"/>
    </font>
    <font>
      <b/>
      <sz val="10"/>
      <color rgb="FFFFFFFF"/>
      <name val="Arial"/>
      <family val="2"/>
      <scheme val="minor"/>
    </font>
    <font>
      <sz val="10"/>
      <color rgb="FFFFFFFF"/>
      <name val="Arial"/>
      <family val="2"/>
      <scheme val="minor"/>
    </font>
    <font>
      <b/>
      <sz val="20"/>
      <color theme="0"/>
      <name val="Arial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95B3D7"/>
        <bgColor rgb="FF95B3D7"/>
      </patternFill>
    </fill>
    <fill>
      <patternFill patternType="solid">
        <fgColor rgb="FFFFFFFF"/>
        <bgColor rgb="FFFFFFFF"/>
      </patternFill>
    </fill>
    <fill>
      <patternFill patternType="solid">
        <fgColor rgb="FFDBE5F1"/>
        <bgColor rgb="FFDBE5F1"/>
      </patternFill>
    </fill>
    <fill>
      <patternFill patternType="solid">
        <fgColor rgb="FFC2D69B"/>
        <bgColor rgb="FFC2D69B"/>
      </patternFill>
    </fill>
    <fill>
      <patternFill patternType="solid">
        <fgColor theme="0"/>
        <bgColor theme="0"/>
      </patternFill>
    </fill>
    <fill>
      <patternFill patternType="solid">
        <fgColor rgb="FFEAF0F6"/>
        <bgColor rgb="FFEAF0F6"/>
      </patternFill>
    </fill>
    <fill>
      <patternFill patternType="solid">
        <fgColor rgb="FF366092"/>
        <bgColor rgb="FF366092"/>
      </patternFill>
    </fill>
    <fill>
      <patternFill patternType="solid">
        <fgColor rgb="FF244061"/>
        <bgColor rgb="FF244061"/>
      </patternFill>
    </fill>
    <fill>
      <patternFill patternType="solid">
        <fgColor rgb="FFECF2F8"/>
        <bgColor rgb="FFECF2F8"/>
      </patternFill>
    </fill>
    <fill>
      <patternFill patternType="solid">
        <fgColor rgb="FFECF2F8"/>
        <bgColor rgb="FFDBE5F1"/>
      </patternFill>
    </fill>
    <fill>
      <patternFill patternType="solid">
        <fgColor rgb="FFFFE9A3"/>
        <bgColor indexed="64"/>
      </patternFill>
    </fill>
    <fill>
      <patternFill patternType="solid">
        <fgColor rgb="FFFFE9A3"/>
        <bgColor theme="0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203764"/>
        <bgColor rgb="FF000000"/>
      </patternFill>
    </fill>
    <fill>
      <patternFill patternType="solid">
        <fgColor rgb="FFC65911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757171"/>
        <bgColor rgb="FF000000"/>
      </patternFill>
    </fill>
    <fill>
      <patternFill patternType="solid">
        <fgColor rgb="FFF8CBAD"/>
        <bgColor rgb="FF000000"/>
      </patternFill>
    </fill>
    <fill>
      <patternFill patternType="solid">
        <fgColor rgb="FFC6E0B4"/>
        <bgColor rgb="FF000000"/>
      </patternFill>
    </fill>
    <fill>
      <patternFill patternType="solid">
        <fgColor rgb="FFFFFFCC"/>
        <bgColor rgb="FF000000"/>
      </patternFill>
    </fill>
    <fill>
      <patternFill patternType="solid">
        <fgColor rgb="FF7B7B7B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BFBFBF"/>
        <bgColor rgb="FF000000"/>
      </patternFill>
    </fill>
    <fill>
      <patternFill patternType="solid">
        <fgColor theme="4" tint="-0.499984740745262"/>
        <bgColor rgb="FF95B3D7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66092"/>
        <bgColor rgb="FFFFFFFF"/>
      </patternFill>
    </fill>
    <fill>
      <patternFill patternType="solid">
        <fgColor rgb="FF366092"/>
        <bgColor indexed="64"/>
      </patternFill>
    </fill>
    <fill>
      <patternFill patternType="solid">
        <fgColor theme="1"/>
        <bgColor rgb="FFFFFFFF"/>
      </patternFill>
    </fill>
    <fill>
      <patternFill patternType="solid">
        <fgColor theme="1"/>
        <bgColor indexed="64"/>
      </patternFill>
    </fill>
  </fills>
  <borders count="151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rgb="FF000000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rgb="FF000000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DashDot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 style="thin">
        <color rgb="FFFFFFFF"/>
      </right>
      <top style="medium">
        <color indexed="64"/>
      </top>
      <bottom/>
      <diagonal/>
    </border>
    <border>
      <left style="thin">
        <color rgb="FFFFFFFF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rgb="FFFFFFFF"/>
      </bottom>
      <diagonal/>
    </border>
    <border>
      <left/>
      <right/>
      <top style="medium">
        <color indexed="64"/>
      </top>
      <bottom style="thin">
        <color rgb="FFFFFFFF"/>
      </bottom>
      <diagonal/>
    </border>
    <border>
      <left/>
      <right style="medium">
        <color indexed="64"/>
      </right>
      <top style="medium">
        <color indexed="64"/>
      </top>
      <bottom style="thin">
        <color rgb="FFFFFFFF"/>
      </bottom>
      <diagonal/>
    </border>
    <border>
      <left style="medium">
        <color indexed="64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 style="thin">
        <color rgb="FFFFFFFF"/>
      </right>
      <top/>
      <bottom style="thin">
        <color indexed="64"/>
      </bottom>
      <diagonal/>
    </border>
    <border>
      <left style="thin">
        <color rgb="FFFFFFFF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medium">
        <color indexed="64"/>
      </right>
      <top style="thin">
        <color rgb="FFFFFFFF"/>
      </top>
      <bottom style="thin">
        <color rgb="FFFFFFFF"/>
      </bottom>
      <diagonal/>
    </border>
    <border>
      <left style="medium">
        <color indexed="64"/>
      </left>
      <right/>
      <top/>
      <bottom style="thin">
        <color rgb="FFFFD966"/>
      </bottom>
      <diagonal/>
    </border>
    <border>
      <left/>
      <right/>
      <top/>
      <bottom style="thin">
        <color rgb="FFFFD966"/>
      </bottom>
      <diagonal/>
    </border>
    <border>
      <left/>
      <right style="thin">
        <color rgb="FFFFD966"/>
      </right>
      <top/>
      <bottom style="thin">
        <color rgb="FFFFD966"/>
      </bottom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medium">
        <color indexed="64"/>
      </left>
      <right/>
      <top style="thin">
        <color rgb="FFFFD966"/>
      </top>
      <bottom style="thin">
        <color rgb="FFFFD966"/>
      </bottom>
      <diagonal/>
    </border>
    <border>
      <left/>
      <right/>
      <top style="thin">
        <color rgb="FFFFD966"/>
      </top>
      <bottom style="thin">
        <color rgb="FFFFD966"/>
      </bottom>
      <diagonal/>
    </border>
    <border>
      <left/>
      <right style="thin">
        <color rgb="FFFFD966"/>
      </right>
      <top style="thin">
        <color rgb="FFFFD966"/>
      </top>
      <bottom style="thin">
        <color rgb="FFFFD966"/>
      </bottom>
      <diagonal/>
    </border>
    <border>
      <left style="dotted">
        <color rgb="FFAEAAAA"/>
      </left>
      <right style="dotted">
        <color rgb="FFAEAAAA"/>
      </right>
      <top/>
      <bottom/>
      <diagonal/>
    </border>
    <border>
      <left/>
      <right style="dotted">
        <color rgb="FFAEAAAA"/>
      </right>
      <top/>
      <bottom/>
      <diagonal/>
    </border>
    <border>
      <left style="dotted">
        <color rgb="FFAEAAAA"/>
      </left>
      <right style="dotted">
        <color rgb="FFAEAAAA"/>
      </right>
      <top/>
      <bottom style="thin">
        <color rgb="FFFFD966"/>
      </bottom>
      <diagonal/>
    </border>
    <border>
      <left/>
      <right style="medium">
        <color indexed="64"/>
      </right>
      <top/>
      <bottom style="thin">
        <color rgb="FFFFD966"/>
      </bottom>
      <diagonal/>
    </border>
    <border>
      <left style="medium">
        <color indexed="64"/>
      </left>
      <right style="dotted">
        <color rgb="FFAEAAAA"/>
      </right>
      <top style="thin">
        <color rgb="FFFFD966"/>
      </top>
      <bottom/>
      <diagonal/>
    </border>
    <border>
      <left style="dotted">
        <color rgb="FFAEAAAA"/>
      </left>
      <right style="dotted">
        <color rgb="FFAEAAAA"/>
      </right>
      <top style="thin">
        <color rgb="FFFFD966"/>
      </top>
      <bottom/>
      <diagonal/>
    </border>
    <border>
      <left style="thin">
        <color rgb="FFFFD966"/>
      </left>
      <right/>
      <top style="thin">
        <color rgb="FFFFD966"/>
      </top>
      <bottom style="thin">
        <color rgb="FFFFD966"/>
      </bottom>
      <diagonal/>
    </border>
    <border>
      <left/>
      <right style="medium">
        <color indexed="64"/>
      </right>
      <top style="thin">
        <color rgb="FFFFD966"/>
      </top>
      <bottom style="thin">
        <color rgb="FFFFD966"/>
      </bottom>
      <diagonal/>
    </border>
    <border>
      <left style="medium">
        <color indexed="64"/>
      </left>
      <right style="dotted">
        <color rgb="FFAEAAAA"/>
      </right>
      <top/>
      <bottom/>
      <diagonal/>
    </border>
    <border>
      <left style="thin">
        <color rgb="FFFFD966"/>
      </left>
      <right/>
      <top style="thin">
        <color rgb="FFFFD966"/>
      </top>
      <bottom/>
      <diagonal/>
    </border>
    <border>
      <left/>
      <right/>
      <top style="thin">
        <color rgb="FFFFD966"/>
      </top>
      <bottom/>
      <diagonal/>
    </border>
    <border>
      <left/>
      <right style="medium">
        <color indexed="64"/>
      </right>
      <top style="thin">
        <color rgb="FFFFD966"/>
      </top>
      <bottom/>
      <diagonal/>
    </border>
    <border>
      <left/>
      <right style="dotted">
        <color rgb="FFAEAAAA"/>
      </right>
      <top/>
      <bottom style="thin">
        <color rgb="FFFFD966"/>
      </bottom>
      <diagonal/>
    </border>
    <border>
      <left style="medium">
        <color indexed="64"/>
      </left>
      <right style="dotted">
        <color rgb="FFA6A6A6"/>
      </right>
      <top style="thin">
        <color rgb="FFFFD966"/>
      </top>
      <bottom/>
      <diagonal/>
    </border>
    <border>
      <left style="medium">
        <color indexed="64"/>
      </left>
      <right style="dotted">
        <color rgb="FFA6A6A6"/>
      </right>
      <top/>
      <bottom/>
      <diagonal/>
    </border>
    <border>
      <left style="dotted">
        <color rgb="FFAEAAAA"/>
      </left>
      <right/>
      <top style="thin">
        <color rgb="FFFFD966"/>
      </top>
      <bottom/>
      <diagonal/>
    </border>
    <border>
      <left style="thin">
        <color rgb="FFFFD966"/>
      </left>
      <right/>
      <top/>
      <bottom style="thin">
        <color rgb="FFFFD966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1"/>
      </left>
      <right style="thin">
        <color theme="0" tint="-0.14996795556505021"/>
      </right>
      <top style="thin">
        <color theme="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1"/>
      </top>
      <bottom/>
      <diagonal/>
    </border>
    <border>
      <left style="thin">
        <color theme="0" tint="-0.1499679555650502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0" tint="-0.14996795556505021"/>
      </right>
      <top/>
      <bottom style="thin">
        <color theme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1"/>
      </bottom>
      <diagonal/>
    </border>
    <border>
      <left style="thin">
        <color theme="0" tint="-0.14996795556505021"/>
      </left>
      <right style="thin">
        <color theme="1"/>
      </right>
      <top/>
      <bottom style="thin">
        <color theme="1"/>
      </bottom>
      <diagonal/>
    </border>
    <border>
      <left style="thin">
        <color rgb="FFFFD966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/>
      <right style="medium">
        <color rgb="FF999999"/>
      </right>
      <top style="medium">
        <color rgb="FF999999"/>
      </top>
      <bottom style="medium">
        <color rgb="FF999999"/>
      </bottom>
      <diagonal/>
    </border>
    <border>
      <left style="medium">
        <color rgb="FF999999"/>
      </left>
      <right style="medium">
        <color rgb="FF999999"/>
      </right>
      <top/>
      <bottom style="medium">
        <color rgb="FF999999"/>
      </bottom>
      <diagonal/>
    </border>
    <border>
      <left/>
      <right style="medium">
        <color rgb="FF999999"/>
      </right>
      <top/>
      <bottom style="medium">
        <color rgb="FF999999"/>
      </bottom>
      <diagonal/>
    </border>
    <border>
      <left/>
      <right/>
      <top/>
      <bottom style="medium">
        <color rgb="FF999999"/>
      </bottom>
      <diagonal/>
    </border>
    <border>
      <left style="thin">
        <color rgb="FF000000"/>
      </left>
      <right/>
      <top style="medium">
        <color rgb="FF999999"/>
      </top>
      <bottom style="thin">
        <color theme="2" tint="-0.499984740745262"/>
      </bottom>
      <diagonal/>
    </border>
    <border>
      <left/>
      <right/>
      <top style="medium">
        <color rgb="FF999999"/>
      </top>
      <bottom style="thin">
        <color theme="2" tint="-0.499984740745262"/>
      </bottom>
      <diagonal/>
    </border>
    <border>
      <left/>
      <right style="thin">
        <color rgb="FF000000"/>
      </right>
      <top style="medium">
        <color rgb="FF999999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/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9" fontId="25" fillId="0" borderId="0" applyFont="0" applyFill="0" applyBorder="0" applyAlignment="0" applyProtection="0"/>
  </cellStyleXfs>
  <cellXfs count="550">
    <xf numFmtId="0" fontId="0" fillId="0" borderId="0" xfId="0"/>
    <xf numFmtId="0" fontId="3" fillId="3" borderId="20" xfId="0" applyFont="1" applyFill="1" applyBorder="1" applyAlignment="1">
      <alignment vertical="center"/>
    </xf>
    <xf numFmtId="0" fontId="3" fillId="3" borderId="20" xfId="0" applyFont="1" applyFill="1" applyBorder="1"/>
    <xf numFmtId="0" fontId="3" fillId="0" borderId="0" xfId="0" applyFont="1"/>
    <xf numFmtId="4" fontId="3" fillId="3" borderId="20" xfId="0" applyNumberFormat="1" applyFont="1" applyFill="1" applyBorder="1"/>
    <xf numFmtId="0" fontId="2" fillId="6" borderId="20" xfId="0" applyFont="1" applyFill="1" applyBorder="1" applyAlignment="1">
      <alignment horizontal="center"/>
    </xf>
    <xf numFmtId="1" fontId="2" fillId="6" borderId="20" xfId="0" applyNumberFormat="1" applyFont="1" applyFill="1" applyBorder="1" applyAlignment="1">
      <alignment horizontal="center" vertical="center"/>
    </xf>
    <xf numFmtId="0" fontId="2" fillId="6" borderId="20" xfId="0" applyFont="1" applyFill="1" applyBorder="1"/>
    <xf numFmtId="0" fontId="3" fillId="6" borderId="20" xfId="0" applyFont="1" applyFill="1" applyBorder="1" applyAlignment="1">
      <alignment horizontal="center"/>
    </xf>
    <xf numFmtId="0" fontId="2" fillId="6" borderId="20" xfId="0" applyFont="1" applyFill="1" applyBorder="1" applyAlignment="1">
      <alignment vertical="top" wrapText="1"/>
    </xf>
    <xf numFmtId="4" fontId="2" fillId="3" borderId="20" xfId="0" applyNumberFormat="1" applyFont="1" applyFill="1" applyBorder="1"/>
    <xf numFmtId="174" fontId="3" fillId="3" borderId="20" xfId="0" applyNumberFormat="1" applyFont="1" applyFill="1" applyBorder="1"/>
    <xf numFmtId="0" fontId="12" fillId="2" borderId="4" xfId="0" applyFont="1" applyFill="1" applyBorder="1" applyAlignment="1">
      <alignment horizontal="center"/>
    </xf>
    <xf numFmtId="0" fontId="10" fillId="3" borderId="6" xfId="0" applyFont="1" applyFill="1" applyBorder="1" applyAlignment="1">
      <alignment horizontal="left" vertical="center"/>
    </xf>
    <xf numFmtId="0" fontId="10" fillId="0" borderId="5" xfId="0" applyFont="1" applyBorder="1"/>
    <xf numFmtId="0" fontId="10" fillId="0" borderId="31" xfId="0" applyFont="1" applyBorder="1"/>
    <xf numFmtId="0" fontId="10" fillId="3" borderId="6" xfId="0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0" fontId="10" fillId="0" borderId="5" xfId="0" applyFont="1" applyBorder="1" applyAlignment="1">
      <alignment wrapText="1"/>
    </xf>
    <xf numFmtId="0" fontId="10" fillId="3" borderId="39" xfId="0" applyFont="1" applyFill="1" applyBorder="1" applyAlignment="1">
      <alignment horizontal="left" vertical="center"/>
    </xf>
    <xf numFmtId="0" fontId="10" fillId="0" borderId="24" xfId="0" applyFont="1" applyBorder="1"/>
    <xf numFmtId="0" fontId="10" fillId="0" borderId="22" xfId="0" applyFont="1" applyBorder="1"/>
    <xf numFmtId="0" fontId="10" fillId="0" borderId="0" xfId="0" applyFont="1" applyAlignment="1">
      <alignment horizontal="left"/>
    </xf>
    <xf numFmtId="165" fontId="10" fillId="0" borderId="7" xfId="0" applyNumberFormat="1" applyFont="1" applyBorder="1" applyAlignment="1">
      <alignment horizontal="center"/>
    </xf>
    <xf numFmtId="39" fontId="10" fillId="3" borderId="7" xfId="0" applyNumberFormat="1" applyFont="1" applyFill="1" applyBorder="1" applyAlignment="1">
      <alignment horizontal="center"/>
    </xf>
    <xf numFmtId="39" fontId="10" fillId="3" borderId="12" xfId="0" applyNumberFormat="1" applyFont="1" applyFill="1" applyBorder="1" applyAlignment="1">
      <alignment horizontal="center"/>
    </xf>
    <xf numFmtId="0" fontId="12" fillId="4" borderId="16" xfId="0" applyFont="1" applyFill="1" applyBorder="1" applyAlignment="1">
      <alignment horizontal="center" vertical="center"/>
    </xf>
    <xf numFmtId="10" fontId="12" fillId="4" borderId="17" xfId="0" applyNumberFormat="1" applyFont="1" applyFill="1" applyBorder="1" applyAlignment="1">
      <alignment horizontal="center" vertical="center"/>
    </xf>
    <xf numFmtId="169" fontId="12" fillId="4" borderId="7" xfId="0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vertical="center"/>
    </xf>
    <xf numFmtId="10" fontId="10" fillId="3" borderId="17" xfId="0" applyNumberFormat="1" applyFont="1" applyFill="1" applyBorder="1" applyAlignment="1">
      <alignment vertical="center"/>
    </xf>
    <xf numFmtId="4" fontId="10" fillId="3" borderId="7" xfId="0" applyNumberFormat="1" applyFont="1" applyFill="1" applyBorder="1" applyAlignment="1">
      <alignment vertical="center"/>
    </xf>
    <xf numFmtId="0" fontId="10" fillId="3" borderId="16" xfId="0" applyFont="1" applyFill="1" applyBorder="1" applyAlignment="1">
      <alignment vertical="center" wrapText="1"/>
    </xf>
    <xf numFmtId="0" fontId="12" fillId="3" borderId="16" xfId="0" applyFont="1" applyFill="1" applyBorder="1" applyAlignment="1">
      <alignment vertical="center"/>
    </xf>
    <xf numFmtId="0" fontId="12" fillId="4" borderId="18" xfId="0" applyFont="1" applyFill="1" applyBorder="1"/>
    <xf numFmtId="10" fontId="10" fillId="4" borderId="19" xfId="0" applyNumberFormat="1" applyFont="1" applyFill="1" applyBorder="1"/>
    <xf numFmtId="4" fontId="12" fillId="4" borderId="12" xfId="0" applyNumberFormat="1" applyFont="1" applyFill="1" applyBorder="1"/>
    <xf numFmtId="0" fontId="10" fillId="3" borderId="36" xfId="0" applyFont="1" applyFill="1" applyBorder="1" applyAlignment="1">
      <alignment vertical="center"/>
    </xf>
    <xf numFmtId="10" fontId="10" fillId="3" borderId="36" xfId="0" applyNumberFormat="1" applyFont="1" applyFill="1" applyBorder="1" applyAlignment="1">
      <alignment vertical="center"/>
    </xf>
    <xf numFmtId="169" fontId="10" fillId="3" borderId="36" xfId="0" applyNumberFormat="1" applyFont="1" applyFill="1" applyBorder="1" applyAlignment="1">
      <alignment vertical="center"/>
    </xf>
    <xf numFmtId="10" fontId="12" fillId="4" borderId="4" xfId="0" applyNumberFormat="1" applyFont="1" applyFill="1" applyBorder="1" applyAlignment="1">
      <alignment horizontal="center" vertical="center" wrapText="1"/>
    </xf>
    <xf numFmtId="10" fontId="12" fillId="4" borderId="17" xfId="0" applyNumberFormat="1" applyFont="1" applyFill="1" applyBorder="1" applyAlignment="1">
      <alignment horizontal="center" vertical="center" wrapText="1"/>
    </xf>
    <xf numFmtId="0" fontId="10" fillId="0" borderId="5" xfId="0" quotePrefix="1" applyFont="1" applyBorder="1" applyAlignment="1">
      <alignment vertical="center" wrapText="1"/>
    </xf>
    <xf numFmtId="0" fontId="10" fillId="3" borderId="16" xfId="0" applyFont="1" applyFill="1" applyBorder="1" applyAlignment="1">
      <alignment horizontal="left" vertical="center"/>
    </xf>
    <xf numFmtId="10" fontId="10" fillId="3" borderId="17" xfId="0" applyNumberFormat="1" applyFont="1" applyFill="1" applyBorder="1"/>
    <xf numFmtId="4" fontId="10" fillId="3" borderId="7" xfId="0" applyNumberFormat="1" applyFont="1" applyFill="1" applyBorder="1" applyAlignment="1">
      <alignment horizontal="right" vertical="center"/>
    </xf>
    <xf numFmtId="0" fontId="10" fillId="0" borderId="5" xfId="0" quotePrefix="1" applyFont="1" applyBorder="1"/>
    <xf numFmtId="0" fontId="10" fillId="3" borderId="16" xfId="0" applyFont="1" applyFill="1" applyBorder="1"/>
    <xf numFmtId="4" fontId="10" fillId="3" borderId="7" xfId="0" applyNumberFormat="1" applyFont="1" applyFill="1" applyBorder="1"/>
    <xf numFmtId="0" fontId="10" fillId="3" borderId="16" xfId="0" applyFont="1" applyFill="1" applyBorder="1" applyAlignment="1">
      <alignment wrapText="1"/>
    </xf>
    <xf numFmtId="10" fontId="12" fillId="4" borderId="19" xfId="0" applyNumberFormat="1" applyFont="1" applyFill="1" applyBorder="1"/>
    <xf numFmtId="0" fontId="13" fillId="0" borderId="0" xfId="0" applyFont="1"/>
    <xf numFmtId="0" fontId="12" fillId="3" borderId="16" xfId="0" applyFont="1" applyFill="1" applyBorder="1" applyAlignment="1">
      <alignment horizontal="center" vertical="center"/>
    </xf>
    <xf numFmtId="10" fontId="12" fillId="3" borderId="17" xfId="0" applyNumberFormat="1" applyFont="1" applyFill="1" applyBorder="1" applyAlignment="1">
      <alignment horizontal="center" vertical="center"/>
    </xf>
    <xf numFmtId="10" fontId="10" fillId="3" borderId="17" xfId="0" applyNumberFormat="1" applyFont="1" applyFill="1" applyBorder="1" applyAlignment="1">
      <alignment horizontal="right" vertical="center"/>
    </xf>
    <xf numFmtId="0" fontId="12" fillId="7" borderId="18" xfId="0" applyFont="1" applyFill="1" applyBorder="1" applyAlignment="1">
      <alignment vertical="center"/>
    </xf>
    <xf numFmtId="10" fontId="12" fillId="7" borderId="19" xfId="0" applyNumberFormat="1" applyFont="1" applyFill="1" applyBorder="1" applyAlignment="1">
      <alignment vertical="center"/>
    </xf>
    <xf numFmtId="4" fontId="12" fillId="7" borderId="12" xfId="0" applyNumberFormat="1" applyFont="1" applyFill="1" applyBorder="1" applyAlignment="1">
      <alignment vertical="center"/>
    </xf>
    <xf numFmtId="10" fontId="12" fillId="7" borderId="4" xfId="0" applyNumberFormat="1" applyFont="1" applyFill="1" applyBorder="1" applyAlignment="1">
      <alignment horizontal="center" vertical="center" wrapText="1"/>
    </xf>
    <xf numFmtId="0" fontId="12" fillId="7" borderId="16" xfId="0" applyFont="1" applyFill="1" applyBorder="1" applyAlignment="1">
      <alignment horizontal="center" vertical="center"/>
    </xf>
    <xf numFmtId="10" fontId="12" fillId="7" borderId="17" xfId="0" applyNumberFormat="1" applyFont="1" applyFill="1" applyBorder="1" applyAlignment="1">
      <alignment horizontal="center" vertical="center"/>
    </xf>
    <xf numFmtId="169" fontId="12" fillId="7" borderId="7" xfId="0" applyNumberFormat="1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left"/>
    </xf>
    <xf numFmtId="10" fontId="12" fillId="3" borderId="17" xfId="0" applyNumberFormat="1" applyFont="1" applyFill="1" applyBorder="1" applyAlignment="1">
      <alignment vertical="center"/>
    </xf>
    <xf numFmtId="0" fontId="12" fillId="7" borderId="18" xfId="0" applyFont="1" applyFill="1" applyBorder="1"/>
    <xf numFmtId="0" fontId="10" fillId="3" borderId="36" xfId="0" applyFont="1" applyFill="1" applyBorder="1"/>
    <xf numFmtId="170" fontId="10" fillId="3" borderId="36" xfId="0" applyNumberFormat="1" applyFont="1" applyFill="1" applyBorder="1" applyAlignment="1">
      <alignment vertical="center"/>
    </xf>
    <xf numFmtId="0" fontId="12" fillId="7" borderId="16" xfId="0" applyFont="1" applyFill="1" applyBorder="1" applyAlignment="1">
      <alignment horizontal="center"/>
    </xf>
    <xf numFmtId="0" fontId="10" fillId="3" borderId="36" xfId="0" applyFont="1" applyFill="1" applyBorder="1" applyAlignment="1">
      <alignment horizontal="left"/>
    </xf>
    <xf numFmtId="169" fontId="12" fillId="3" borderId="36" xfId="0" applyNumberFormat="1" applyFont="1" applyFill="1" applyBorder="1" applyAlignment="1">
      <alignment vertical="center"/>
    </xf>
    <xf numFmtId="0" fontId="12" fillId="7" borderId="17" xfId="0" applyFont="1" applyFill="1" applyBorder="1" applyAlignment="1">
      <alignment horizontal="center" vertical="center"/>
    </xf>
    <xf numFmtId="169" fontId="12" fillId="7" borderId="28" xfId="0" applyNumberFormat="1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left" vertical="center"/>
    </xf>
    <xf numFmtId="4" fontId="10" fillId="3" borderId="28" xfId="0" applyNumberFormat="1" applyFont="1" applyFill="1" applyBorder="1" applyAlignment="1">
      <alignment vertical="center"/>
    </xf>
    <xf numFmtId="0" fontId="10" fillId="3" borderId="17" xfId="0" applyFont="1" applyFill="1" applyBorder="1" applyAlignment="1">
      <alignment horizontal="left"/>
    </xf>
    <xf numFmtId="10" fontId="13" fillId="0" borderId="0" xfId="0" applyNumberFormat="1" applyFont="1"/>
    <xf numFmtId="0" fontId="12" fillId="7" borderId="17" xfId="0" applyFont="1" applyFill="1" applyBorder="1" applyAlignment="1">
      <alignment horizontal="left"/>
    </xf>
    <xf numFmtId="10" fontId="12" fillId="7" borderId="17" xfId="0" applyNumberFormat="1" applyFont="1" applyFill="1" applyBorder="1" applyAlignment="1">
      <alignment vertical="center"/>
    </xf>
    <xf numFmtId="4" fontId="12" fillId="7" borderId="28" xfId="0" applyNumberFormat="1" applyFont="1" applyFill="1" applyBorder="1" applyAlignment="1">
      <alignment vertical="center"/>
    </xf>
    <xf numFmtId="169" fontId="12" fillId="3" borderId="28" xfId="0" applyNumberFormat="1" applyFont="1" applyFill="1" applyBorder="1" applyAlignment="1">
      <alignment horizontal="center" vertical="center"/>
    </xf>
    <xf numFmtId="0" fontId="12" fillId="3" borderId="16" xfId="0" applyFont="1" applyFill="1" applyBorder="1"/>
    <xf numFmtId="10" fontId="12" fillId="3" borderId="17" xfId="0" applyNumberFormat="1" applyFont="1" applyFill="1" applyBorder="1"/>
    <xf numFmtId="10" fontId="12" fillId="7" borderId="19" xfId="0" applyNumberFormat="1" applyFont="1" applyFill="1" applyBorder="1"/>
    <xf numFmtId="169" fontId="12" fillId="3" borderId="36" xfId="0" applyNumberFormat="1" applyFont="1" applyFill="1" applyBorder="1" applyAlignment="1">
      <alignment horizontal="center" vertical="center"/>
    </xf>
    <xf numFmtId="0" fontId="12" fillId="4" borderId="17" xfId="0" applyFont="1" applyFill="1" applyBorder="1" applyAlignment="1">
      <alignment vertical="center"/>
    </xf>
    <xf numFmtId="169" fontId="12" fillId="4" borderId="17" xfId="0" applyNumberFormat="1" applyFont="1" applyFill="1" applyBorder="1" applyAlignment="1">
      <alignment horizontal="center" vertical="center" wrapText="1"/>
    </xf>
    <xf numFmtId="171" fontId="12" fillId="4" borderId="17" xfId="0" applyNumberFormat="1" applyFont="1" applyFill="1" applyBorder="1" applyAlignment="1">
      <alignment horizontal="right" vertical="center"/>
    </xf>
    <xf numFmtId="0" fontId="15" fillId="0" borderId="0" xfId="0" applyFont="1"/>
    <xf numFmtId="0" fontId="2" fillId="6" borderId="36" xfId="0" applyFont="1" applyFill="1" applyBorder="1" applyAlignment="1">
      <alignment horizontal="center"/>
    </xf>
    <xf numFmtId="1" fontId="2" fillId="6" borderId="36" xfId="0" applyNumberFormat="1" applyFont="1" applyFill="1" applyBorder="1" applyAlignment="1">
      <alignment horizontal="center" vertical="center"/>
    </xf>
    <xf numFmtId="0" fontId="3" fillId="3" borderId="36" xfId="0" applyFont="1" applyFill="1" applyBorder="1"/>
    <xf numFmtId="0" fontId="12" fillId="4" borderId="40" xfId="0" applyFont="1" applyFill="1" applyBorder="1" applyAlignment="1">
      <alignment horizontal="center" vertical="center" wrapText="1"/>
    </xf>
    <xf numFmtId="171" fontId="10" fillId="10" borderId="40" xfId="0" applyNumberFormat="1" applyFont="1" applyFill="1" applyBorder="1" applyAlignment="1">
      <alignment horizontal="center"/>
    </xf>
    <xf numFmtId="173" fontId="3" fillId="0" borderId="40" xfId="0" applyNumberFormat="1" applyFont="1" applyBorder="1" applyAlignment="1">
      <alignment horizontal="center" vertical="center" wrapText="1"/>
    </xf>
    <xf numFmtId="173" fontId="3" fillId="0" borderId="40" xfId="0" applyNumberFormat="1" applyFont="1" applyBorder="1" applyAlignment="1">
      <alignment horizontal="center"/>
    </xf>
    <xf numFmtId="4" fontId="3" fillId="0" borderId="40" xfId="0" applyNumberFormat="1" applyFont="1" applyBorder="1" applyAlignment="1">
      <alignment horizontal="right" vertical="center" wrapText="1"/>
    </xf>
    <xf numFmtId="4" fontId="3" fillId="0" borderId="40" xfId="0" applyNumberFormat="1" applyFont="1" applyBorder="1"/>
    <xf numFmtId="171" fontId="10" fillId="11" borderId="40" xfId="0" applyNumberFormat="1" applyFont="1" applyFill="1" applyBorder="1" applyAlignment="1">
      <alignment horizontal="center" vertical="center"/>
    </xf>
    <xf numFmtId="171" fontId="7" fillId="4" borderId="40" xfId="0" applyNumberFormat="1" applyFont="1" applyFill="1" applyBorder="1" applyAlignment="1">
      <alignment horizontal="center" vertical="center"/>
    </xf>
    <xf numFmtId="0" fontId="2" fillId="10" borderId="41" xfId="0" applyFont="1" applyFill="1" applyBorder="1" applyAlignment="1">
      <alignment horizontal="left"/>
    </xf>
    <xf numFmtId="9" fontId="3" fillId="3" borderId="41" xfId="0" applyNumberFormat="1" applyFont="1" applyFill="1" applyBorder="1" applyAlignment="1">
      <alignment horizontal="center" wrapText="1"/>
    </xf>
    <xf numFmtId="172" fontId="3" fillId="3" borderId="41" xfId="0" applyNumberFormat="1" applyFont="1" applyFill="1" applyBorder="1" applyAlignment="1">
      <alignment horizontal="center"/>
    </xf>
    <xf numFmtId="173" fontId="3" fillId="0" borderId="41" xfId="0" applyNumberFormat="1" applyFont="1" applyBorder="1" applyAlignment="1">
      <alignment horizontal="center"/>
    </xf>
    <xf numFmtId="1" fontId="7" fillId="4" borderId="41" xfId="0" applyNumberFormat="1" applyFont="1" applyFill="1" applyBorder="1" applyAlignment="1">
      <alignment horizontal="center" vertical="center"/>
    </xf>
    <xf numFmtId="171" fontId="7" fillId="4" borderId="41" xfId="0" applyNumberFormat="1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/>
    </xf>
    <xf numFmtId="0" fontId="3" fillId="4" borderId="41" xfId="0" applyFont="1" applyFill="1" applyBorder="1"/>
    <xf numFmtId="0" fontId="3" fillId="4" borderId="41" xfId="0" applyFont="1" applyFill="1" applyBorder="1" applyAlignment="1">
      <alignment horizontal="center"/>
    </xf>
    <xf numFmtId="0" fontId="2" fillId="4" borderId="41" xfId="0" applyFont="1" applyFill="1" applyBorder="1" applyAlignment="1">
      <alignment horizontal="center" vertical="center" wrapText="1"/>
    </xf>
    <xf numFmtId="0" fontId="2" fillId="10" borderId="41" xfId="0" applyFont="1" applyFill="1" applyBorder="1"/>
    <xf numFmtId="4" fontId="3" fillId="6" borderId="41" xfId="0" applyNumberFormat="1" applyFont="1" applyFill="1" applyBorder="1" applyAlignment="1">
      <alignment horizontal="right"/>
    </xf>
    <xf numFmtId="4" fontId="3" fillId="0" borderId="41" xfId="0" applyNumberFormat="1" applyFont="1" applyBorder="1"/>
    <xf numFmtId="0" fontId="2" fillId="10" borderId="44" xfId="0" applyFont="1" applyFill="1" applyBorder="1" applyAlignment="1">
      <alignment horizontal="left"/>
    </xf>
    <xf numFmtId="9" fontId="3" fillId="3" borderId="44" xfId="0" applyNumberFormat="1" applyFont="1" applyFill="1" applyBorder="1" applyAlignment="1">
      <alignment horizontal="center" wrapText="1"/>
    </xf>
    <xf numFmtId="172" fontId="3" fillId="3" borderId="44" xfId="0" applyNumberFormat="1" applyFont="1" applyFill="1" applyBorder="1" applyAlignment="1">
      <alignment horizontal="center"/>
    </xf>
    <xf numFmtId="173" fontId="3" fillId="0" borderId="44" xfId="0" applyNumberFormat="1" applyFont="1" applyBorder="1" applyAlignment="1">
      <alignment horizontal="center"/>
    </xf>
    <xf numFmtId="0" fontId="5" fillId="8" borderId="40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 wrapText="1"/>
    </xf>
    <xf numFmtId="0" fontId="6" fillId="8" borderId="4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71" fontId="7" fillId="4" borderId="48" xfId="0" applyNumberFormat="1" applyFont="1" applyFill="1" applyBorder="1" applyAlignment="1">
      <alignment vertical="center"/>
    </xf>
    <xf numFmtId="4" fontId="4" fillId="8" borderId="46" xfId="0" applyNumberFormat="1" applyFont="1" applyFill="1" applyBorder="1" applyAlignment="1">
      <alignment horizontal="center" vertical="center"/>
    </xf>
    <xf numFmtId="174" fontId="3" fillId="3" borderId="20" xfId="0" applyNumberFormat="1" applyFont="1" applyFill="1" applyBorder="1" applyAlignment="1">
      <alignment vertical="center"/>
    </xf>
    <xf numFmtId="4" fontId="3" fillId="3" borderId="20" xfId="0" applyNumberFormat="1" applyFont="1" applyFill="1" applyBorder="1" applyAlignment="1">
      <alignment vertical="center"/>
    </xf>
    <xf numFmtId="0" fontId="7" fillId="6" borderId="20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vertical="center"/>
    </xf>
    <xf numFmtId="0" fontId="12" fillId="10" borderId="41" xfId="0" applyFont="1" applyFill="1" applyBorder="1"/>
    <xf numFmtId="0" fontId="10" fillId="4" borderId="27" xfId="0" applyFont="1" applyFill="1" applyBorder="1" applyAlignment="1" applyProtection="1">
      <alignment horizontal="center" wrapText="1"/>
      <protection locked="0"/>
    </xf>
    <xf numFmtId="164" fontId="10" fillId="4" borderId="28" xfId="0" applyNumberFormat="1" applyFont="1" applyFill="1" applyBorder="1" applyAlignment="1" applyProtection="1">
      <alignment horizontal="center"/>
      <protection locked="0"/>
    </xf>
    <xf numFmtId="165" fontId="10" fillId="4" borderId="28" xfId="0" applyNumberFormat="1" applyFont="1" applyFill="1" applyBorder="1" applyAlignment="1" applyProtection="1">
      <alignment horizontal="center" vertical="center" wrapText="1"/>
      <protection locked="0"/>
    </xf>
    <xf numFmtId="165" fontId="10" fillId="4" borderId="28" xfId="0" applyNumberFormat="1" applyFont="1" applyFill="1" applyBorder="1" applyAlignment="1" applyProtection="1">
      <alignment horizontal="center" wrapText="1"/>
      <protection locked="0"/>
    </xf>
    <xf numFmtId="165" fontId="10" fillId="4" borderId="28" xfId="0" applyNumberFormat="1" applyFont="1" applyFill="1" applyBorder="1" applyAlignment="1" applyProtection="1">
      <alignment horizontal="center"/>
      <protection locked="0"/>
    </xf>
    <xf numFmtId="0" fontId="12" fillId="4" borderId="28" xfId="0" quotePrefix="1" applyFont="1" applyFill="1" applyBorder="1" applyAlignment="1" applyProtection="1">
      <alignment horizontal="center" wrapText="1"/>
      <protection locked="0"/>
    </xf>
    <xf numFmtId="166" fontId="12" fillId="4" borderId="28" xfId="0" applyNumberFormat="1" applyFont="1" applyFill="1" applyBorder="1" applyAlignment="1" applyProtection="1">
      <alignment horizontal="center" wrapText="1"/>
      <protection locked="0"/>
    </xf>
    <xf numFmtId="10" fontId="10" fillId="4" borderId="28" xfId="0" applyNumberFormat="1" applyFont="1" applyFill="1" applyBorder="1" applyAlignment="1" applyProtection="1">
      <alignment horizontal="center" vertical="center"/>
      <protection locked="0"/>
    </xf>
    <xf numFmtId="10" fontId="10" fillId="4" borderId="23" xfId="0" applyNumberFormat="1" applyFont="1" applyFill="1" applyBorder="1" applyAlignment="1" applyProtection="1">
      <alignment horizontal="center" vertical="center"/>
      <protection locked="0"/>
    </xf>
    <xf numFmtId="10" fontId="10" fillId="4" borderId="10" xfId="0" applyNumberFormat="1" applyFont="1" applyFill="1" applyBorder="1" applyAlignment="1" applyProtection="1">
      <alignment horizontal="center" vertical="center"/>
      <protection locked="0"/>
    </xf>
    <xf numFmtId="1" fontId="3" fillId="12" borderId="44" xfId="0" applyNumberFormat="1" applyFont="1" applyFill="1" applyBorder="1" applyAlignment="1" applyProtection="1">
      <alignment horizontal="center"/>
      <protection locked="0"/>
    </xf>
    <xf numFmtId="1" fontId="3" fillId="12" borderId="41" xfId="0" applyNumberFormat="1" applyFont="1" applyFill="1" applyBorder="1" applyAlignment="1" applyProtection="1">
      <alignment horizontal="center"/>
      <protection locked="0"/>
    </xf>
    <xf numFmtId="168" fontId="3" fillId="13" borderId="41" xfId="0" applyNumberFormat="1" applyFont="1" applyFill="1" applyBorder="1" applyAlignment="1" applyProtection="1">
      <alignment horizontal="center"/>
      <protection locked="0"/>
    </xf>
    <xf numFmtId="10" fontId="3" fillId="13" borderId="41" xfId="0" applyNumberFormat="1" applyFont="1" applyFill="1" applyBorder="1" applyAlignment="1" applyProtection="1">
      <alignment horizontal="center"/>
      <protection locked="0"/>
    </xf>
    <xf numFmtId="0" fontId="16" fillId="0" borderId="0" xfId="0" applyFont="1"/>
    <xf numFmtId="0" fontId="16" fillId="0" borderId="49" xfId="0" applyFont="1" applyBorder="1" applyAlignment="1">
      <alignment vertical="center" wrapText="1"/>
    </xf>
    <xf numFmtId="166" fontId="16" fillId="0" borderId="49" xfId="0" applyNumberFormat="1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171" fontId="16" fillId="0" borderId="49" xfId="0" applyNumberFormat="1" applyFont="1" applyBorder="1" applyAlignment="1">
      <alignment horizontal="center" vertical="center" wrapText="1"/>
    </xf>
    <xf numFmtId="0" fontId="16" fillId="0" borderId="49" xfId="0" applyFont="1" applyBorder="1" applyAlignment="1">
      <alignment horizontal="justify" vertical="center" wrapText="1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166" fontId="16" fillId="0" borderId="50" xfId="0" applyNumberFormat="1" applyFont="1" applyBorder="1" applyAlignment="1">
      <alignment horizontal="center" vertical="center" wrapText="1"/>
    </xf>
    <xf numFmtId="0" fontId="16" fillId="0" borderId="36" xfId="0" applyFont="1" applyBorder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 wrapText="1"/>
    </xf>
    <xf numFmtId="4" fontId="3" fillId="3" borderId="36" xfId="0" applyNumberFormat="1" applyFont="1" applyFill="1" applyBorder="1"/>
    <xf numFmtId="0" fontId="2" fillId="2" borderId="3" xfId="0" quotePrefix="1" applyFont="1" applyFill="1" applyBorder="1" applyAlignment="1" applyProtection="1">
      <alignment horizontal="center" wrapText="1"/>
      <protection locked="0"/>
    </xf>
    <xf numFmtId="0" fontId="11" fillId="0" borderId="9" xfId="0" applyFont="1" applyBorder="1"/>
    <xf numFmtId="165" fontId="3" fillId="4" borderId="27" xfId="0" quotePrefix="1" applyNumberFormat="1" applyFont="1" applyFill="1" applyBorder="1" applyAlignment="1" applyProtection="1">
      <alignment horizontal="center" wrapText="1"/>
      <protection locked="0"/>
    </xf>
    <xf numFmtId="0" fontId="10" fillId="4" borderId="28" xfId="0" applyFont="1" applyFill="1" applyBorder="1" applyAlignment="1" applyProtection="1">
      <alignment horizontal="center" wrapText="1"/>
      <protection locked="0"/>
    </xf>
    <xf numFmtId="0" fontId="2" fillId="4" borderId="28" xfId="0" quotePrefix="1" applyFont="1" applyFill="1" applyBorder="1" applyAlignment="1" applyProtection="1">
      <alignment horizontal="center" wrapText="1"/>
      <protection locked="0"/>
    </xf>
    <xf numFmtId="0" fontId="3" fillId="0" borderId="5" xfId="0" applyFont="1" applyBorder="1" applyAlignment="1">
      <alignment wrapText="1"/>
    </xf>
    <xf numFmtId="0" fontId="2" fillId="7" borderId="18" xfId="0" applyFont="1" applyFill="1" applyBorder="1"/>
    <xf numFmtId="0" fontId="2" fillId="7" borderId="18" xfId="0" applyFont="1" applyFill="1" applyBorder="1" applyAlignment="1">
      <alignment horizontal="left"/>
    </xf>
    <xf numFmtId="0" fontId="2" fillId="5" borderId="28" xfId="0" quotePrefix="1" applyFont="1" applyFill="1" applyBorder="1" applyAlignment="1" applyProtection="1">
      <alignment horizontal="center" vertical="center" wrapText="1"/>
      <protection locked="0"/>
    </xf>
    <xf numFmtId="0" fontId="2" fillId="5" borderId="28" xfId="0" applyFont="1" applyFill="1" applyBorder="1" applyAlignment="1" applyProtection="1">
      <alignment horizontal="center" wrapText="1"/>
      <protection locked="0"/>
    </xf>
    <xf numFmtId="171" fontId="12" fillId="5" borderId="28" xfId="0" applyNumberFormat="1" applyFont="1" applyFill="1" applyBorder="1" applyAlignment="1" applyProtection="1">
      <alignment horizontal="center" wrapText="1"/>
      <protection locked="0"/>
    </xf>
    <xf numFmtId="171" fontId="12" fillId="5" borderId="28" xfId="0" quotePrefix="1" applyNumberFormat="1" applyFont="1" applyFill="1" applyBorder="1" applyAlignment="1" applyProtection="1">
      <alignment horizontal="center" wrapText="1"/>
      <protection locked="0"/>
    </xf>
    <xf numFmtId="39" fontId="10" fillId="4" borderId="28" xfId="0" applyNumberFormat="1" applyFont="1" applyFill="1" applyBorder="1" applyAlignment="1" applyProtection="1">
      <alignment horizontal="center" wrapText="1"/>
      <protection locked="0"/>
    </xf>
    <xf numFmtId="9" fontId="10" fillId="5" borderId="28" xfId="0" applyNumberFormat="1" applyFont="1" applyFill="1" applyBorder="1" applyAlignment="1" applyProtection="1">
      <alignment horizontal="center" wrapText="1"/>
      <protection locked="0"/>
    </xf>
    <xf numFmtId="175" fontId="10" fillId="4" borderId="28" xfId="0" applyNumberFormat="1" applyFont="1" applyFill="1" applyBorder="1" applyAlignment="1" applyProtection="1">
      <alignment horizontal="center" vertical="center"/>
      <protection locked="0"/>
    </xf>
    <xf numFmtId="171" fontId="10" fillId="5" borderId="28" xfId="0" applyNumberFormat="1" applyFont="1" applyFill="1" applyBorder="1" applyAlignment="1" applyProtection="1">
      <alignment horizontal="center" wrapText="1"/>
      <protection locked="0"/>
    </xf>
    <xf numFmtId="168" fontId="10" fillId="5" borderId="28" xfId="0" applyNumberFormat="1" applyFont="1" applyFill="1" applyBorder="1" applyAlignment="1" applyProtection="1">
      <alignment horizontal="center" wrapText="1"/>
      <protection locked="0"/>
    </xf>
    <xf numFmtId="176" fontId="10" fillId="4" borderId="28" xfId="0" applyNumberFormat="1" applyFont="1" applyFill="1" applyBorder="1" applyAlignment="1" applyProtection="1">
      <alignment horizontal="center" vertical="center"/>
      <protection locked="0"/>
    </xf>
    <xf numFmtId="0" fontId="3" fillId="3" borderId="16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left" vertical="center"/>
    </xf>
    <xf numFmtId="171" fontId="16" fillId="0" borderId="49" xfId="0" applyNumberFormat="1" applyFont="1" applyBorder="1" applyAlignment="1" applyProtection="1">
      <alignment horizontal="center" vertical="center" wrapText="1"/>
      <protection locked="0"/>
    </xf>
    <xf numFmtId="0" fontId="3" fillId="3" borderId="16" xfId="0" applyFont="1" applyFill="1" applyBorder="1" applyAlignment="1">
      <alignment vertical="center" wrapText="1"/>
    </xf>
    <xf numFmtId="0" fontId="3" fillId="0" borderId="5" xfId="0" applyFont="1" applyBorder="1"/>
    <xf numFmtId="0" fontId="29" fillId="0" borderId="36" xfId="0" applyFont="1" applyBorder="1"/>
    <xf numFmtId="0" fontId="29" fillId="0" borderId="36" xfId="0" applyFont="1" applyBorder="1" applyAlignment="1">
      <alignment horizontal="center"/>
    </xf>
    <xf numFmtId="0" fontId="26" fillId="0" borderId="36" xfId="0" applyFont="1" applyBorder="1" applyAlignment="1">
      <alignment horizontal="center"/>
    </xf>
    <xf numFmtId="0" fontId="29" fillId="0" borderId="36" xfId="0" applyFont="1" applyBorder="1" applyAlignment="1">
      <alignment horizontal="left"/>
    </xf>
    <xf numFmtId="0" fontId="33" fillId="15" borderId="84" xfId="0" applyFont="1" applyFill="1" applyBorder="1" applyAlignment="1">
      <alignment horizontal="center"/>
    </xf>
    <xf numFmtId="0" fontId="33" fillId="15" borderId="85" xfId="0" applyFont="1" applyFill="1" applyBorder="1" applyAlignment="1">
      <alignment horizontal="center"/>
    </xf>
    <xf numFmtId="0" fontId="33" fillId="15" borderId="86" xfId="0" applyFont="1" applyFill="1" applyBorder="1" applyAlignment="1">
      <alignment horizontal="center"/>
    </xf>
    <xf numFmtId="0" fontId="29" fillId="0" borderId="90" xfId="0" applyFont="1" applyBorder="1"/>
    <xf numFmtId="0" fontId="27" fillId="0" borderId="36" xfId="0" applyFont="1" applyBorder="1"/>
    <xf numFmtId="0" fontId="29" fillId="0" borderId="59" xfId="0" applyFont="1" applyBorder="1"/>
    <xf numFmtId="0" fontId="29" fillId="0" borderId="94" xfId="0" applyFont="1" applyBorder="1"/>
    <xf numFmtId="0" fontId="29" fillId="0" borderId="95" xfId="0" applyFont="1" applyBorder="1"/>
    <xf numFmtId="0" fontId="29" fillId="0" borderId="96" xfId="0" applyFont="1" applyBorder="1"/>
    <xf numFmtId="0" fontId="29" fillId="0" borderId="97" xfId="0" applyFont="1" applyBorder="1"/>
    <xf numFmtId="0" fontId="29" fillId="0" borderId="98" xfId="0" applyFont="1" applyBorder="1"/>
    <xf numFmtId="0" fontId="29" fillId="0" borderId="99" xfId="0" applyFont="1" applyBorder="1"/>
    <xf numFmtId="0" fontId="29" fillId="0" borderId="102" xfId="0" applyFont="1" applyBorder="1"/>
    <xf numFmtId="0" fontId="29" fillId="0" borderId="59" xfId="0" applyFont="1" applyBorder="1" applyAlignment="1">
      <alignment horizontal="left"/>
    </xf>
    <xf numFmtId="0" fontId="24" fillId="15" borderId="63" xfId="0" applyFont="1" applyFill="1" applyBorder="1" applyAlignment="1">
      <alignment vertical="center" wrapText="1"/>
    </xf>
    <xf numFmtId="0" fontId="24" fillId="15" borderId="36" xfId="0" applyFont="1" applyFill="1" applyBorder="1" applyAlignment="1">
      <alignment vertical="center" wrapText="1"/>
    </xf>
    <xf numFmtId="0" fontId="24" fillId="15" borderId="59" xfId="0" applyFont="1" applyFill="1" applyBorder="1" applyAlignment="1">
      <alignment vertical="center" wrapText="1"/>
    </xf>
    <xf numFmtId="0" fontId="24" fillId="15" borderId="36" xfId="0" applyFont="1" applyFill="1" applyBorder="1" applyAlignment="1">
      <alignment horizontal="left" vertical="center" wrapText="1"/>
    </xf>
    <xf numFmtId="0" fontId="24" fillId="15" borderId="38" xfId="0" applyFont="1" applyFill="1" applyBorder="1" applyAlignment="1">
      <alignment vertical="center" wrapText="1"/>
    </xf>
    <xf numFmtId="0" fontId="29" fillId="0" borderId="95" xfId="0" applyFont="1" applyBorder="1" applyAlignment="1">
      <alignment horizontal="left"/>
    </xf>
    <xf numFmtId="0" fontId="29" fillId="0" borderId="90" xfId="0" applyFont="1" applyBorder="1" applyAlignment="1">
      <alignment horizontal="left"/>
    </xf>
    <xf numFmtId="0" fontId="29" fillId="0" borderId="106" xfId="0" applyFont="1" applyBorder="1" applyAlignment="1">
      <alignment horizontal="left"/>
    </xf>
    <xf numFmtId="0" fontId="29" fillId="0" borderId="107" xfId="0" applyFont="1" applyBorder="1" applyAlignment="1">
      <alignment horizontal="left"/>
    </xf>
    <xf numFmtId="0" fontId="29" fillId="0" borderId="108" xfId="0" applyFont="1" applyBorder="1" applyAlignment="1">
      <alignment horizontal="left"/>
    </xf>
    <xf numFmtId="0" fontId="29" fillId="0" borderId="94" xfId="0" applyFont="1" applyBorder="1" applyAlignment="1">
      <alignment horizontal="left"/>
    </xf>
    <xf numFmtId="0" fontId="29" fillId="0" borderId="98" xfId="0" applyFont="1" applyBorder="1" applyAlignment="1">
      <alignment horizontal="left"/>
    </xf>
    <xf numFmtId="0" fontId="29" fillId="0" borderId="102" xfId="0" applyFont="1" applyBorder="1" applyAlignment="1">
      <alignment horizontal="left"/>
    </xf>
    <xf numFmtId="0" fontId="29" fillId="0" borderId="96" xfId="0" applyFont="1" applyBorder="1" applyAlignment="1">
      <alignment horizontal="left"/>
    </xf>
    <xf numFmtId="0" fontId="29" fillId="0" borderId="109" xfId="0" applyFont="1" applyBorder="1" applyAlignment="1">
      <alignment horizontal="left"/>
    </xf>
    <xf numFmtId="0" fontId="29" fillId="0" borderId="63" xfId="0" applyFont="1" applyBorder="1" applyAlignment="1">
      <alignment horizontal="left"/>
    </xf>
    <xf numFmtId="0" fontId="29" fillId="0" borderId="99" xfId="0" applyFont="1" applyBorder="1" applyAlignment="1">
      <alignment horizontal="left"/>
    </xf>
    <xf numFmtId="0" fontId="29" fillId="23" borderId="36" xfId="0" applyFont="1" applyFill="1" applyBorder="1"/>
    <xf numFmtId="0" fontId="29" fillId="23" borderId="67" xfId="0" applyFont="1" applyFill="1" applyBorder="1"/>
    <xf numFmtId="0" fontId="29" fillId="0" borderId="68" xfId="0" applyFont="1" applyBorder="1" applyAlignment="1">
      <alignment horizontal="left"/>
    </xf>
    <xf numFmtId="0" fontId="30" fillId="15" borderId="75" xfId="0" applyFont="1" applyFill="1" applyBorder="1" applyAlignment="1">
      <alignment horizontal="left" vertical="center" wrapText="1"/>
    </xf>
    <xf numFmtId="0" fontId="30" fillId="15" borderId="76" xfId="0" applyFont="1" applyFill="1" applyBorder="1" applyAlignment="1">
      <alignment horizontal="left" vertical="center" wrapText="1"/>
    </xf>
    <xf numFmtId="0" fontId="31" fillId="15" borderId="77" xfId="0" applyFont="1" applyFill="1" applyBorder="1" applyAlignment="1">
      <alignment horizontal="center" vertical="center" wrapText="1"/>
    </xf>
    <xf numFmtId="0" fontId="33" fillId="15" borderId="69" xfId="0" applyFont="1" applyFill="1" applyBorder="1" applyAlignment="1">
      <alignment horizontal="center"/>
    </xf>
    <xf numFmtId="0" fontId="33" fillId="16" borderId="54" xfId="0" applyFont="1" applyFill="1" applyBorder="1" applyAlignment="1">
      <alignment horizontal="center"/>
    </xf>
    <xf numFmtId="0" fontId="33" fillId="15" borderId="54" xfId="0" applyFont="1" applyFill="1" applyBorder="1" applyAlignment="1">
      <alignment horizontal="center"/>
    </xf>
    <xf numFmtId="0" fontId="33" fillId="15" borderId="70" xfId="0" applyFont="1" applyFill="1" applyBorder="1" applyAlignment="1">
      <alignment horizontal="center"/>
    </xf>
    <xf numFmtId="0" fontId="31" fillId="15" borderId="55" xfId="0" applyFont="1" applyFill="1" applyBorder="1" applyAlignment="1">
      <alignment horizontal="center" vertical="center" wrapText="1"/>
    </xf>
    <xf numFmtId="0" fontId="29" fillId="0" borderId="71" xfId="0" applyFont="1" applyBorder="1" applyAlignment="1">
      <alignment horizontal="center"/>
    </xf>
    <xf numFmtId="0" fontId="29" fillId="0" borderId="74" xfId="0" applyFont="1" applyBorder="1" applyAlignment="1">
      <alignment horizontal="center"/>
    </xf>
    <xf numFmtId="0" fontId="29" fillId="0" borderId="72" xfId="0" applyFont="1" applyBorder="1" applyAlignment="1">
      <alignment horizontal="center"/>
    </xf>
    <xf numFmtId="0" fontId="29" fillId="0" borderId="72" xfId="0" applyFont="1" applyBorder="1" applyAlignment="1">
      <alignment horizontal="left"/>
    </xf>
    <xf numFmtId="0" fontId="29" fillId="0" borderId="74" xfId="0" applyFont="1" applyBorder="1"/>
    <xf numFmtId="1" fontId="28" fillId="24" borderId="52" xfId="0" quotePrefix="1" applyNumberFormat="1" applyFont="1" applyFill="1" applyBorder="1" applyAlignment="1">
      <alignment horizontal="center" vertical="center" wrapText="1"/>
    </xf>
    <xf numFmtId="0" fontId="29" fillId="0" borderId="49" xfId="0" applyFont="1" applyBorder="1" applyAlignment="1">
      <alignment horizontal="center"/>
    </xf>
    <xf numFmtId="9" fontId="29" fillId="0" borderId="36" xfId="0" applyNumberFormat="1" applyFont="1" applyBorder="1" applyAlignment="1">
      <alignment horizontal="center"/>
    </xf>
    <xf numFmtId="9" fontId="29" fillId="0" borderId="49" xfId="0" applyNumberFormat="1" applyFont="1" applyBorder="1" applyAlignment="1">
      <alignment horizontal="center"/>
    </xf>
    <xf numFmtId="0" fontId="29" fillId="0" borderId="49" xfId="0" applyFont="1" applyBorder="1" applyAlignment="1">
      <alignment horizontal="center" vertical="center"/>
    </xf>
    <xf numFmtId="0" fontId="29" fillId="0" borderId="49" xfId="0" applyFont="1" applyBorder="1" applyAlignment="1">
      <alignment horizontal="center" vertical="center" wrapText="1"/>
    </xf>
    <xf numFmtId="9" fontId="29" fillId="0" borderId="49" xfId="0" applyNumberFormat="1" applyFont="1" applyBorder="1" applyAlignment="1">
      <alignment horizontal="center" vertical="center"/>
    </xf>
    <xf numFmtId="0" fontId="37" fillId="0" borderId="0" xfId="0" applyFont="1"/>
    <xf numFmtId="0" fontId="3" fillId="3" borderId="17" xfId="0" applyFont="1" applyFill="1" applyBorder="1" applyAlignment="1">
      <alignment horizontal="left"/>
    </xf>
    <xf numFmtId="0" fontId="3" fillId="3" borderId="17" xfId="0" applyFont="1" applyFill="1" applyBorder="1" applyAlignment="1">
      <alignment horizontal="left" vertical="center"/>
    </xf>
    <xf numFmtId="10" fontId="12" fillId="7" borderId="113" xfId="0" applyNumberFormat="1" applyFont="1" applyFill="1" applyBorder="1" applyAlignment="1">
      <alignment horizontal="center" vertical="center" wrapText="1"/>
    </xf>
    <xf numFmtId="0" fontId="10" fillId="0" borderId="38" xfId="0" applyFont="1" applyBorder="1"/>
    <xf numFmtId="0" fontId="3" fillId="0" borderId="114" xfId="0" applyFont="1" applyBorder="1" applyAlignment="1">
      <alignment vertical="center" wrapText="1"/>
    </xf>
    <xf numFmtId="0" fontId="10" fillId="0" borderId="115" xfId="0" applyFont="1" applyBorder="1"/>
    <xf numFmtId="0" fontId="13" fillId="0" borderId="116" xfId="0" applyFont="1" applyBorder="1"/>
    <xf numFmtId="4" fontId="12" fillId="3" borderId="28" xfId="0" applyNumberFormat="1" applyFont="1" applyFill="1" applyBorder="1" applyAlignment="1">
      <alignment vertical="center"/>
    </xf>
    <xf numFmtId="4" fontId="12" fillId="7" borderId="10" xfId="0" applyNumberFormat="1" applyFont="1" applyFill="1" applyBorder="1" applyAlignment="1">
      <alignment vertical="center"/>
    </xf>
    <xf numFmtId="0" fontId="10" fillId="0" borderId="116" xfId="0" applyFont="1" applyBorder="1"/>
    <xf numFmtId="0" fontId="10" fillId="0" borderId="114" xfId="0" applyFont="1" applyBorder="1"/>
    <xf numFmtId="10" fontId="2" fillId="4" borderId="113" xfId="0" applyNumberFormat="1" applyFont="1" applyFill="1" applyBorder="1" applyAlignment="1">
      <alignment horizontal="center" vertical="center" wrapText="1"/>
    </xf>
    <xf numFmtId="167" fontId="2" fillId="5" borderId="28" xfId="0" quotePrefix="1" applyNumberFormat="1" applyFont="1" applyFill="1" applyBorder="1" applyAlignment="1" applyProtection="1">
      <alignment horizontal="center" vertical="center" wrapText="1"/>
      <protection locked="0"/>
    </xf>
    <xf numFmtId="171" fontId="2" fillId="4" borderId="28" xfId="0" applyNumberFormat="1" applyFont="1" applyFill="1" applyBorder="1" applyAlignment="1" applyProtection="1">
      <alignment horizontal="center" vertical="center" wrapText="1"/>
      <protection locked="0"/>
    </xf>
    <xf numFmtId="0" fontId="10" fillId="4" borderId="28" xfId="0" applyFont="1" applyFill="1" applyBorder="1" applyAlignment="1" applyProtection="1">
      <alignment horizontal="center" vertical="center"/>
      <protection locked="0"/>
    </xf>
    <xf numFmtId="165" fontId="12" fillId="5" borderId="28" xfId="0" applyNumberFormat="1" applyFont="1" applyFill="1" applyBorder="1" applyAlignment="1" applyProtection="1">
      <alignment horizontal="center"/>
      <protection locked="0"/>
    </xf>
    <xf numFmtId="0" fontId="12" fillId="2" borderId="113" xfId="0" applyFont="1" applyFill="1" applyBorder="1" applyAlignment="1">
      <alignment horizontal="center"/>
    </xf>
    <xf numFmtId="0" fontId="10" fillId="0" borderId="38" xfId="0" applyFont="1" applyBorder="1" applyAlignment="1">
      <alignment vertical="center" wrapText="1"/>
    </xf>
    <xf numFmtId="171" fontId="3" fillId="0" borderId="38" xfId="0" applyNumberFormat="1" applyFont="1" applyBorder="1" applyAlignment="1">
      <alignment wrapText="1"/>
    </xf>
    <xf numFmtId="0" fontId="3" fillId="0" borderId="38" xfId="0" applyFont="1" applyBorder="1" applyAlignment="1">
      <alignment vertical="center" wrapText="1"/>
    </xf>
    <xf numFmtId="0" fontId="3" fillId="0" borderId="38" xfId="0" applyFont="1" applyBorder="1" applyAlignment="1">
      <alignment wrapText="1"/>
    </xf>
    <xf numFmtId="0" fontId="38" fillId="0" borderId="38" xfId="0" applyFont="1" applyBorder="1" applyAlignment="1">
      <alignment vertical="center" wrapText="1"/>
    </xf>
    <xf numFmtId="0" fontId="3" fillId="0" borderId="38" xfId="0" applyFont="1" applyBorder="1"/>
    <xf numFmtId="0" fontId="3" fillId="4" borderId="27" xfId="0" quotePrefix="1" applyFont="1" applyFill="1" applyBorder="1" applyAlignment="1" applyProtection="1">
      <alignment horizontal="center" wrapText="1"/>
      <protection locked="0"/>
    </xf>
    <xf numFmtId="171" fontId="16" fillId="0" borderId="0" xfId="0" applyNumberFormat="1" applyFont="1"/>
    <xf numFmtId="0" fontId="16" fillId="0" borderId="49" xfId="0" applyFont="1" applyBorder="1" applyAlignment="1">
      <alignment horizontal="left" vertical="center"/>
    </xf>
    <xf numFmtId="9" fontId="16" fillId="0" borderId="49" xfId="2" applyFont="1" applyBorder="1" applyAlignment="1">
      <alignment horizontal="left" vertical="center"/>
    </xf>
    <xf numFmtId="171" fontId="16" fillId="0" borderId="49" xfId="0" applyNumberFormat="1" applyFont="1" applyBorder="1" applyAlignment="1">
      <alignment horizontal="left" vertical="center"/>
    </xf>
    <xf numFmtId="9" fontId="16" fillId="0" borderId="49" xfId="0" applyNumberFormat="1" applyFont="1" applyBorder="1" applyAlignment="1">
      <alignment horizontal="left" vertical="center"/>
    </xf>
    <xf numFmtId="0" fontId="29" fillId="0" borderId="52" xfId="0" applyFont="1" applyBorder="1" applyAlignment="1">
      <alignment horizontal="center"/>
    </xf>
    <xf numFmtId="9" fontId="29" fillId="0" borderId="52" xfId="0" applyNumberFormat="1" applyFont="1" applyBorder="1" applyAlignment="1">
      <alignment horizontal="center"/>
    </xf>
    <xf numFmtId="1" fontId="26" fillId="17" borderId="38" xfId="0" applyNumberFormat="1" applyFont="1" applyFill="1" applyBorder="1" applyAlignment="1">
      <alignment horizontal="center" vertical="center"/>
    </xf>
    <xf numFmtId="171" fontId="16" fillId="0" borderId="49" xfId="0" applyNumberFormat="1" applyFont="1" applyBorder="1" applyAlignment="1">
      <alignment vertical="center"/>
    </xf>
    <xf numFmtId="0" fontId="9" fillId="0" borderId="49" xfId="1" applyBorder="1" applyAlignment="1">
      <alignment vertical="center"/>
    </xf>
    <xf numFmtId="14" fontId="16" fillId="0" borderId="49" xfId="0" applyNumberFormat="1" applyFont="1" applyBorder="1"/>
    <xf numFmtId="171" fontId="16" fillId="0" borderId="49" xfId="0" applyNumberFormat="1" applyFont="1" applyBorder="1"/>
    <xf numFmtId="14" fontId="16" fillId="0" borderId="49" xfId="0" applyNumberFormat="1" applyFont="1" applyBorder="1" applyAlignment="1">
      <alignment vertical="center"/>
    </xf>
    <xf numFmtId="0" fontId="24" fillId="17" borderId="63" xfId="0" applyFont="1" applyFill="1" applyBorder="1" applyAlignment="1">
      <alignment horizontal="center" vertical="center" wrapText="1"/>
    </xf>
    <xf numFmtId="177" fontId="24" fillId="17" borderId="36" xfId="0" applyNumberFormat="1" applyFont="1" applyFill="1" applyBorder="1" applyAlignment="1">
      <alignment horizontal="left" vertical="center" wrapText="1"/>
    </xf>
    <xf numFmtId="1" fontId="26" fillId="17" borderId="36" xfId="0" applyNumberFormat="1" applyFont="1" applyFill="1" applyBorder="1" applyAlignment="1">
      <alignment horizontal="center" vertical="center"/>
    </xf>
    <xf numFmtId="0" fontId="29" fillId="0" borderId="63" xfId="0" applyFont="1" applyBorder="1"/>
    <xf numFmtId="0" fontId="33" fillId="18" borderId="36" xfId="0" applyFont="1" applyFill="1" applyBorder="1" applyAlignment="1">
      <alignment horizontal="center"/>
    </xf>
    <xf numFmtId="0" fontId="33" fillId="18" borderId="59" xfId="0" applyFont="1" applyFill="1" applyBorder="1" applyAlignment="1">
      <alignment horizontal="center"/>
    </xf>
    <xf numFmtId="171" fontId="22" fillId="0" borderId="0" xfId="0" applyNumberFormat="1" applyFont="1" applyAlignment="1">
      <alignment horizontal="center" vertical="center" wrapText="1"/>
    </xf>
    <xf numFmtId="0" fontId="9" fillId="0" borderId="49" xfId="1" applyBorder="1" applyAlignment="1">
      <alignment vertical="center" wrapText="1"/>
    </xf>
    <xf numFmtId="171" fontId="19" fillId="0" borderId="49" xfId="0" applyNumberFormat="1" applyFont="1" applyBorder="1" applyAlignment="1">
      <alignment horizontal="left" vertical="center"/>
    </xf>
    <xf numFmtId="0" fontId="9" fillId="0" borderId="38" xfId="1" applyBorder="1"/>
    <xf numFmtId="0" fontId="0" fillId="0" borderId="0" xfId="0"/>
    <xf numFmtId="0" fontId="3" fillId="3" borderId="39" xfId="0" applyFont="1" applyFill="1" applyBorder="1" applyAlignment="1">
      <alignment horizontal="left" vertical="center"/>
    </xf>
    <xf numFmtId="171" fontId="10" fillId="4" borderId="23" xfId="0" applyNumberFormat="1" applyFont="1" applyFill="1" applyBorder="1" applyAlignment="1" applyProtection="1">
      <alignment horizontal="center" vertical="center"/>
      <protection locked="0"/>
    </xf>
    <xf numFmtId="4" fontId="10" fillId="3" borderId="36" xfId="0" applyNumberFormat="1" applyFont="1" applyFill="1" applyBorder="1" applyAlignment="1">
      <alignment vertical="center"/>
    </xf>
    <xf numFmtId="10" fontId="10" fillId="3" borderId="28" xfId="0" applyNumberFormat="1" applyFont="1" applyFill="1" applyBorder="1" applyAlignment="1">
      <alignment vertical="center"/>
    </xf>
    <xf numFmtId="0" fontId="3" fillId="0" borderId="126" xfId="0" applyFont="1" applyBorder="1"/>
    <xf numFmtId="4" fontId="10" fillId="3" borderId="127" xfId="0" applyNumberFormat="1" applyFont="1" applyFill="1" applyBorder="1" applyAlignment="1">
      <alignment vertical="center"/>
    </xf>
    <xf numFmtId="4" fontId="10" fillId="3" borderId="49" xfId="0" applyNumberFormat="1" applyFont="1" applyFill="1" applyBorder="1" applyAlignment="1">
      <alignment vertical="center"/>
    </xf>
    <xf numFmtId="0" fontId="9" fillId="0" borderId="38" xfId="1" applyFill="1" applyBorder="1"/>
    <xf numFmtId="0" fontId="0" fillId="0" borderId="38" xfId="0" applyFill="1" applyBorder="1"/>
    <xf numFmtId="0" fontId="12" fillId="2" borderId="11" xfId="0" applyFont="1" applyFill="1" applyBorder="1" applyAlignment="1">
      <alignment horizontal="center"/>
    </xf>
    <xf numFmtId="0" fontId="10" fillId="0" borderId="126" xfId="0" applyFont="1" applyBorder="1"/>
    <xf numFmtId="0" fontId="10" fillId="0" borderId="126" xfId="0" applyFont="1" applyBorder="1" applyAlignment="1">
      <alignment wrapText="1"/>
    </xf>
    <xf numFmtId="0" fontId="3" fillId="0" borderId="126" xfId="0" applyFont="1" applyBorder="1" applyAlignment="1">
      <alignment wrapText="1"/>
    </xf>
    <xf numFmtId="0" fontId="10" fillId="0" borderId="128" xfId="0" applyFont="1" applyBorder="1"/>
    <xf numFmtId="4" fontId="10" fillId="3" borderId="129" xfId="0" applyNumberFormat="1" applyFont="1" applyFill="1" applyBorder="1" applyAlignment="1">
      <alignment vertical="center"/>
    </xf>
    <xf numFmtId="0" fontId="0" fillId="0" borderId="126" xfId="0" applyBorder="1"/>
    <xf numFmtId="4" fontId="10" fillId="3" borderId="126" xfId="0" applyNumberFormat="1" applyFont="1" applyFill="1" applyBorder="1" applyAlignment="1">
      <alignment vertical="center"/>
    </xf>
    <xf numFmtId="4" fontId="10" fillId="3" borderId="50" xfId="0" applyNumberFormat="1" applyFont="1" applyFill="1" applyBorder="1" applyAlignment="1">
      <alignment vertical="center"/>
    </xf>
    <xf numFmtId="0" fontId="3" fillId="0" borderId="130" xfId="0" applyFont="1" applyBorder="1"/>
    <xf numFmtId="0" fontId="2" fillId="0" borderId="38" xfId="0" applyFont="1" applyBorder="1" applyAlignment="1">
      <alignment vertical="center" wrapText="1"/>
    </xf>
    <xf numFmtId="0" fontId="19" fillId="0" borderId="0" xfId="0" applyFont="1"/>
    <xf numFmtId="0" fontId="41" fillId="14" borderId="49" xfId="0" applyFont="1" applyFill="1" applyBorder="1" applyAlignment="1">
      <alignment horizontal="center" vertical="center" wrapText="1"/>
    </xf>
    <xf numFmtId="171" fontId="41" fillId="14" borderId="49" xfId="0" applyNumberFormat="1" applyFont="1" applyFill="1" applyBorder="1" applyAlignment="1">
      <alignment horizontal="center" vertical="center"/>
    </xf>
    <xf numFmtId="171" fontId="21" fillId="26" borderId="49" xfId="0" applyNumberFormat="1" applyFont="1" applyFill="1" applyBorder="1" applyAlignment="1">
      <alignment horizontal="center" vertical="center"/>
    </xf>
    <xf numFmtId="0" fontId="19" fillId="0" borderId="36" xfId="0" applyFont="1" applyFill="1" applyBorder="1"/>
    <xf numFmtId="171" fontId="19" fillId="0" borderId="36" xfId="0" applyNumberFormat="1" applyFont="1" applyFill="1" applyBorder="1"/>
    <xf numFmtId="0" fontId="16" fillId="0" borderId="63" xfId="0" applyFont="1" applyBorder="1"/>
    <xf numFmtId="0" fontId="16" fillId="0" borderId="36" xfId="0" applyFont="1" applyBorder="1"/>
    <xf numFmtId="0" fontId="16" fillId="0" borderId="59" xfId="0" applyFont="1" applyBorder="1"/>
    <xf numFmtId="9" fontId="16" fillId="0" borderId="36" xfId="2" applyFont="1" applyBorder="1"/>
    <xf numFmtId="171" fontId="16" fillId="0" borderId="36" xfId="0" applyNumberFormat="1" applyFont="1" applyBorder="1"/>
    <xf numFmtId="0" fontId="9" fillId="0" borderId="63" xfId="1" applyBorder="1"/>
    <xf numFmtId="9" fontId="21" fillId="0" borderId="36" xfId="2" applyFont="1" applyBorder="1"/>
    <xf numFmtId="0" fontId="21" fillId="0" borderId="36" xfId="0" applyFont="1" applyBorder="1"/>
    <xf numFmtId="0" fontId="0" fillId="0" borderId="36" xfId="0" applyBorder="1"/>
    <xf numFmtId="0" fontId="21" fillId="0" borderId="59" xfId="0" applyFont="1" applyBorder="1"/>
    <xf numFmtId="0" fontId="22" fillId="0" borderId="63" xfId="0" applyFont="1" applyBorder="1"/>
    <xf numFmtId="9" fontId="22" fillId="0" borderId="36" xfId="2" applyFont="1" applyBorder="1"/>
    <xf numFmtId="0" fontId="22" fillId="0" borderId="36" xfId="0" applyFont="1" applyBorder="1"/>
    <xf numFmtId="0" fontId="22" fillId="0" borderId="59" xfId="0" applyFont="1" applyBorder="1"/>
    <xf numFmtId="0" fontId="22" fillId="0" borderId="131" xfId="0" applyFont="1" applyBorder="1"/>
    <xf numFmtId="0" fontId="22" fillId="0" borderId="132" xfId="0" applyFont="1" applyBorder="1"/>
    <xf numFmtId="0" fontId="0" fillId="0" borderId="132" xfId="0" applyBorder="1"/>
    <xf numFmtId="0" fontId="22" fillId="0" borderId="68" xfId="0" applyFont="1" applyBorder="1"/>
    <xf numFmtId="0" fontId="41" fillId="14" borderId="134" xfId="0" applyFont="1" applyFill="1" applyBorder="1" applyAlignment="1">
      <alignment vertical="center"/>
    </xf>
    <xf numFmtId="0" fontId="41" fillId="14" borderId="135" xfId="0" applyFont="1" applyFill="1" applyBorder="1" applyAlignment="1">
      <alignment vertical="center"/>
    </xf>
    <xf numFmtId="0" fontId="16" fillId="0" borderId="137" xfId="0" applyFont="1" applyBorder="1" applyAlignment="1">
      <alignment vertical="center"/>
    </xf>
    <xf numFmtId="0" fontId="41" fillId="14" borderId="131" xfId="0" applyFont="1" applyFill="1" applyBorder="1"/>
    <xf numFmtId="0" fontId="41" fillId="14" borderId="132" xfId="0" applyFont="1" applyFill="1" applyBorder="1"/>
    <xf numFmtId="171" fontId="41" fillId="14" borderId="132" xfId="0" applyNumberFormat="1" applyFont="1" applyFill="1" applyBorder="1"/>
    <xf numFmtId="0" fontId="41" fillId="14" borderId="68" xfId="0" applyFont="1" applyFill="1" applyBorder="1"/>
    <xf numFmtId="0" fontId="40" fillId="14" borderId="133" xfId="0" applyFont="1" applyFill="1" applyBorder="1" applyAlignment="1">
      <alignment horizontal="left" vertical="center" wrapText="1"/>
    </xf>
    <xf numFmtId="0" fontId="40" fillId="14" borderId="134" xfId="0" applyFont="1" applyFill="1" applyBorder="1" applyAlignment="1">
      <alignment horizontal="left" vertical="center" wrapText="1"/>
    </xf>
    <xf numFmtId="0" fontId="40" fillId="14" borderId="135" xfId="0" applyFont="1" applyFill="1" applyBorder="1" applyAlignment="1">
      <alignment horizontal="left" vertical="center" wrapText="1"/>
    </xf>
    <xf numFmtId="0" fontId="16" fillId="0" borderId="138" xfId="0" applyFont="1" applyBorder="1" applyAlignment="1">
      <alignment horizontal="left" vertical="center"/>
    </xf>
    <xf numFmtId="0" fontId="16" fillId="0" borderId="137" xfId="0" applyFont="1" applyBorder="1" applyAlignment="1">
      <alignment horizontal="left" vertical="center"/>
    </xf>
    <xf numFmtId="171" fontId="16" fillId="0" borderId="137" xfId="0" applyNumberFormat="1" applyFont="1" applyBorder="1" applyAlignment="1">
      <alignment horizontal="left" vertical="center"/>
    </xf>
    <xf numFmtId="0" fontId="43" fillId="26" borderId="139" xfId="0" applyFont="1" applyFill="1" applyBorder="1" applyAlignment="1">
      <alignment horizontal="left" vertical="center"/>
    </xf>
    <xf numFmtId="0" fontId="43" fillId="26" borderId="140" xfId="0" applyFont="1" applyFill="1" applyBorder="1" applyAlignment="1">
      <alignment horizontal="left" vertical="center"/>
    </xf>
    <xf numFmtId="171" fontId="43" fillId="26" borderId="140" xfId="0" applyNumberFormat="1" applyFont="1" applyFill="1" applyBorder="1" applyAlignment="1">
      <alignment horizontal="left" vertical="center"/>
    </xf>
    <xf numFmtId="171" fontId="43" fillId="26" borderId="141" xfId="0" applyNumberFormat="1" applyFont="1" applyFill="1" applyBorder="1" applyAlignment="1">
      <alignment horizontal="left" vertical="center"/>
    </xf>
    <xf numFmtId="0" fontId="12" fillId="10" borderId="41" xfId="0" applyFont="1" applyFill="1" applyBorder="1" applyAlignment="1">
      <alignment vertical="center" wrapText="1"/>
    </xf>
    <xf numFmtId="3" fontId="44" fillId="0" borderId="145" xfId="0" applyNumberFormat="1" applyFont="1" applyBorder="1" applyAlignment="1">
      <alignment horizontal="center" vertical="center" wrapText="1"/>
    </xf>
    <xf numFmtId="171" fontId="44" fillId="0" borderId="145" xfId="0" applyNumberFormat="1" applyFont="1" applyBorder="1" applyAlignment="1">
      <alignment horizontal="center" vertical="center" wrapText="1"/>
    </xf>
    <xf numFmtId="2" fontId="44" fillId="0" borderId="145" xfId="0" applyNumberFormat="1" applyFont="1" applyBorder="1" applyAlignment="1">
      <alignment horizontal="center" vertical="center" wrapText="1"/>
    </xf>
    <xf numFmtId="0" fontId="44" fillId="0" borderId="145" xfId="0" applyNumberFormat="1" applyFont="1" applyBorder="1" applyAlignment="1">
      <alignment horizontal="center" vertical="center" wrapText="1"/>
    </xf>
    <xf numFmtId="4" fontId="44" fillId="0" borderId="145" xfId="0" applyNumberFormat="1" applyFont="1" applyBorder="1" applyAlignment="1">
      <alignment horizontal="center" vertical="center" wrapText="1"/>
    </xf>
    <xf numFmtId="0" fontId="44" fillId="0" borderId="145" xfId="0" applyFont="1" applyBorder="1" applyAlignment="1">
      <alignment horizontal="center" vertical="center" wrapText="1"/>
    </xf>
    <xf numFmtId="0" fontId="46" fillId="28" borderId="142" xfId="0" applyFont="1" applyFill="1" applyBorder="1" applyAlignment="1">
      <alignment horizontal="justify" vertical="center" wrapText="1"/>
    </xf>
    <xf numFmtId="0" fontId="46" fillId="28" borderId="143" xfId="0" applyFont="1" applyFill="1" applyBorder="1" applyAlignment="1">
      <alignment horizontal="justify" vertical="center" wrapText="1"/>
    </xf>
    <xf numFmtId="0" fontId="46" fillId="28" borderId="143" xfId="0" applyFont="1" applyFill="1" applyBorder="1" applyAlignment="1">
      <alignment horizontal="center" vertical="center" wrapText="1"/>
    </xf>
    <xf numFmtId="3" fontId="46" fillId="28" borderId="145" xfId="0" applyNumberFormat="1" applyFont="1" applyFill="1" applyBorder="1" applyAlignment="1">
      <alignment horizontal="justify" vertical="center" wrapText="1"/>
    </xf>
    <xf numFmtId="0" fontId="47" fillId="28" borderId="145" xfId="0" applyFont="1" applyFill="1" applyBorder="1" applyAlignment="1">
      <alignment horizontal="justify" vertical="center" wrapText="1"/>
    </xf>
    <xf numFmtId="0" fontId="47" fillId="28" borderId="145" xfId="0" applyFont="1" applyFill="1" applyBorder="1" applyAlignment="1">
      <alignment horizontal="center" vertical="center" wrapText="1"/>
    </xf>
    <xf numFmtId="4" fontId="46" fillId="28" borderId="145" xfId="0" applyNumberFormat="1" applyFont="1" applyFill="1" applyBorder="1" applyAlignment="1">
      <alignment horizontal="center" vertical="center" wrapText="1"/>
    </xf>
    <xf numFmtId="0" fontId="46" fillId="28" borderId="144" xfId="0" applyFont="1" applyFill="1" applyBorder="1" applyAlignment="1">
      <alignment horizontal="left" vertical="center" wrapText="1"/>
    </xf>
    <xf numFmtId="0" fontId="3" fillId="29" borderId="36" xfId="0" applyFont="1" applyFill="1" applyBorder="1"/>
    <xf numFmtId="174" fontId="3" fillId="29" borderId="36" xfId="0" applyNumberFormat="1" applyFont="1" applyFill="1" applyBorder="1"/>
    <xf numFmtId="4" fontId="3" fillId="29" borderId="36" xfId="0" applyNumberFormat="1" applyFont="1" applyFill="1" applyBorder="1"/>
    <xf numFmtId="0" fontId="0" fillId="30" borderId="0" xfId="0" applyFill="1"/>
    <xf numFmtId="0" fontId="45" fillId="28" borderId="143" xfId="0" applyFont="1" applyFill="1" applyBorder="1" applyAlignment="1">
      <alignment horizontal="left" vertical="center" wrapText="1"/>
    </xf>
    <xf numFmtId="171" fontId="3" fillId="3" borderId="20" xfId="0" applyNumberFormat="1" applyFont="1" applyFill="1" applyBorder="1" applyAlignment="1">
      <alignment vertical="center"/>
    </xf>
    <xf numFmtId="0" fontId="26" fillId="17" borderId="58" xfId="0" applyFont="1" applyFill="1" applyBorder="1" applyAlignment="1">
      <alignment horizontal="center" vertical="center" wrapText="1"/>
    </xf>
    <xf numFmtId="0" fontId="26" fillId="17" borderId="65" xfId="0" applyFont="1" applyFill="1" applyBorder="1" applyAlignment="1">
      <alignment horizontal="center" vertical="center" wrapText="1"/>
    </xf>
    <xf numFmtId="0" fontId="24" fillId="21" borderId="51" xfId="0" applyFont="1" applyFill="1" applyBorder="1" applyAlignment="1">
      <alignment horizontal="left" vertical="center" wrapText="1"/>
    </xf>
    <xf numFmtId="0" fontId="24" fillId="21" borderId="52" xfId="0" applyFont="1" applyFill="1" applyBorder="1" applyAlignment="1">
      <alignment horizontal="left" vertical="center" wrapText="1"/>
    </xf>
    <xf numFmtId="0" fontId="26" fillId="21" borderId="60" xfId="0" applyFont="1" applyFill="1" applyBorder="1" applyAlignment="1">
      <alignment horizontal="center" vertical="center" wrapText="1"/>
    </xf>
    <xf numFmtId="0" fontId="26" fillId="21" borderId="56" xfId="0" applyFont="1" applyFill="1" applyBorder="1" applyAlignment="1">
      <alignment horizontal="center" vertical="center" wrapText="1"/>
    </xf>
    <xf numFmtId="0" fontId="34" fillId="18" borderId="100" xfId="0" applyFont="1" applyFill="1" applyBorder="1" applyAlignment="1">
      <alignment horizontal="left"/>
    </xf>
    <xf numFmtId="0" fontId="34" fillId="18" borderId="92" xfId="0" applyFont="1" applyFill="1" applyBorder="1" applyAlignment="1">
      <alignment horizontal="left"/>
    </xf>
    <xf numFmtId="0" fontId="24" fillId="21" borderId="57" xfId="0" applyFont="1" applyFill="1" applyBorder="1" applyAlignment="1">
      <alignment horizontal="center" vertical="center" wrapText="1"/>
    </xf>
    <xf numFmtId="0" fontId="24" fillId="21" borderId="64" xfId="0" applyFont="1" applyFill="1" applyBorder="1" applyAlignment="1">
      <alignment horizontal="center" vertical="center" wrapText="1"/>
    </xf>
    <xf numFmtId="0" fontId="26" fillId="21" borderId="58" xfId="0" applyFont="1" applyFill="1" applyBorder="1" applyAlignment="1">
      <alignment horizontal="center" vertical="center" wrapText="1"/>
    </xf>
    <xf numFmtId="0" fontId="26" fillId="21" borderId="65" xfId="0" applyFont="1" applyFill="1" applyBorder="1" applyAlignment="1">
      <alignment horizontal="center" vertical="center" wrapText="1"/>
    </xf>
    <xf numFmtId="0" fontId="33" fillId="18" borderId="100" xfId="0" applyFont="1" applyFill="1" applyBorder="1" applyAlignment="1">
      <alignment horizontal="left"/>
    </xf>
    <xf numFmtId="0" fontId="33" fillId="18" borderId="92" xfId="0" applyFont="1" applyFill="1" applyBorder="1" applyAlignment="1">
      <alignment horizontal="left"/>
    </xf>
    <xf numFmtId="0" fontId="35" fillId="15" borderId="71" xfId="0" applyFont="1" applyFill="1" applyBorder="1" applyAlignment="1">
      <alignment horizontal="center"/>
    </xf>
    <xf numFmtId="0" fontId="35" fillId="15" borderId="72" xfId="0" applyFont="1" applyFill="1" applyBorder="1" applyAlignment="1">
      <alignment horizontal="center"/>
    </xf>
    <xf numFmtId="0" fontId="29" fillId="0" borderId="71" xfId="0" applyFont="1" applyBorder="1" applyAlignment="1">
      <alignment horizontal="center"/>
    </xf>
    <xf numFmtId="0" fontId="29" fillId="0" borderId="72" xfId="0" applyFont="1" applyBorder="1" applyAlignment="1">
      <alignment horizontal="center"/>
    </xf>
    <xf numFmtId="0" fontId="29" fillId="0" borderId="73" xfId="0" applyFont="1" applyBorder="1" applyAlignment="1">
      <alignment horizontal="center"/>
    </xf>
    <xf numFmtId="0" fontId="24" fillId="17" borderId="57" xfId="0" applyFont="1" applyFill="1" applyBorder="1" applyAlignment="1">
      <alignment horizontal="center" vertical="center" wrapText="1"/>
    </xf>
    <xf numFmtId="0" fontId="24" fillId="17" borderId="64" xfId="0" applyFont="1" applyFill="1" applyBorder="1" applyAlignment="1">
      <alignment horizontal="center" vertical="center" wrapText="1"/>
    </xf>
    <xf numFmtId="0" fontId="24" fillId="17" borderId="51" xfId="0" applyFont="1" applyFill="1" applyBorder="1" applyAlignment="1">
      <alignment horizontal="left" vertical="center" wrapText="1"/>
    </xf>
    <xf numFmtId="0" fontId="24" fillId="17" borderId="52" xfId="0" applyFont="1" applyFill="1" applyBorder="1" applyAlignment="1">
      <alignment horizontal="left" vertical="center" wrapText="1"/>
    </xf>
    <xf numFmtId="0" fontId="33" fillId="22" borderId="100" xfId="0" applyFont="1" applyFill="1" applyBorder="1" applyAlignment="1">
      <alignment horizontal="left"/>
    </xf>
    <xf numFmtId="0" fontId="33" fillId="22" borderId="92" xfId="0" applyFont="1" applyFill="1" applyBorder="1" applyAlignment="1">
      <alignment horizontal="left"/>
    </xf>
    <xf numFmtId="0" fontId="33" fillId="22" borderId="93" xfId="0" applyFont="1" applyFill="1" applyBorder="1" applyAlignment="1">
      <alignment horizontal="left"/>
    </xf>
    <xf numFmtId="0" fontId="34" fillId="18" borderId="91" xfId="0" applyFont="1" applyFill="1" applyBorder="1" applyAlignment="1">
      <alignment horizontal="left"/>
    </xf>
    <xf numFmtId="0" fontId="33" fillId="18" borderId="125" xfId="0" applyFont="1" applyFill="1" applyBorder="1" applyAlignment="1">
      <alignment horizontal="center"/>
    </xf>
    <xf numFmtId="0" fontId="33" fillId="18" borderId="36" xfId="0" applyFont="1" applyFill="1" applyBorder="1" applyAlignment="1">
      <alignment horizontal="center"/>
    </xf>
    <xf numFmtId="0" fontId="29" fillId="0" borderId="50" xfId="0" applyFont="1" applyBorder="1" applyAlignment="1">
      <alignment horizontal="center"/>
    </xf>
    <xf numFmtId="0" fontId="29" fillId="0" borderId="111" xfId="0" applyFont="1" applyBorder="1" applyAlignment="1">
      <alignment horizontal="center"/>
    </xf>
    <xf numFmtId="0" fontId="29" fillId="0" borderId="112" xfId="0" applyFont="1" applyBorder="1" applyAlignment="1">
      <alignment horizontal="center"/>
    </xf>
    <xf numFmtId="0" fontId="26" fillId="17" borderId="60" xfId="0" applyFont="1" applyFill="1" applyBorder="1" applyAlignment="1">
      <alignment horizontal="center" vertical="center" wrapText="1"/>
    </xf>
    <xf numFmtId="0" fontId="26" fillId="17" borderId="56" xfId="0" applyFont="1" applyFill="1" applyBorder="1" applyAlignment="1">
      <alignment horizontal="center" vertical="center" wrapText="1"/>
    </xf>
    <xf numFmtId="0" fontId="33" fillId="18" borderId="110" xfId="0" applyFont="1" applyFill="1" applyBorder="1" applyAlignment="1">
      <alignment horizontal="center"/>
    </xf>
    <xf numFmtId="0" fontId="33" fillId="18" borderId="88" xfId="0" applyFont="1" applyFill="1" applyBorder="1" applyAlignment="1">
      <alignment horizontal="center"/>
    </xf>
    <xf numFmtId="0" fontId="33" fillId="18" borderId="89" xfId="0" applyFont="1" applyFill="1" applyBorder="1" applyAlignment="1">
      <alignment horizontal="center"/>
    </xf>
    <xf numFmtId="0" fontId="33" fillId="22" borderId="100" xfId="0" applyFont="1" applyFill="1" applyBorder="1" applyAlignment="1">
      <alignment horizontal="center"/>
    </xf>
    <xf numFmtId="0" fontId="33" fillId="22" borderId="92" xfId="0" applyFont="1" applyFill="1" applyBorder="1" applyAlignment="1">
      <alignment horizontal="center"/>
    </xf>
    <xf numFmtId="0" fontId="33" fillId="22" borderId="93" xfId="0" applyFont="1" applyFill="1" applyBorder="1" applyAlignment="1">
      <alignment horizontal="center"/>
    </xf>
    <xf numFmtId="0" fontId="24" fillId="20" borderId="57" xfId="0" applyFont="1" applyFill="1" applyBorder="1" applyAlignment="1">
      <alignment horizontal="center" vertical="center" wrapText="1"/>
    </xf>
    <xf numFmtId="0" fontId="24" fillId="20" borderId="64" xfId="0" applyFont="1" applyFill="1" applyBorder="1" applyAlignment="1">
      <alignment horizontal="center" vertical="center" wrapText="1"/>
    </xf>
    <xf numFmtId="0" fontId="24" fillId="20" borderId="51" xfId="0" applyFont="1" applyFill="1" applyBorder="1" applyAlignment="1">
      <alignment horizontal="left" vertical="center" wrapText="1"/>
    </xf>
    <xf numFmtId="0" fontId="24" fillId="20" borderId="52" xfId="0" applyFont="1" applyFill="1" applyBorder="1" applyAlignment="1">
      <alignment horizontal="left" vertical="center" wrapText="1"/>
    </xf>
    <xf numFmtId="0" fontId="26" fillId="20" borderId="58" xfId="0" applyFont="1" applyFill="1" applyBorder="1" applyAlignment="1">
      <alignment horizontal="center" vertical="center" wrapText="1"/>
    </xf>
    <xf numFmtId="0" fontId="26" fillId="20" borderId="65" xfId="0" applyFont="1" applyFill="1" applyBorder="1" applyAlignment="1">
      <alignment horizontal="center" vertical="center" wrapText="1"/>
    </xf>
    <xf numFmtId="0" fontId="26" fillId="20" borderId="60" xfId="0" applyFont="1" applyFill="1" applyBorder="1" applyAlignment="1">
      <alignment horizontal="center" vertical="center" wrapText="1"/>
    </xf>
    <xf numFmtId="0" fontId="26" fillId="20" borderId="56" xfId="0" applyFont="1" applyFill="1" applyBorder="1" applyAlignment="1">
      <alignment horizontal="center" vertical="center" wrapText="1"/>
    </xf>
    <xf numFmtId="0" fontId="33" fillId="18" borderId="92" xfId="0" applyFont="1" applyFill="1" applyBorder="1" applyAlignment="1">
      <alignment horizontal="center"/>
    </xf>
    <xf numFmtId="0" fontId="33" fillId="18" borderId="93" xfId="0" applyFont="1" applyFill="1" applyBorder="1" applyAlignment="1">
      <alignment horizontal="center"/>
    </xf>
    <xf numFmtId="0" fontId="26" fillId="19" borderId="50" xfId="0" applyFont="1" applyFill="1" applyBorder="1" applyAlignment="1">
      <alignment horizontal="center" vertical="center" wrapText="1"/>
    </xf>
    <xf numFmtId="0" fontId="24" fillId="19" borderId="49" xfId="0" applyFont="1" applyFill="1" applyBorder="1" applyAlignment="1">
      <alignment horizontal="left" vertical="center" wrapText="1"/>
    </xf>
    <xf numFmtId="0" fontId="26" fillId="19" borderId="66" xfId="0" applyFont="1" applyFill="1" applyBorder="1" applyAlignment="1">
      <alignment horizontal="center" vertical="center" wrapText="1"/>
    </xf>
    <xf numFmtId="0" fontId="34" fillId="18" borderId="87" xfId="0" applyFont="1" applyFill="1" applyBorder="1" applyAlignment="1">
      <alignment horizontal="left"/>
    </xf>
    <xf numFmtId="0" fontId="34" fillId="18" borderId="88" xfId="0" applyFont="1" applyFill="1" applyBorder="1" applyAlignment="1">
      <alignment horizontal="left"/>
    </xf>
    <xf numFmtId="0" fontId="26" fillId="17" borderId="62" xfId="0" applyFont="1" applyFill="1" applyBorder="1" applyAlignment="1">
      <alignment horizontal="center" vertical="center" wrapText="1"/>
    </xf>
    <xf numFmtId="0" fontId="24" fillId="17" borderId="53" xfId="0" applyFont="1" applyFill="1" applyBorder="1" applyAlignment="1">
      <alignment horizontal="left" vertical="center" wrapText="1"/>
    </xf>
    <xf numFmtId="0" fontId="26" fillId="17" borderId="38" xfId="0" applyFont="1" applyFill="1" applyBorder="1" applyAlignment="1">
      <alignment horizontal="center" vertical="center" wrapText="1"/>
    </xf>
    <xf numFmtId="0" fontId="33" fillId="18" borderId="103" xfId="0" applyFont="1" applyFill="1" applyBorder="1" applyAlignment="1">
      <alignment horizontal="center"/>
    </xf>
    <xf numFmtId="0" fontId="33" fillId="18" borderId="104" xfId="0" applyFont="1" applyFill="1" applyBorder="1" applyAlignment="1">
      <alignment horizontal="center"/>
    </xf>
    <xf numFmtId="0" fontId="33" fillId="18" borderId="100" xfId="0" applyFont="1" applyFill="1" applyBorder="1" applyAlignment="1">
      <alignment horizontal="center"/>
    </xf>
    <xf numFmtId="0" fontId="33" fillId="18" borderId="101" xfId="0" applyFont="1" applyFill="1" applyBorder="1" applyAlignment="1">
      <alignment horizontal="center"/>
    </xf>
    <xf numFmtId="0" fontId="33" fillId="18" borderId="105" xfId="0" applyFont="1" applyFill="1" applyBorder="1" applyAlignment="1">
      <alignment horizontal="center"/>
    </xf>
    <xf numFmtId="0" fontId="33" fillId="18" borderId="87" xfId="0" applyFont="1" applyFill="1" applyBorder="1" applyAlignment="1">
      <alignment horizontal="center"/>
    </xf>
    <xf numFmtId="1" fontId="26" fillId="17" borderId="58" xfId="0" applyNumberFormat="1" applyFont="1" applyFill="1" applyBorder="1" applyAlignment="1">
      <alignment horizontal="center" vertical="center"/>
    </xf>
    <xf numFmtId="1" fontId="26" fillId="17" borderId="62" xfId="0" applyNumberFormat="1" applyFont="1" applyFill="1" applyBorder="1" applyAlignment="1">
      <alignment horizontal="center" vertical="center"/>
    </xf>
    <xf numFmtId="177" fontId="24" fillId="17" borderId="51" xfId="0" applyNumberFormat="1" applyFont="1" applyFill="1" applyBorder="1" applyAlignment="1">
      <alignment horizontal="left" vertical="center" wrapText="1"/>
    </xf>
    <xf numFmtId="177" fontId="24" fillId="17" borderId="53" xfId="0" applyNumberFormat="1" applyFont="1" applyFill="1" applyBorder="1" applyAlignment="1">
      <alignment horizontal="left" vertical="center" wrapText="1"/>
    </xf>
    <xf numFmtId="1" fontId="26" fillId="17" borderId="60" xfId="0" applyNumberFormat="1" applyFont="1" applyFill="1" applyBorder="1" applyAlignment="1">
      <alignment horizontal="center" vertical="center"/>
    </xf>
    <xf numFmtId="1" fontId="26" fillId="17" borderId="38" xfId="0" applyNumberFormat="1" applyFont="1" applyFill="1" applyBorder="1" applyAlignment="1">
      <alignment horizontal="center" vertical="center"/>
    </xf>
    <xf numFmtId="0" fontId="33" fillId="18" borderId="91" xfId="0" applyFont="1" applyFill="1" applyBorder="1" applyAlignment="1">
      <alignment horizontal="center"/>
    </xf>
    <xf numFmtId="0" fontId="36" fillId="14" borderId="120" xfId="0" applyFont="1" applyFill="1" applyBorder="1" applyAlignment="1">
      <alignment horizontal="center" vertical="center" wrapText="1"/>
    </xf>
    <xf numFmtId="0" fontId="36" fillId="14" borderId="123" xfId="0" applyFont="1" applyFill="1" applyBorder="1" applyAlignment="1">
      <alignment horizontal="center" vertical="center"/>
    </xf>
    <xf numFmtId="0" fontId="36" fillId="14" borderId="121" xfId="0" applyFont="1" applyFill="1" applyBorder="1" applyAlignment="1">
      <alignment horizontal="center" vertical="center"/>
    </xf>
    <xf numFmtId="0" fontId="36" fillId="14" borderId="124" xfId="0" applyFont="1" applyFill="1" applyBorder="1" applyAlignment="1">
      <alignment horizontal="center" vertical="center"/>
    </xf>
    <xf numFmtId="0" fontId="24" fillId="17" borderId="61" xfId="0" applyFont="1" applyFill="1" applyBorder="1" applyAlignment="1">
      <alignment horizontal="center" vertical="center" wrapText="1"/>
    </xf>
    <xf numFmtId="0" fontId="24" fillId="19" borderId="49" xfId="0" applyFont="1" applyFill="1" applyBorder="1" applyAlignment="1">
      <alignment horizontal="center" vertical="center" wrapText="1"/>
    </xf>
    <xf numFmtId="0" fontId="36" fillId="14" borderId="123" xfId="0" applyFont="1" applyFill="1" applyBorder="1" applyAlignment="1">
      <alignment horizontal="center" vertical="center" wrapText="1"/>
    </xf>
    <xf numFmtId="0" fontId="36" fillId="14" borderId="120" xfId="0" applyFont="1" applyFill="1" applyBorder="1" applyAlignment="1">
      <alignment horizontal="center" vertical="center"/>
    </xf>
    <xf numFmtId="0" fontId="36" fillId="14" borderId="119" xfId="0" applyFont="1" applyFill="1" applyBorder="1" applyAlignment="1">
      <alignment horizontal="center" vertical="center"/>
    </xf>
    <xf numFmtId="0" fontId="36" fillId="14" borderId="122" xfId="0" applyFont="1" applyFill="1" applyBorder="1" applyAlignment="1">
      <alignment horizontal="center" vertical="center"/>
    </xf>
    <xf numFmtId="0" fontId="32" fillId="16" borderId="78" xfId="0" applyFont="1" applyFill="1" applyBorder="1" applyAlignment="1">
      <alignment horizontal="center" vertical="center"/>
    </xf>
    <xf numFmtId="0" fontId="32" fillId="16" borderId="79" xfId="0" applyFont="1" applyFill="1" applyBorder="1" applyAlignment="1">
      <alignment horizontal="center" vertical="center"/>
    </xf>
    <xf numFmtId="0" fontId="32" fillId="16" borderId="80" xfId="0" applyFont="1" applyFill="1" applyBorder="1" applyAlignment="1">
      <alignment horizontal="center" vertical="center"/>
    </xf>
    <xf numFmtId="0" fontId="31" fillId="15" borderId="54" xfId="0" applyFont="1" applyFill="1" applyBorder="1" applyAlignment="1">
      <alignment horizontal="center" vertical="center" textRotation="90" wrapText="1"/>
    </xf>
    <xf numFmtId="0" fontId="31" fillId="15" borderId="83" xfId="0" applyFont="1" applyFill="1" applyBorder="1" applyAlignment="1">
      <alignment horizontal="center" vertical="center" textRotation="90" wrapText="1"/>
    </xf>
    <xf numFmtId="0" fontId="30" fillId="15" borderId="76" xfId="0" applyFont="1" applyFill="1" applyBorder="1" applyAlignment="1">
      <alignment horizontal="left" vertical="center" wrapText="1"/>
    </xf>
    <xf numFmtId="0" fontId="30" fillId="15" borderId="82" xfId="0" applyFont="1" applyFill="1" applyBorder="1" applyAlignment="1">
      <alignment horizontal="left" vertical="center" wrapText="1"/>
    </xf>
    <xf numFmtId="0" fontId="31" fillId="15" borderId="55" xfId="0" applyFont="1" applyFill="1" applyBorder="1" applyAlignment="1">
      <alignment horizontal="center" vertical="center" textRotation="90" wrapText="1"/>
    </xf>
    <xf numFmtId="0" fontId="31" fillId="15" borderId="56" xfId="0" applyFont="1" applyFill="1" applyBorder="1" applyAlignment="1">
      <alignment horizontal="center" vertical="center" textRotation="90" wrapText="1"/>
    </xf>
    <xf numFmtId="0" fontId="30" fillId="15" borderId="75" xfId="0" applyFont="1" applyFill="1" applyBorder="1" applyAlignment="1">
      <alignment horizontal="center" vertical="center" wrapText="1"/>
    </xf>
    <xf numFmtId="0" fontId="30" fillId="15" borderId="81" xfId="0" applyFont="1" applyFill="1" applyBorder="1" applyAlignment="1">
      <alignment horizontal="center" vertical="center" wrapText="1"/>
    </xf>
    <xf numFmtId="0" fontId="30" fillId="15" borderId="76" xfId="0" applyFont="1" applyFill="1" applyBorder="1" applyAlignment="1">
      <alignment horizontal="center" vertical="center" wrapText="1"/>
    </xf>
    <xf numFmtId="0" fontId="30" fillId="15" borderId="82" xfId="0" applyFont="1" applyFill="1" applyBorder="1" applyAlignment="1">
      <alignment horizontal="center" vertical="center" wrapText="1"/>
    </xf>
    <xf numFmtId="0" fontId="31" fillId="15" borderId="77" xfId="0" applyFont="1" applyFill="1" applyBorder="1" applyAlignment="1">
      <alignment horizontal="center" vertical="center" textRotation="90" wrapText="1"/>
    </xf>
    <xf numFmtId="0" fontId="12" fillId="3" borderId="6" xfId="0" applyFont="1" applyFill="1" applyBorder="1" applyAlignment="1">
      <alignment horizontal="left" vertical="center"/>
    </xf>
    <xf numFmtId="0" fontId="11" fillId="0" borderId="31" xfId="0" applyFont="1" applyBorder="1"/>
    <xf numFmtId="0" fontId="39" fillId="25" borderId="13" xfId="0" applyFont="1" applyFill="1" applyBorder="1" applyAlignment="1">
      <alignment horizontal="center" vertical="center"/>
    </xf>
    <xf numFmtId="0" fontId="38" fillId="14" borderId="13" xfId="0" applyFont="1" applyFill="1" applyBorder="1" applyAlignment="1">
      <alignment vertical="center"/>
    </xf>
    <xf numFmtId="0" fontId="38" fillId="14" borderId="36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11" fillId="0" borderId="2" xfId="0" applyFont="1" applyBorder="1"/>
    <xf numFmtId="0" fontId="10" fillId="3" borderId="6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0" fillId="0" borderId="38" xfId="0" applyFill="1" applyBorder="1"/>
    <xf numFmtId="0" fontId="12" fillId="3" borderId="6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/>
    </xf>
    <xf numFmtId="0" fontId="0" fillId="0" borderId="0" xfId="0"/>
    <xf numFmtId="0" fontId="12" fillId="2" borderId="1" xfId="0" applyFont="1" applyFill="1" applyBorder="1" applyAlignment="1">
      <alignment horizontal="center" vertical="center" wrapText="1"/>
    </xf>
    <xf numFmtId="0" fontId="11" fillId="0" borderId="21" xfId="0" applyFont="1" applyBorder="1"/>
    <xf numFmtId="0" fontId="11" fillId="0" borderId="11" xfId="0" applyFont="1" applyBorder="1"/>
    <xf numFmtId="0" fontId="10" fillId="3" borderId="8" xfId="0" applyFont="1" applyFill="1" applyBorder="1" applyAlignment="1">
      <alignment horizontal="left" vertical="center" wrapText="1"/>
    </xf>
    <xf numFmtId="0" fontId="11" fillId="0" borderId="9" xfId="0" applyFont="1" applyBorder="1"/>
    <xf numFmtId="0" fontId="12" fillId="2" borderId="1" xfId="0" applyFont="1" applyFill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1" fillId="0" borderId="13" xfId="0" applyFont="1" applyBorder="1"/>
    <xf numFmtId="0" fontId="2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 vertical="center"/>
    </xf>
    <xf numFmtId="0" fontId="12" fillId="4" borderId="6" xfId="0" applyFont="1" applyFill="1" applyBorder="1" applyAlignment="1">
      <alignment horizontal="center"/>
    </xf>
    <xf numFmtId="0" fontId="11" fillId="0" borderId="14" xfId="0" applyFont="1" applyBorder="1"/>
    <xf numFmtId="0" fontId="11" fillId="0" borderId="15" xfId="0" applyFont="1" applyBorder="1"/>
    <xf numFmtId="0" fontId="12" fillId="4" borderId="1" xfId="0" applyFont="1" applyFill="1" applyBorder="1" applyAlignment="1">
      <alignment horizontal="center"/>
    </xf>
    <xf numFmtId="0" fontId="11" fillId="0" borderId="36" xfId="0" applyFont="1" applyBorder="1"/>
    <xf numFmtId="0" fontId="12" fillId="4" borderId="1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/>
    </xf>
    <xf numFmtId="0" fontId="22" fillId="0" borderId="0" xfId="0" applyFont="1" applyAlignment="1">
      <alignment horizontal="left" wrapText="1"/>
    </xf>
    <xf numFmtId="0" fontId="42" fillId="14" borderId="69" xfId="0" applyFont="1" applyFill="1" applyBorder="1" applyAlignment="1">
      <alignment horizontal="center"/>
    </xf>
    <xf numFmtId="0" fontId="42" fillId="14" borderId="54" xfId="0" applyFont="1" applyFill="1" applyBorder="1" applyAlignment="1">
      <alignment horizontal="center"/>
    </xf>
    <xf numFmtId="0" fontId="42" fillId="14" borderId="70" xfId="0" applyFont="1" applyFill="1" applyBorder="1" applyAlignment="1">
      <alignment horizontal="center"/>
    </xf>
    <xf numFmtId="171" fontId="9" fillId="0" borderId="51" xfId="1" applyNumberFormat="1" applyBorder="1" applyAlignment="1">
      <alignment horizontal="center" vertical="center" wrapText="1"/>
    </xf>
    <xf numFmtId="171" fontId="9" fillId="0" borderId="53" xfId="1" applyNumberFormat="1" applyBorder="1" applyAlignment="1">
      <alignment horizontal="center" vertical="center" wrapText="1"/>
    </xf>
    <xf numFmtId="171" fontId="9" fillId="0" borderId="52" xfId="1" applyNumberFormat="1" applyBorder="1" applyAlignment="1">
      <alignment horizontal="center" vertical="center" wrapText="1"/>
    </xf>
    <xf numFmtId="0" fontId="41" fillId="14" borderId="49" xfId="0" applyFont="1" applyFill="1" applyBorder="1" applyAlignment="1">
      <alignment horizontal="left" wrapText="1"/>
    </xf>
    <xf numFmtId="0" fontId="21" fillId="26" borderId="49" xfId="0" applyFont="1" applyFill="1" applyBorder="1" applyAlignment="1">
      <alignment horizontal="left" wrapText="1"/>
    </xf>
    <xf numFmtId="0" fontId="16" fillId="0" borderId="136" xfId="0" applyFont="1" applyBorder="1" applyAlignment="1">
      <alignment horizontal="left" vertical="center"/>
    </xf>
    <xf numFmtId="0" fontId="16" fillId="0" borderId="112" xfId="0" applyFont="1" applyBorder="1" applyAlignment="1">
      <alignment horizontal="left" vertical="center"/>
    </xf>
    <xf numFmtId="0" fontId="16" fillId="0" borderId="138" xfId="0" applyFont="1" applyBorder="1" applyAlignment="1">
      <alignment horizontal="left" vertical="center" wrapText="1"/>
    </xf>
    <xf numFmtId="0" fontId="16" fillId="0" borderId="49" xfId="0" applyFont="1" applyBorder="1" applyAlignment="1">
      <alignment horizontal="left" vertical="center" wrapText="1"/>
    </xf>
    <xf numFmtId="0" fontId="41" fillId="14" borderId="133" xfId="0" applyFont="1" applyFill="1" applyBorder="1" applyAlignment="1">
      <alignment horizontal="center" vertical="center"/>
    </xf>
    <xf numFmtId="0" fontId="41" fillId="14" borderId="134" xfId="0" applyFont="1" applyFill="1" applyBorder="1" applyAlignment="1">
      <alignment horizontal="center" vertical="center"/>
    </xf>
    <xf numFmtId="0" fontId="16" fillId="0" borderId="136" xfId="0" applyFont="1" applyBorder="1" applyAlignment="1">
      <alignment horizontal="left"/>
    </xf>
    <xf numFmtId="0" fontId="16" fillId="0" borderId="112" xfId="0" applyFont="1" applyBorder="1" applyAlignment="1">
      <alignment horizontal="left"/>
    </xf>
    <xf numFmtId="1" fontId="2" fillId="6" borderId="29" xfId="0" applyNumberFormat="1" applyFont="1" applyFill="1" applyBorder="1" applyAlignment="1">
      <alignment horizontal="center" vertical="center"/>
    </xf>
    <xf numFmtId="0" fontId="1" fillId="0" borderId="26" xfId="0" applyFont="1" applyBorder="1"/>
    <xf numFmtId="0" fontId="1" fillId="0" borderId="30" xfId="0" applyFont="1" applyBorder="1"/>
    <xf numFmtId="0" fontId="7" fillId="4" borderId="40" xfId="0" applyFont="1" applyFill="1" applyBorder="1" applyAlignment="1">
      <alignment horizontal="center" vertical="center"/>
    </xf>
    <xf numFmtId="0" fontId="15" fillId="0" borderId="32" xfId="0" applyFont="1" applyBorder="1" applyAlignment="1">
      <alignment horizontal="left" vertical="center" wrapText="1"/>
    </xf>
    <xf numFmtId="0" fontId="1" fillId="0" borderId="33" xfId="0" applyFont="1" applyBorder="1"/>
    <xf numFmtId="0" fontId="1" fillId="0" borderId="36" xfId="0" applyFont="1" applyBorder="1"/>
    <xf numFmtId="0" fontId="1" fillId="0" borderId="34" xfId="0" applyFont="1" applyBorder="1"/>
    <xf numFmtId="0" fontId="1" fillId="0" borderId="35" xfId="0" applyFont="1" applyBorder="1"/>
    <xf numFmtId="0" fontId="7" fillId="4" borderId="41" xfId="0" applyFont="1" applyFill="1" applyBorder="1" applyAlignment="1">
      <alignment horizontal="center" vertical="center"/>
    </xf>
    <xf numFmtId="0" fontId="1" fillId="0" borderId="41" xfId="0" applyFont="1" applyBorder="1" applyAlignment="1">
      <alignment vertical="center"/>
    </xf>
    <xf numFmtId="0" fontId="12" fillId="4" borderId="40" xfId="0" applyFont="1" applyFill="1" applyBorder="1" applyAlignment="1">
      <alignment horizontal="center" vertical="center" wrapText="1"/>
    </xf>
    <xf numFmtId="0" fontId="10" fillId="11" borderId="40" xfId="0" applyFont="1" applyFill="1" applyBorder="1" applyAlignment="1">
      <alignment horizontal="center"/>
    </xf>
    <xf numFmtId="0" fontId="2" fillId="10" borderId="117" xfId="0" applyFont="1" applyFill="1" applyBorder="1" applyAlignment="1">
      <alignment horizontal="center"/>
    </xf>
    <xf numFmtId="0" fontId="2" fillId="10" borderId="118" xfId="0" applyFont="1" applyFill="1" applyBorder="1" applyAlignment="1">
      <alignment horizontal="center"/>
    </xf>
    <xf numFmtId="0" fontId="2" fillId="10" borderId="40" xfId="0" applyFont="1" applyFill="1" applyBorder="1" applyAlignment="1">
      <alignment horizontal="left"/>
    </xf>
    <xf numFmtId="0" fontId="1" fillId="0" borderId="40" xfId="0" applyFont="1" applyBorder="1"/>
    <xf numFmtId="0" fontId="5" fillId="8" borderId="25" xfId="0" applyFont="1" applyFill="1" applyBorder="1" applyAlignment="1">
      <alignment horizontal="center" vertical="center" wrapText="1"/>
    </xf>
    <xf numFmtId="0" fontId="1" fillId="0" borderId="37" xfId="0" applyFont="1" applyBorder="1"/>
    <xf numFmtId="0" fontId="4" fillId="8" borderId="45" xfId="0" applyFont="1" applyFill="1" applyBorder="1" applyAlignment="1">
      <alignment horizontal="center" vertical="center" wrapText="1"/>
    </xf>
    <xf numFmtId="0" fontId="1" fillId="0" borderId="47" xfId="0" applyFont="1" applyBorder="1" applyAlignment="1">
      <alignment vertical="center" wrapText="1"/>
    </xf>
    <xf numFmtId="0" fontId="17" fillId="9" borderId="42" xfId="0" applyFont="1" applyFill="1" applyBorder="1" applyAlignment="1">
      <alignment horizontal="center" vertical="center"/>
    </xf>
    <xf numFmtId="0" fontId="1" fillId="0" borderId="42" xfId="0" applyFont="1" applyBorder="1"/>
    <xf numFmtId="0" fontId="5" fillId="9" borderId="43" xfId="0" applyFont="1" applyFill="1" applyBorder="1" applyAlignment="1">
      <alignment horizontal="center"/>
    </xf>
    <xf numFmtId="0" fontId="1" fillId="0" borderId="43" xfId="0" applyFont="1" applyBorder="1"/>
    <xf numFmtId="0" fontId="5" fillId="9" borderId="43" xfId="0" applyFont="1" applyFill="1" applyBorder="1" applyAlignment="1">
      <alignment horizontal="center" vertical="center"/>
    </xf>
    <xf numFmtId="0" fontId="1" fillId="0" borderId="43" xfId="0" applyFont="1" applyBorder="1" applyAlignment="1">
      <alignment vertical="center"/>
    </xf>
    <xf numFmtId="0" fontId="18" fillId="8" borderId="25" xfId="0" applyFont="1" applyFill="1" applyBorder="1" applyAlignment="1">
      <alignment horizontal="center" vertical="center" wrapText="1"/>
    </xf>
    <xf numFmtId="0" fontId="48" fillId="27" borderId="146" xfId="0" applyFont="1" applyFill="1" applyBorder="1" applyAlignment="1">
      <alignment horizontal="center" vertical="center"/>
    </xf>
    <xf numFmtId="0" fontId="4" fillId="8" borderId="147" xfId="0" applyFont="1" applyFill="1" applyBorder="1" applyAlignment="1">
      <alignment horizontal="center" vertical="center" wrapText="1"/>
    </xf>
    <xf numFmtId="0" fontId="4" fillId="8" borderId="148" xfId="0" applyFont="1" applyFill="1" applyBorder="1" applyAlignment="1">
      <alignment horizontal="center" vertical="center" wrapText="1"/>
    </xf>
    <xf numFmtId="0" fontId="4" fillId="8" borderId="149" xfId="0" applyFont="1" applyFill="1" applyBorder="1" applyAlignment="1">
      <alignment horizontal="center" vertical="center" wrapText="1"/>
    </xf>
    <xf numFmtId="0" fontId="4" fillId="8" borderId="45" xfId="0" applyFont="1" applyFill="1" applyBorder="1" applyAlignment="1">
      <alignment horizontal="center" vertical="center"/>
    </xf>
    <xf numFmtId="0" fontId="1" fillId="0" borderId="47" xfId="0" applyFont="1" applyBorder="1" applyAlignment="1">
      <alignment vertical="center"/>
    </xf>
    <xf numFmtId="0" fontId="9" fillId="3" borderId="150" xfId="1" applyFill="1" applyBorder="1" applyAlignment="1">
      <alignment horizontal="center"/>
    </xf>
    <xf numFmtId="0" fontId="9" fillId="3" borderId="36" xfId="1" applyFill="1" applyBorder="1" applyAlignment="1">
      <alignment horizontal="center"/>
    </xf>
  </cellXfs>
  <cellStyles count="3">
    <cellStyle name="Hiperlink" xfId="1" builtinId="8"/>
    <cellStyle name="Normal" xfId="0" builtinId="0"/>
    <cellStyle name="Porcentagem" xfId="2" builtinId="5"/>
  </cellStyles>
  <dxfs count="0"/>
  <tableStyles count="0" defaultTableStyle="TableStyleMedium2" defaultPivotStyle="PivotStyleLight16"/>
  <colors>
    <mruColors>
      <color rgb="FF366092"/>
      <color rgb="FF43B7FF"/>
      <color rgb="FFCCECFF"/>
      <color rgb="FFA493BF"/>
      <color rgb="FF87A9CF"/>
      <color rgb="FF9CB95B"/>
      <color rgb="FFF9BF8F"/>
      <color rgb="FFFFFF00"/>
      <color rgb="FFFFFFCC"/>
      <color rgb="FFFFE9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customschemas.google.com/relationships/workbookmetadata" Target="metadata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stj.jus.br/wp-content/uploads/Manual_do_Modelo_de_Planilhas_de_Custos_do_STJ.pdf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47626</xdr:colOff>
      <xdr:row>3</xdr:row>
      <xdr:rowOff>9525</xdr:rowOff>
    </xdr:from>
    <xdr:to>
      <xdr:col>17</xdr:col>
      <xdr:colOff>140970</xdr:colOff>
      <xdr:row>4</xdr:row>
      <xdr:rowOff>171450</xdr:rowOff>
    </xdr:to>
    <xdr:sp macro="" textlink="">
      <xdr:nvSpPr>
        <xdr:cNvPr id="64" name="Chave Direita 63">
          <a:extLst>
            <a:ext uri="{FF2B5EF4-FFF2-40B4-BE49-F238E27FC236}">
              <a16:creationId xmlns:a16="http://schemas.microsoft.com/office/drawing/2014/main" id="{7C4A4EE0-392C-447C-B911-D827862FE533}"/>
            </a:ext>
          </a:extLst>
        </xdr:cNvPr>
        <xdr:cNvSpPr/>
      </xdr:nvSpPr>
      <xdr:spPr>
        <a:xfrm>
          <a:off x="3667126" y="1066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17</xdr:col>
      <xdr:colOff>57151</xdr:colOff>
      <xdr:row>5</xdr:row>
      <xdr:rowOff>9525</xdr:rowOff>
    </xdr:from>
    <xdr:to>
      <xdr:col>17</xdr:col>
      <xdr:colOff>150495</xdr:colOff>
      <xdr:row>6</xdr:row>
      <xdr:rowOff>171450</xdr:rowOff>
    </xdr:to>
    <xdr:sp macro="" textlink="">
      <xdr:nvSpPr>
        <xdr:cNvPr id="65" name="Chave Direita 64">
          <a:extLst>
            <a:ext uri="{FF2B5EF4-FFF2-40B4-BE49-F238E27FC236}">
              <a16:creationId xmlns:a16="http://schemas.microsoft.com/office/drawing/2014/main" id="{2DAEDFD8-1A07-4BBE-A18C-27604D8118C3}"/>
            </a:ext>
          </a:extLst>
        </xdr:cNvPr>
        <xdr:cNvSpPr/>
      </xdr:nvSpPr>
      <xdr:spPr>
        <a:xfrm>
          <a:off x="3676651" y="1447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38101</xdr:colOff>
      <xdr:row>7</xdr:row>
      <xdr:rowOff>28575</xdr:rowOff>
    </xdr:from>
    <xdr:to>
      <xdr:col>16</xdr:col>
      <xdr:colOff>131445</xdr:colOff>
      <xdr:row>9</xdr:row>
      <xdr:rowOff>0</xdr:rowOff>
    </xdr:to>
    <xdr:sp macro="" textlink="">
      <xdr:nvSpPr>
        <xdr:cNvPr id="66" name="Chave Direita 65">
          <a:extLst>
            <a:ext uri="{FF2B5EF4-FFF2-40B4-BE49-F238E27FC236}">
              <a16:creationId xmlns:a16="http://schemas.microsoft.com/office/drawing/2014/main" id="{8D1DCE20-F653-49DE-95FA-DE1D128EB5D7}"/>
            </a:ext>
          </a:extLst>
        </xdr:cNvPr>
        <xdr:cNvSpPr/>
      </xdr:nvSpPr>
      <xdr:spPr>
        <a:xfrm rot="10800000">
          <a:off x="3457576" y="1847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16</xdr:col>
      <xdr:colOff>38101</xdr:colOff>
      <xdr:row>9</xdr:row>
      <xdr:rowOff>28575</xdr:rowOff>
    </xdr:from>
    <xdr:to>
      <xdr:col>16</xdr:col>
      <xdr:colOff>131445</xdr:colOff>
      <xdr:row>11</xdr:row>
      <xdr:rowOff>0</xdr:rowOff>
    </xdr:to>
    <xdr:sp macro="" textlink="">
      <xdr:nvSpPr>
        <xdr:cNvPr id="67" name="Chave Direita 66">
          <a:extLst>
            <a:ext uri="{FF2B5EF4-FFF2-40B4-BE49-F238E27FC236}">
              <a16:creationId xmlns:a16="http://schemas.microsoft.com/office/drawing/2014/main" id="{7C0F3500-4B65-4562-A2EF-3DEC05B60691}"/>
            </a:ext>
          </a:extLst>
        </xdr:cNvPr>
        <xdr:cNvSpPr/>
      </xdr:nvSpPr>
      <xdr:spPr>
        <a:xfrm rot="10800000">
          <a:off x="3457576" y="2228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17</xdr:col>
      <xdr:colOff>199415</xdr:colOff>
      <xdr:row>3</xdr:row>
      <xdr:rowOff>57150</xdr:rowOff>
    </xdr:from>
    <xdr:to>
      <xdr:col>19</xdr:col>
      <xdr:colOff>55246</xdr:colOff>
      <xdr:row>4</xdr:row>
      <xdr:rowOff>114910</xdr:rowOff>
    </xdr:to>
    <xdr:pic>
      <xdr:nvPicPr>
        <xdr:cNvPr id="68" name="Imagem 67">
          <a:extLst>
            <a:ext uri="{FF2B5EF4-FFF2-40B4-BE49-F238E27FC236}">
              <a16:creationId xmlns:a16="http://schemas.microsoft.com/office/drawing/2014/main" id="{216840B6-27E7-483F-97FA-433464EBA2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818915" y="1114425"/>
          <a:ext cx="255881" cy="248260"/>
        </a:xfrm>
        <a:prstGeom prst="rect">
          <a:avLst/>
        </a:prstGeom>
      </xdr:spPr>
    </xdr:pic>
    <xdr:clientData/>
  </xdr:twoCellAnchor>
  <xdr:twoCellAnchor editAs="oneCell">
    <xdr:from>
      <xdr:col>18</xdr:col>
      <xdr:colOff>27965</xdr:colOff>
      <xdr:row>4</xdr:row>
      <xdr:rowOff>180975</xdr:rowOff>
    </xdr:from>
    <xdr:to>
      <xdr:col>19</xdr:col>
      <xdr:colOff>76201</xdr:colOff>
      <xdr:row>6</xdr:row>
      <xdr:rowOff>57760</xdr:rowOff>
    </xdr:to>
    <xdr:pic>
      <xdr:nvPicPr>
        <xdr:cNvPr id="69" name="Imagem 68">
          <a:extLst>
            <a:ext uri="{FF2B5EF4-FFF2-40B4-BE49-F238E27FC236}">
              <a16:creationId xmlns:a16="http://schemas.microsoft.com/office/drawing/2014/main" id="{E3D2EA02-244B-4E80-9664-8357DC3AB0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847490" y="1428750"/>
          <a:ext cx="248261" cy="257785"/>
        </a:xfrm>
        <a:prstGeom prst="rect">
          <a:avLst/>
        </a:prstGeom>
      </xdr:spPr>
    </xdr:pic>
    <xdr:clientData/>
  </xdr:twoCellAnchor>
  <xdr:twoCellAnchor editAs="oneCell">
    <xdr:from>
      <xdr:col>14</xdr:col>
      <xdr:colOff>123215</xdr:colOff>
      <xdr:row>7</xdr:row>
      <xdr:rowOff>47625</xdr:rowOff>
    </xdr:from>
    <xdr:to>
      <xdr:col>15</xdr:col>
      <xdr:colOff>169546</xdr:colOff>
      <xdr:row>8</xdr:row>
      <xdr:rowOff>97765</xdr:rowOff>
    </xdr:to>
    <xdr:pic>
      <xdr:nvPicPr>
        <xdr:cNvPr id="70" name="Imagem 69">
          <a:extLst>
            <a:ext uri="{FF2B5EF4-FFF2-40B4-BE49-F238E27FC236}">
              <a16:creationId xmlns:a16="http://schemas.microsoft.com/office/drawing/2014/main" id="{222D1576-8E16-42B4-BB69-CC87D63C04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142640" y="1866900"/>
          <a:ext cx="246356" cy="240640"/>
        </a:xfrm>
        <a:prstGeom prst="rect">
          <a:avLst/>
        </a:prstGeom>
      </xdr:spPr>
    </xdr:pic>
    <xdr:clientData/>
  </xdr:twoCellAnchor>
  <xdr:twoCellAnchor editAs="oneCell">
    <xdr:from>
      <xdr:col>14</xdr:col>
      <xdr:colOff>123215</xdr:colOff>
      <xdr:row>9</xdr:row>
      <xdr:rowOff>47625</xdr:rowOff>
    </xdr:from>
    <xdr:to>
      <xdr:col>15</xdr:col>
      <xdr:colOff>169546</xdr:colOff>
      <xdr:row>9</xdr:row>
      <xdr:rowOff>288265</xdr:rowOff>
    </xdr:to>
    <xdr:pic>
      <xdr:nvPicPr>
        <xdr:cNvPr id="71" name="Imagem 70">
          <a:extLst>
            <a:ext uri="{FF2B5EF4-FFF2-40B4-BE49-F238E27FC236}">
              <a16:creationId xmlns:a16="http://schemas.microsoft.com/office/drawing/2014/main" id="{BDC066B2-C0B5-477E-9E7E-47E6A9A695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3142640" y="2247900"/>
          <a:ext cx="246356" cy="240640"/>
        </a:xfrm>
        <a:prstGeom prst="rect">
          <a:avLst/>
        </a:prstGeom>
      </xdr:spPr>
    </xdr:pic>
    <xdr:clientData/>
  </xdr:twoCellAnchor>
  <xdr:twoCellAnchor>
    <xdr:from>
      <xdr:col>44</xdr:col>
      <xdr:colOff>47626</xdr:colOff>
      <xdr:row>3</xdr:row>
      <xdr:rowOff>9525</xdr:rowOff>
    </xdr:from>
    <xdr:to>
      <xdr:col>44</xdr:col>
      <xdr:colOff>140970</xdr:colOff>
      <xdr:row>4</xdr:row>
      <xdr:rowOff>171450</xdr:rowOff>
    </xdr:to>
    <xdr:sp macro="" textlink="">
      <xdr:nvSpPr>
        <xdr:cNvPr id="72" name="Chave Direita 71">
          <a:extLst>
            <a:ext uri="{FF2B5EF4-FFF2-40B4-BE49-F238E27FC236}">
              <a16:creationId xmlns:a16="http://schemas.microsoft.com/office/drawing/2014/main" id="{9C7B8BD7-8768-46D3-866E-6868D7DBF8E8}"/>
            </a:ext>
          </a:extLst>
        </xdr:cNvPr>
        <xdr:cNvSpPr/>
      </xdr:nvSpPr>
      <xdr:spPr>
        <a:xfrm>
          <a:off x="10544176" y="1066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44</xdr:col>
      <xdr:colOff>57151</xdr:colOff>
      <xdr:row>5</xdr:row>
      <xdr:rowOff>9525</xdr:rowOff>
    </xdr:from>
    <xdr:to>
      <xdr:col>44</xdr:col>
      <xdr:colOff>150495</xdr:colOff>
      <xdr:row>6</xdr:row>
      <xdr:rowOff>171450</xdr:rowOff>
    </xdr:to>
    <xdr:sp macro="" textlink="">
      <xdr:nvSpPr>
        <xdr:cNvPr id="73" name="Chave Direita 72">
          <a:extLst>
            <a:ext uri="{FF2B5EF4-FFF2-40B4-BE49-F238E27FC236}">
              <a16:creationId xmlns:a16="http://schemas.microsoft.com/office/drawing/2014/main" id="{47B4C005-27A9-4354-8711-125554394A1A}"/>
            </a:ext>
          </a:extLst>
        </xdr:cNvPr>
        <xdr:cNvSpPr/>
      </xdr:nvSpPr>
      <xdr:spPr>
        <a:xfrm>
          <a:off x="10553701" y="144780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38101</xdr:colOff>
      <xdr:row>7</xdr:row>
      <xdr:rowOff>28575</xdr:rowOff>
    </xdr:from>
    <xdr:to>
      <xdr:col>43</xdr:col>
      <xdr:colOff>131445</xdr:colOff>
      <xdr:row>9</xdr:row>
      <xdr:rowOff>0</xdr:rowOff>
    </xdr:to>
    <xdr:sp macro="" textlink="">
      <xdr:nvSpPr>
        <xdr:cNvPr id="74" name="Chave Direita 73">
          <a:extLst>
            <a:ext uri="{FF2B5EF4-FFF2-40B4-BE49-F238E27FC236}">
              <a16:creationId xmlns:a16="http://schemas.microsoft.com/office/drawing/2014/main" id="{BDF8D061-F95E-4E3C-90A1-9EF5A1D1892C}"/>
            </a:ext>
          </a:extLst>
        </xdr:cNvPr>
        <xdr:cNvSpPr/>
      </xdr:nvSpPr>
      <xdr:spPr>
        <a:xfrm rot="10800000">
          <a:off x="10334626" y="18478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199415</xdr:colOff>
      <xdr:row>3</xdr:row>
      <xdr:rowOff>57150</xdr:rowOff>
    </xdr:from>
    <xdr:ext cx="251622" cy="248260"/>
    <xdr:pic>
      <xdr:nvPicPr>
        <xdr:cNvPr id="75" name="Imagem 74">
          <a:extLst>
            <a:ext uri="{FF2B5EF4-FFF2-40B4-BE49-F238E27FC236}">
              <a16:creationId xmlns:a16="http://schemas.microsoft.com/office/drawing/2014/main" id="{57DC7BF8-4EBF-40C4-861B-279923BF9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95965" y="1114425"/>
          <a:ext cx="251622" cy="248260"/>
        </a:xfrm>
        <a:prstGeom prst="rect">
          <a:avLst/>
        </a:prstGeom>
      </xdr:spPr>
    </xdr:pic>
    <xdr:clientData/>
  </xdr:oneCellAnchor>
  <xdr:oneCellAnchor>
    <xdr:from>
      <xdr:col>45</xdr:col>
      <xdr:colOff>27965</xdr:colOff>
      <xdr:row>4</xdr:row>
      <xdr:rowOff>180975</xdr:rowOff>
    </xdr:from>
    <xdr:ext cx="249941" cy="248260"/>
    <xdr:pic>
      <xdr:nvPicPr>
        <xdr:cNvPr id="76" name="Imagem 75">
          <a:extLst>
            <a:ext uri="{FF2B5EF4-FFF2-40B4-BE49-F238E27FC236}">
              <a16:creationId xmlns:a16="http://schemas.microsoft.com/office/drawing/2014/main" id="{28490F1D-D51A-48C8-BA68-5F31B9080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724540" y="1428750"/>
          <a:ext cx="249941" cy="248260"/>
        </a:xfrm>
        <a:prstGeom prst="rect">
          <a:avLst/>
        </a:prstGeom>
      </xdr:spPr>
    </xdr:pic>
    <xdr:clientData/>
  </xdr:oneCellAnchor>
  <xdr:oneCellAnchor>
    <xdr:from>
      <xdr:col>41</xdr:col>
      <xdr:colOff>132740</xdr:colOff>
      <xdr:row>7</xdr:row>
      <xdr:rowOff>66675</xdr:rowOff>
    </xdr:from>
    <xdr:ext cx="249941" cy="248260"/>
    <xdr:pic>
      <xdr:nvPicPr>
        <xdr:cNvPr id="77" name="Imagem 76">
          <a:extLst>
            <a:ext uri="{FF2B5EF4-FFF2-40B4-BE49-F238E27FC236}">
              <a16:creationId xmlns:a16="http://schemas.microsoft.com/office/drawing/2014/main" id="{FE3DAE6B-BBF5-4784-BAD1-88EC1EAA13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29215" y="1885950"/>
          <a:ext cx="249941" cy="248260"/>
        </a:xfrm>
        <a:prstGeom prst="rect">
          <a:avLst/>
        </a:prstGeom>
      </xdr:spPr>
    </xdr:pic>
    <xdr:clientData/>
  </xdr:oneCellAnchor>
  <xdr:twoCellAnchor>
    <xdr:from>
      <xdr:col>44</xdr:col>
      <xdr:colOff>47626</xdr:colOff>
      <xdr:row>20</xdr:row>
      <xdr:rowOff>9525</xdr:rowOff>
    </xdr:from>
    <xdr:to>
      <xdr:col>44</xdr:col>
      <xdr:colOff>140970</xdr:colOff>
      <xdr:row>21</xdr:row>
      <xdr:rowOff>171450</xdr:rowOff>
    </xdr:to>
    <xdr:sp macro="" textlink="">
      <xdr:nvSpPr>
        <xdr:cNvPr id="78" name="Chave Direita 77">
          <a:extLst>
            <a:ext uri="{FF2B5EF4-FFF2-40B4-BE49-F238E27FC236}">
              <a16:creationId xmlns:a16="http://schemas.microsoft.com/office/drawing/2014/main" id="{56A82A37-FD6E-4DCA-AA04-683F81D07226}"/>
            </a:ext>
          </a:extLst>
        </xdr:cNvPr>
        <xdr:cNvSpPr/>
      </xdr:nvSpPr>
      <xdr:spPr>
        <a:xfrm>
          <a:off x="10544176" y="38671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199415</xdr:colOff>
      <xdr:row>20</xdr:row>
      <xdr:rowOff>57150</xdr:rowOff>
    </xdr:from>
    <xdr:ext cx="251622" cy="248260"/>
    <xdr:pic>
      <xdr:nvPicPr>
        <xdr:cNvPr id="79" name="Imagem 78">
          <a:extLst>
            <a:ext uri="{FF2B5EF4-FFF2-40B4-BE49-F238E27FC236}">
              <a16:creationId xmlns:a16="http://schemas.microsoft.com/office/drawing/2014/main" id="{CC872777-BAC0-483F-B01C-05EBB8936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95965" y="3914775"/>
          <a:ext cx="251622" cy="248260"/>
        </a:xfrm>
        <a:prstGeom prst="rect">
          <a:avLst/>
        </a:prstGeom>
      </xdr:spPr>
    </xdr:pic>
    <xdr:clientData/>
  </xdr:oneCellAnchor>
  <xdr:twoCellAnchor>
    <xdr:from>
      <xdr:col>43</xdr:col>
      <xdr:colOff>60563</xdr:colOff>
      <xdr:row>22</xdr:row>
      <xdr:rowOff>33618</xdr:rowOff>
    </xdr:from>
    <xdr:to>
      <xdr:col>43</xdr:col>
      <xdr:colOff>153907</xdr:colOff>
      <xdr:row>24</xdr:row>
      <xdr:rowOff>5043</xdr:rowOff>
    </xdr:to>
    <xdr:sp macro="" textlink="">
      <xdr:nvSpPr>
        <xdr:cNvPr id="80" name="Chave Direita 79">
          <a:extLst>
            <a:ext uri="{FF2B5EF4-FFF2-40B4-BE49-F238E27FC236}">
              <a16:creationId xmlns:a16="http://schemas.microsoft.com/office/drawing/2014/main" id="{75287262-E340-4E7D-BE69-BBD4EC9201FE}"/>
            </a:ext>
          </a:extLst>
        </xdr:cNvPr>
        <xdr:cNvSpPr/>
      </xdr:nvSpPr>
      <xdr:spPr>
        <a:xfrm rot="10800000">
          <a:off x="10357088" y="4272243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41</xdr:col>
      <xdr:colOff>145677</xdr:colOff>
      <xdr:row>22</xdr:row>
      <xdr:rowOff>52668</xdr:rowOff>
    </xdr:from>
    <xdr:ext cx="249941" cy="248260"/>
    <xdr:pic>
      <xdr:nvPicPr>
        <xdr:cNvPr id="81" name="Imagem 80">
          <a:extLst>
            <a:ext uri="{FF2B5EF4-FFF2-40B4-BE49-F238E27FC236}">
              <a16:creationId xmlns:a16="http://schemas.microsoft.com/office/drawing/2014/main" id="{239A6AC3-73C9-498A-9AFF-DA005031E8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42152" y="4291293"/>
          <a:ext cx="249941" cy="248260"/>
        </a:xfrm>
        <a:prstGeom prst="rect">
          <a:avLst/>
        </a:prstGeom>
      </xdr:spPr>
    </xdr:pic>
    <xdr:clientData/>
  </xdr:oneCellAnchor>
  <xdr:twoCellAnchor>
    <xdr:from>
      <xdr:col>44</xdr:col>
      <xdr:colOff>0</xdr:colOff>
      <xdr:row>26</xdr:row>
      <xdr:rowOff>0</xdr:rowOff>
    </xdr:from>
    <xdr:to>
      <xdr:col>44</xdr:col>
      <xdr:colOff>93344</xdr:colOff>
      <xdr:row>27</xdr:row>
      <xdr:rowOff>161925</xdr:rowOff>
    </xdr:to>
    <xdr:sp macro="" textlink="">
      <xdr:nvSpPr>
        <xdr:cNvPr id="82" name="Chave Direita 81">
          <a:extLst>
            <a:ext uri="{FF2B5EF4-FFF2-40B4-BE49-F238E27FC236}">
              <a16:creationId xmlns:a16="http://schemas.microsoft.com/office/drawing/2014/main" id="{1B0B6205-B43C-4770-AAD5-673F0D5C8B97}"/>
            </a:ext>
          </a:extLst>
        </xdr:cNvPr>
        <xdr:cNvSpPr/>
      </xdr:nvSpPr>
      <xdr:spPr>
        <a:xfrm>
          <a:off x="10496550" y="4876800"/>
          <a:ext cx="93344" cy="4667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151789</xdr:colOff>
      <xdr:row>26</xdr:row>
      <xdr:rowOff>47625</xdr:rowOff>
    </xdr:from>
    <xdr:ext cx="251622" cy="248260"/>
    <xdr:pic>
      <xdr:nvPicPr>
        <xdr:cNvPr id="83" name="Imagem 82">
          <a:extLst>
            <a:ext uri="{FF2B5EF4-FFF2-40B4-BE49-F238E27FC236}">
              <a16:creationId xmlns:a16="http://schemas.microsoft.com/office/drawing/2014/main" id="{97D59776-4029-4EAE-B991-C3F9D3AEFA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48339" y="4924425"/>
          <a:ext cx="251622" cy="248260"/>
        </a:xfrm>
        <a:prstGeom prst="rect">
          <a:avLst/>
        </a:prstGeom>
      </xdr:spPr>
    </xdr:pic>
    <xdr:clientData/>
  </xdr:oneCellAnchor>
  <xdr:twoCellAnchor>
    <xdr:from>
      <xdr:col>44</xdr:col>
      <xdr:colOff>11206</xdr:colOff>
      <xdr:row>29</xdr:row>
      <xdr:rowOff>0</xdr:rowOff>
    </xdr:from>
    <xdr:to>
      <xdr:col>44</xdr:col>
      <xdr:colOff>104550</xdr:colOff>
      <xdr:row>30</xdr:row>
      <xdr:rowOff>161925</xdr:rowOff>
    </xdr:to>
    <xdr:sp macro="" textlink="">
      <xdr:nvSpPr>
        <xdr:cNvPr id="84" name="Chave Direita 83">
          <a:extLst>
            <a:ext uri="{FF2B5EF4-FFF2-40B4-BE49-F238E27FC236}">
              <a16:creationId xmlns:a16="http://schemas.microsoft.com/office/drawing/2014/main" id="{491EE6DC-814B-4668-9FEA-86F97D39510C}"/>
            </a:ext>
          </a:extLst>
        </xdr:cNvPr>
        <xdr:cNvSpPr/>
      </xdr:nvSpPr>
      <xdr:spPr>
        <a:xfrm>
          <a:off x="10507756" y="5581650"/>
          <a:ext cx="93344" cy="48577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44</xdr:col>
      <xdr:colOff>140583</xdr:colOff>
      <xdr:row>29</xdr:row>
      <xdr:rowOff>58830</xdr:rowOff>
    </xdr:from>
    <xdr:ext cx="251622" cy="248260"/>
    <xdr:pic>
      <xdr:nvPicPr>
        <xdr:cNvPr id="85" name="Imagem 84">
          <a:extLst>
            <a:ext uri="{FF2B5EF4-FFF2-40B4-BE49-F238E27FC236}">
              <a16:creationId xmlns:a16="http://schemas.microsoft.com/office/drawing/2014/main" id="{20B1A4F8-A12E-4048-8507-D8DDC10023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637133" y="5640480"/>
          <a:ext cx="251622" cy="248260"/>
        </a:xfrm>
        <a:prstGeom prst="rect">
          <a:avLst/>
        </a:prstGeom>
      </xdr:spPr>
    </xdr:pic>
    <xdr:clientData/>
  </xdr:oneCellAnchor>
  <xdr:twoCellAnchor editAs="oneCell">
    <xdr:from>
      <xdr:col>22</xdr:col>
      <xdr:colOff>6328</xdr:colOff>
      <xdr:row>26</xdr:row>
      <xdr:rowOff>82025</xdr:rowOff>
    </xdr:from>
    <xdr:to>
      <xdr:col>23</xdr:col>
      <xdr:colOff>58654</xdr:colOff>
      <xdr:row>27</xdr:row>
      <xdr:rowOff>16695</xdr:rowOff>
    </xdr:to>
    <xdr:pic>
      <xdr:nvPicPr>
        <xdr:cNvPr id="86" name="Imagem 85">
          <a:extLst>
            <a:ext uri="{FF2B5EF4-FFF2-40B4-BE49-F238E27FC236}">
              <a16:creationId xmlns:a16="http://schemas.microsoft.com/office/drawing/2014/main" id="{D7EB3549-C9B6-45E8-B937-C95560D86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25953" y="4958825"/>
          <a:ext cx="252351" cy="239470"/>
        </a:xfrm>
        <a:prstGeom prst="rect">
          <a:avLst/>
        </a:prstGeom>
      </xdr:spPr>
    </xdr:pic>
    <xdr:clientData/>
  </xdr:twoCellAnchor>
  <xdr:twoCellAnchor editAs="oneCell">
    <xdr:from>
      <xdr:col>21</xdr:col>
      <xdr:colOff>205515</xdr:colOff>
      <xdr:row>21</xdr:row>
      <xdr:rowOff>57934</xdr:rowOff>
    </xdr:from>
    <xdr:to>
      <xdr:col>23</xdr:col>
      <xdr:colOff>18258</xdr:colOff>
      <xdr:row>22</xdr:row>
      <xdr:rowOff>112283</xdr:rowOff>
    </xdr:to>
    <xdr:pic>
      <xdr:nvPicPr>
        <xdr:cNvPr id="87" name="Imagem 86">
          <a:extLst>
            <a:ext uri="{FF2B5EF4-FFF2-40B4-BE49-F238E27FC236}">
              <a16:creationId xmlns:a16="http://schemas.microsoft.com/office/drawing/2014/main" id="{16BB9E4D-2026-475E-80BF-41695FEDA4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5590" y="4106059"/>
          <a:ext cx="222318" cy="244849"/>
        </a:xfrm>
        <a:prstGeom prst="rect">
          <a:avLst/>
        </a:prstGeom>
      </xdr:spPr>
    </xdr:pic>
    <xdr:clientData/>
  </xdr:twoCellAnchor>
  <xdr:twoCellAnchor editAs="oneCell">
    <xdr:from>
      <xdr:col>21</xdr:col>
      <xdr:colOff>199576</xdr:colOff>
      <xdr:row>15</xdr:row>
      <xdr:rowOff>71045</xdr:rowOff>
    </xdr:from>
    <xdr:to>
      <xdr:col>23</xdr:col>
      <xdr:colOff>35179</xdr:colOff>
      <xdr:row>16</xdr:row>
      <xdr:rowOff>135143</xdr:rowOff>
    </xdr:to>
    <xdr:pic>
      <xdr:nvPicPr>
        <xdr:cNvPr id="88" name="Imagem 87">
          <a:extLst>
            <a:ext uri="{FF2B5EF4-FFF2-40B4-BE49-F238E27FC236}">
              <a16:creationId xmlns:a16="http://schemas.microsoft.com/office/drawing/2014/main" id="{211FE4AA-4295-4953-B433-350E8F2AC9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176" y="3099995"/>
          <a:ext cx="235653" cy="254598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29</xdr:row>
      <xdr:rowOff>112059</xdr:rowOff>
    </xdr:from>
    <xdr:to>
      <xdr:col>23</xdr:col>
      <xdr:colOff>38991</xdr:colOff>
      <xdr:row>30</xdr:row>
      <xdr:rowOff>22636</xdr:rowOff>
    </xdr:to>
    <xdr:pic>
      <xdr:nvPicPr>
        <xdr:cNvPr id="89" name="Imagem 88">
          <a:extLst>
            <a:ext uri="{FF2B5EF4-FFF2-40B4-BE49-F238E27FC236}">
              <a16:creationId xmlns:a16="http://schemas.microsoft.com/office/drawing/2014/main" id="{1B3B6AD9-8CF5-4961-8AFF-F2CCF69949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5693709"/>
          <a:ext cx="239016" cy="234427"/>
        </a:xfrm>
        <a:prstGeom prst="rect">
          <a:avLst/>
        </a:prstGeom>
      </xdr:spPr>
    </xdr:pic>
    <xdr:clientData/>
  </xdr:twoCellAnchor>
  <xdr:twoCellAnchor editAs="oneCell">
    <xdr:from>
      <xdr:col>22</xdr:col>
      <xdr:colOff>11206</xdr:colOff>
      <xdr:row>32</xdr:row>
      <xdr:rowOff>67235</xdr:rowOff>
    </xdr:from>
    <xdr:to>
      <xdr:col>23</xdr:col>
      <xdr:colOff>54007</xdr:colOff>
      <xdr:row>33</xdr:row>
      <xdr:rowOff>56254</xdr:rowOff>
    </xdr:to>
    <xdr:pic>
      <xdr:nvPicPr>
        <xdr:cNvPr id="90" name="Imagem 89">
          <a:extLst>
            <a:ext uri="{FF2B5EF4-FFF2-40B4-BE49-F238E27FC236}">
              <a16:creationId xmlns:a16="http://schemas.microsoft.com/office/drawing/2014/main" id="{A64C1D58-FFF0-4607-831B-F3CAA6C3C9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30831" y="6372785"/>
          <a:ext cx="242826" cy="246194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35</xdr:row>
      <xdr:rowOff>56030</xdr:rowOff>
    </xdr:from>
    <xdr:to>
      <xdr:col>23</xdr:col>
      <xdr:colOff>40896</xdr:colOff>
      <xdr:row>36</xdr:row>
      <xdr:rowOff>36196</xdr:rowOff>
    </xdr:to>
    <xdr:pic>
      <xdr:nvPicPr>
        <xdr:cNvPr id="91" name="Imagem 90">
          <a:extLst>
            <a:ext uri="{FF2B5EF4-FFF2-40B4-BE49-F238E27FC236}">
              <a16:creationId xmlns:a16="http://schemas.microsoft.com/office/drawing/2014/main" id="{575938EF-8F34-4379-8EF8-824C7B3720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6952130"/>
          <a:ext cx="240921" cy="275441"/>
        </a:xfrm>
        <a:prstGeom prst="rect">
          <a:avLst/>
        </a:prstGeom>
      </xdr:spPr>
    </xdr:pic>
    <xdr:clientData/>
  </xdr:twoCellAnchor>
  <xdr:twoCellAnchor editAs="oneCell">
    <xdr:from>
      <xdr:col>22</xdr:col>
      <xdr:colOff>0</xdr:colOff>
      <xdr:row>38</xdr:row>
      <xdr:rowOff>115870</xdr:rowOff>
    </xdr:from>
    <xdr:to>
      <xdr:col>23</xdr:col>
      <xdr:colOff>40896</xdr:colOff>
      <xdr:row>39</xdr:row>
      <xdr:rowOff>114638</xdr:rowOff>
    </xdr:to>
    <xdr:pic>
      <xdr:nvPicPr>
        <xdr:cNvPr id="92" name="Imagem 91">
          <a:extLst>
            <a:ext uri="{FF2B5EF4-FFF2-40B4-BE49-F238E27FC236}">
              <a16:creationId xmlns:a16="http://schemas.microsoft.com/office/drawing/2014/main" id="{B12AFF97-D8D6-436E-910E-24019FB87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4619625" y="7697770"/>
          <a:ext cx="240921" cy="274993"/>
        </a:xfrm>
        <a:prstGeom prst="rect">
          <a:avLst/>
        </a:prstGeom>
      </xdr:spPr>
    </xdr:pic>
    <xdr:clientData/>
  </xdr:twoCellAnchor>
  <xdr:twoCellAnchor editAs="oneCell">
    <xdr:from>
      <xdr:col>2</xdr:col>
      <xdr:colOff>24317</xdr:colOff>
      <xdr:row>44</xdr:row>
      <xdr:rowOff>147582</xdr:rowOff>
    </xdr:from>
    <xdr:to>
      <xdr:col>6</xdr:col>
      <xdr:colOff>57816</xdr:colOff>
      <xdr:row>46</xdr:row>
      <xdr:rowOff>56927</xdr:rowOff>
    </xdr:to>
    <xdr:pic>
      <xdr:nvPicPr>
        <xdr:cNvPr id="93" name="Imagem 92">
          <a:extLst>
            <a:ext uri="{FF2B5EF4-FFF2-40B4-BE49-F238E27FC236}">
              <a16:creationId xmlns:a16="http://schemas.microsoft.com/office/drawing/2014/main" id="{BC228E23-4F1F-48B7-AFDA-09DE37D514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219200" y="9139182"/>
          <a:ext cx="257841" cy="290345"/>
        </a:xfrm>
        <a:prstGeom prst="rect">
          <a:avLst/>
        </a:prstGeom>
      </xdr:spPr>
    </xdr:pic>
    <xdr:clientData/>
  </xdr:twoCellAnchor>
  <xdr:twoCellAnchor>
    <xdr:from>
      <xdr:col>46</xdr:col>
      <xdr:colOff>89649</xdr:colOff>
      <xdr:row>29</xdr:row>
      <xdr:rowOff>89647</xdr:rowOff>
    </xdr:from>
    <xdr:to>
      <xdr:col>48</xdr:col>
      <xdr:colOff>0</xdr:colOff>
      <xdr:row>32</xdr:row>
      <xdr:rowOff>123266</xdr:rowOff>
    </xdr:to>
    <xdr:sp macro="" textlink="">
      <xdr:nvSpPr>
        <xdr:cNvPr id="94" name="Arco 93">
          <a:extLst>
            <a:ext uri="{FF2B5EF4-FFF2-40B4-BE49-F238E27FC236}">
              <a16:creationId xmlns:a16="http://schemas.microsoft.com/office/drawing/2014/main" id="{467A4623-6DB7-475B-932E-6B51AC93F370}"/>
            </a:ext>
          </a:extLst>
        </xdr:cNvPr>
        <xdr:cNvSpPr/>
      </xdr:nvSpPr>
      <xdr:spPr>
        <a:xfrm>
          <a:off x="10986249" y="5671297"/>
          <a:ext cx="310401" cy="757519"/>
        </a:xfrm>
        <a:prstGeom prst="arc">
          <a:avLst>
            <a:gd name="adj1" fmla="val 16200000"/>
            <a:gd name="adj2" fmla="val 5109334"/>
          </a:avLst>
        </a:prstGeom>
        <a:noFill/>
        <a:ln w="28575" cap="flat" cmpd="sng" algn="ctr">
          <a:solidFill>
            <a:srgbClr val="4472C4"/>
          </a:solidFill>
          <a:prstDash val="solid"/>
          <a:miter lim="800000"/>
          <a:headEnd type="triangle" w="med" len="med"/>
          <a:tailEnd type="none" w="med" len="me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43</xdr:col>
      <xdr:colOff>28576</xdr:colOff>
      <xdr:row>9</xdr:row>
      <xdr:rowOff>104775</xdr:rowOff>
    </xdr:from>
    <xdr:to>
      <xdr:col>43</xdr:col>
      <xdr:colOff>121920</xdr:colOff>
      <xdr:row>10</xdr:row>
      <xdr:rowOff>114300</xdr:rowOff>
    </xdr:to>
    <xdr:sp macro="" textlink="">
      <xdr:nvSpPr>
        <xdr:cNvPr id="33" name="Chave Direita 32">
          <a:extLst>
            <a:ext uri="{FF2B5EF4-FFF2-40B4-BE49-F238E27FC236}">
              <a16:creationId xmlns:a16="http://schemas.microsoft.com/office/drawing/2014/main" id="{BB24591E-AD3C-4123-9E20-5ED58F913513}"/>
            </a:ext>
          </a:extLst>
        </xdr:cNvPr>
        <xdr:cNvSpPr/>
      </xdr:nvSpPr>
      <xdr:spPr>
        <a:xfrm rot="10800000">
          <a:off x="10325101" y="2305050"/>
          <a:ext cx="93344" cy="352425"/>
        </a:xfrm>
        <a:prstGeom prst="rightBrace">
          <a:avLst/>
        </a:prstGeom>
        <a:noFill/>
        <a:ln w="6350" cap="flat" cmpd="sng" algn="ctr">
          <a:solidFill>
            <a:srgbClr val="4472C4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t-B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oneCellAnchor>
    <xdr:from>
      <xdr:col>41</xdr:col>
      <xdr:colOff>123215</xdr:colOff>
      <xdr:row>9</xdr:row>
      <xdr:rowOff>142875</xdr:rowOff>
    </xdr:from>
    <xdr:ext cx="249941" cy="248260"/>
    <xdr:pic>
      <xdr:nvPicPr>
        <xdr:cNvPr id="34" name="Imagem 33">
          <a:extLst>
            <a:ext uri="{FF2B5EF4-FFF2-40B4-BE49-F238E27FC236}">
              <a16:creationId xmlns:a16="http://schemas.microsoft.com/office/drawing/2014/main" id="{1A853DA2-CEE9-42FD-B0BF-DF431E9A8F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10019690" y="2343150"/>
          <a:ext cx="249941" cy="24826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679250" y="3512651"/>
          <a:ext cx="1333500" cy="534698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AC31A6E5-DEEB-4A76-B6FC-3379B277413A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D544434E-EF2B-417D-B57E-69041D5B9959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43025" cy="542925"/>
    <xdr:sp macro="" textlink="">
      <xdr:nvSpPr>
        <xdr:cNvPr id="2" name="Shape 8">
          <a:extLst>
            <a:ext uri="{FF2B5EF4-FFF2-40B4-BE49-F238E27FC236}">
              <a16:creationId xmlns:a16="http://schemas.microsoft.com/office/drawing/2014/main" id="{7555C811-0CB1-411E-B22E-59F9C6776CD9}"/>
            </a:ext>
          </a:extLst>
        </xdr:cNvPr>
        <xdr:cNvSpPr/>
      </xdr:nvSpPr>
      <xdr:spPr>
        <a:xfrm>
          <a:off x="0" y="0"/>
          <a:ext cx="1343025" cy="5429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23</xdr:row>
      <xdr:rowOff>0</xdr:rowOff>
    </xdr:from>
    <xdr:to>
      <xdr:col>10</xdr:col>
      <xdr:colOff>304800</xdr:colOff>
      <xdr:row>23</xdr:row>
      <xdr:rowOff>304800</xdr:rowOff>
    </xdr:to>
    <xdr:sp macro="" textlink="">
      <xdr:nvSpPr>
        <xdr:cNvPr id="11266" name="AutoShape 2" descr=", gerada com IA">
          <a:extLst>
            <a:ext uri="{FF2B5EF4-FFF2-40B4-BE49-F238E27FC236}">
              <a16:creationId xmlns:a16="http://schemas.microsoft.com/office/drawing/2014/main" id="{2907084A-E470-190D-EAD4-B2FB9BF6D512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61645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26</xdr:row>
      <xdr:rowOff>0</xdr:rowOff>
    </xdr:from>
    <xdr:to>
      <xdr:col>10</xdr:col>
      <xdr:colOff>304800</xdr:colOff>
      <xdr:row>26</xdr:row>
      <xdr:rowOff>304800</xdr:rowOff>
    </xdr:to>
    <xdr:sp macro="" textlink="">
      <xdr:nvSpPr>
        <xdr:cNvPr id="11267" name="AutoShape 3" descr=", gerada com IA">
          <a:extLst>
            <a:ext uri="{FF2B5EF4-FFF2-40B4-BE49-F238E27FC236}">
              <a16:creationId xmlns:a16="http://schemas.microsoft.com/office/drawing/2014/main" id="{73873052-75AC-F5D1-B828-2E3D12D979A4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7467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10</xdr:col>
      <xdr:colOff>0</xdr:colOff>
      <xdr:row>28</xdr:row>
      <xdr:rowOff>0</xdr:rowOff>
    </xdr:from>
    <xdr:to>
      <xdr:col>10</xdr:col>
      <xdr:colOff>304800</xdr:colOff>
      <xdr:row>29</xdr:row>
      <xdr:rowOff>114300</xdr:rowOff>
    </xdr:to>
    <xdr:sp macro="" textlink="">
      <xdr:nvSpPr>
        <xdr:cNvPr id="11268" name="AutoShape 4" descr=", gerada com IA">
          <a:extLst>
            <a:ext uri="{FF2B5EF4-FFF2-40B4-BE49-F238E27FC236}">
              <a16:creationId xmlns:a16="http://schemas.microsoft.com/office/drawing/2014/main" id="{ECE5A923-F156-5EE8-FE03-4A374E484A44}"/>
            </a:ext>
          </a:extLst>
        </xdr:cNvPr>
        <xdr:cNvSpPr>
          <a:spLocks noChangeAspect="1" noChangeArrowheads="1"/>
        </xdr:cNvSpPr>
      </xdr:nvSpPr>
      <xdr:spPr bwMode="auto">
        <a:xfrm>
          <a:off x="12801600" y="80162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659364</xdr:colOff>
      <xdr:row>18</xdr:row>
      <xdr:rowOff>66675</xdr:rowOff>
    </xdr:from>
    <xdr:to>
      <xdr:col>12</xdr:col>
      <xdr:colOff>599199</xdr:colOff>
      <xdr:row>27</xdr:row>
      <xdr:rowOff>162702</xdr:rowOff>
    </xdr:to>
    <xdr:grpSp>
      <xdr:nvGrpSpPr>
        <xdr:cNvPr id="4" name="Agrupar 3">
          <a:extLst>
            <a:ext uri="{FF2B5EF4-FFF2-40B4-BE49-F238E27FC236}">
              <a16:creationId xmlns:a16="http://schemas.microsoft.com/office/drawing/2014/main" id="{CD405F02-350D-432A-A487-53D0C90275E9}"/>
            </a:ext>
          </a:extLst>
        </xdr:cNvPr>
        <xdr:cNvGrpSpPr/>
      </xdr:nvGrpSpPr>
      <xdr:grpSpPr>
        <a:xfrm>
          <a:off x="9346164" y="5572125"/>
          <a:ext cx="5435760" cy="2563002"/>
          <a:chOff x="9346164" y="5534025"/>
          <a:chExt cx="5435760" cy="2563002"/>
        </a:xfrm>
      </xdr:grpSpPr>
      <xdr:pic>
        <xdr:nvPicPr>
          <xdr:cNvPr id="5" name="Imagem 4">
            <a:extLst>
              <a:ext uri="{FF2B5EF4-FFF2-40B4-BE49-F238E27FC236}">
                <a16:creationId xmlns:a16="http://schemas.microsoft.com/office/drawing/2014/main" id="{9DCECF1F-1FB2-C825-48F7-586819BEBB8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12688416" y="5772613"/>
            <a:ext cx="2093508" cy="2095037"/>
          </a:xfrm>
          <a:prstGeom prst="rect">
            <a:avLst/>
          </a:prstGeom>
        </xdr:spPr>
      </xdr:pic>
      <xdr:pic>
        <xdr:nvPicPr>
          <xdr:cNvPr id="3" name="Imagem 2">
            <a:extLst>
              <a:ext uri="{FF2B5EF4-FFF2-40B4-BE49-F238E27FC236}">
                <a16:creationId xmlns:a16="http://schemas.microsoft.com/office/drawing/2014/main" id="{1B5221DE-462E-46E0-99E3-6169B86D05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9346164" y="5534025"/>
            <a:ext cx="3417335" cy="2563002"/>
          </a:xfrm>
          <a:prstGeom prst="rect">
            <a:avLst/>
          </a:prstGeom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13</xdr:row>
      <xdr:rowOff>104775</xdr:rowOff>
    </xdr:from>
    <xdr:to>
      <xdr:col>2</xdr:col>
      <xdr:colOff>923925</xdr:colOff>
      <xdr:row>21</xdr:row>
      <xdr:rowOff>57150</xdr:rowOff>
    </xdr:to>
    <xdr:sp macro="" textlink="">
      <xdr:nvSpPr>
        <xdr:cNvPr id="3" name="Seta: Dobrada 2">
          <a:extLst>
            <a:ext uri="{FF2B5EF4-FFF2-40B4-BE49-F238E27FC236}">
              <a16:creationId xmlns:a16="http://schemas.microsoft.com/office/drawing/2014/main" id="{94E924DD-4A19-7D0B-AD9F-E24D5D99AD3D}"/>
            </a:ext>
          </a:extLst>
        </xdr:cNvPr>
        <xdr:cNvSpPr/>
      </xdr:nvSpPr>
      <xdr:spPr>
        <a:xfrm flipV="1">
          <a:off x="600075" y="3514725"/>
          <a:ext cx="2924175" cy="1343025"/>
        </a:xfrm>
        <a:prstGeom prst="bentArrow">
          <a:avLst>
            <a:gd name="adj1" fmla="val 16894"/>
            <a:gd name="adj2" fmla="val 18154"/>
            <a:gd name="adj3" fmla="val 48350"/>
            <a:gd name="adj4" fmla="val 84135"/>
          </a:avLst>
        </a:prstGeom>
        <a:ln>
          <a:noFill/>
        </a:ln>
        <a:effectLst>
          <a:outerShdw blurRad="50800" dist="38100" dir="18900000" algn="b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295274</xdr:colOff>
      <xdr:row>19</xdr:row>
      <xdr:rowOff>9524</xdr:rowOff>
    </xdr:from>
    <xdr:to>
      <xdr:col>8</xdr:col>
      <xdr:colOff>590549</xdr:colOff>
      <xdr:row>24</xdr:row>
      <xdr:rowOff>180974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55E3BC90-D082-809A-6FC6-CA64B8C2C224}"/>
            </a:ext>
          </a:extLst>
        </xdr:cNvPr>
        <xdr:cNvSpPr txBox="1"/>
      </xdr:nvSpPr>
      <xdr:spPr>
        <a:xfrm>
          <a:off x="10239374" y="4810124"/>
          <a:ext cx="1076325" cy="1247775"/>
        </a:xfrm>
        <a:prstGeom prst="rect">
          <a:avLst/>
        </a:prstGeom>
        <a:solidFill>
          <a:srgbClr val="FFE9A3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pt-BR" sz="1100"/>
            <a:t>Somente</a:t>
          </a:r>
          <a:r>
            <a:rPr lang="pt-BR" sz="1100" baseline="0"/>
            <a:t> os dados das colunas em amarelo podem ser alterados. </a:t>
          </a:r>
          <a:endParaRPr lang="pt-BR" sz="1100"/>
        </a:p>
      </xdr:txBody>
    </xdr:sp>
    <xdr:clientData/>
  </xdr:twoCellAnchor>
  <xdr:oneCellAnchor>
    <xdr:from>
      <xdr:col>8</xdr:col>
      <xdr:colOff>933450</xdr:colOff>
      <xdr:row>26</xdr:row>
      <xdr:rowOff>9525</xdr:rowOff>
    </xdr:from>
    <xdr:ext cx="184731" cy="254557"/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13AC5869-3708-A96C-E0BA-6B23DD5E95ED}"/>
            </a:ext>
          </a:extLst>
        </xdr:cNvPr>
        <xdr:cNvSpPr txBox="1"/>
      </xdr:nvSpPr>
      <xdr:spPr>
        <a:xfrm>
          <a:off x="11658600" y="4933950"/>
          <a:ext cx="184731" cy="2545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pt-BR" sz="1100"/>
        </a:p>
      </xdr:txBody>
    </xdr:sp>
    <xdr:clientData/>
  </xdr:oneCellAnchor>
  <xdr:twoCellAnchor>
    <xdr:from>
      <xdr:col>3</xdr:col>
      <xdr:colOff>1504950</xdr:colOff>
      <xdr:row>11</xdr:row>
      <xdr:rowOff>104775</xdr:rowOff>
    </xdr:from>
    <xdr:to>
      <xdr:col>7</xdr:col>
      <xdr:colOff>295275</xdr:colOff>
      <xdr:row>20</xdr:row>
      <xdr:rowOff>104775</xdr:rowOff>
    </xdr:to>
    <xdr:cxnSp macro="">
      <xdr:nvCxnSpPr>
        <xdr:cNvPr id="7" name="Conector de Seta Reta 6">
          <a:extLst>
            <a:ext uri="{FF2B5EF4-FFF2-40B4-BE49-F238E27FC236}">
              <a16:creationId xmlns:a16="http://schemas.microsoft.com/office/drawing/2014/main" id="{BFAF3D21-FCE6-54AB-7EDD-5ACA957FCC27}"/>
            </a:ext>
          </a:extLst>
        </xdr:cNvPr>
        <xdr:cNvCxnSpPr/>
      </xdr:nvCxnSpPr>
      <xdr:spPr>
        <a:xfrm flipH="1" flipV="1">
          <a:off x="5124450" y="2247900"/>
          <a:ext cx="5114925" cy="1514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1581150</xdr:colOff>
      <xdr:row>23</xdr:row>
      <xdr:rowOff>142875</xdr:rowOff>
    </xdr:from>
    <xdr:to>
      <xdr:col>7</xdr:col>
      <xdr:colOff>304800</xdr:colOff>
      <xdr:row>30</xdr:row>
      <xdr:rowOff>95250</xdr:rowOff>
    </xdr:to>
    <xdr:cxnSp macro="">
      <xdr:nvCxnSpPr>
        <xdr:cNvPr id="9" name="Conector de Seta Reta 8">
          <a:extLst>
            <a:ext uri="{FF2B5EF4-FFF2-40B4-BE49-F238E27FC236}">
              <a16:creationId xmlns:a16="http://schemas.microsoft.com/office/drawing/2014/main" id="{69B99E11-CEF4-9801-26A1-74C2DDEBEC6C}"/>
            </a:ext>
          </a:extLst>
        </xdr:cNvPr>
        <xdr:cNvCxnSpPr/>
      </xdr:nvCxnSpPr>
      <xdr:spPr>
        <a:xfrm flipH="1">
          <a:off x="6715125" y="4371975"/>
          <a:ext cx="3533775" cy="16573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371475</xdr:colOff>
      <xdr:row>29</xdr:row>
      <xdr:rowOff>19050</xdr:rowOff>
    </xdr:from>
    <xdr:to>
      <xdr:col>2</xdr:col>
      <xdr:colOff>733425</xdr:colOff>
      <xdr:row>35</xdr:row>
      <xdr:rowOff>247650</xdr:rowOff>
    </xdr:to>
    <xdr:sp macro="" textlink="">
      <xdr:nvSpPr>
        <xdr:cNvPr id="8" name="CaixaDeTexto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23D5AD6-C749-4108-9E65-22B2EDD61673}"/>
            </a:ext>
          </a:extLst>
        </xdr:cNvPr>
        <xdr:cNvSpPr txBox="1"/>
      </xdr:nvSpPr>
      <xdr:spPr>
        <a:xfrm>
          <a:off x="371475" y="7096125"/>
          <a:ext cx="2962275" cy="13716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18900000" algn="bl" rotWithShape="0">
            <a:prstClr val="black">
              <a:alpha val="40000"/>
            </a:prstClr>
          </a:outerShdw>
          <a:softEdge rad="12700"/>
        </a:effectLst>
        <a:scene3d>
          <a:camera prst="orthographicFront"/>
          <a:lightRig rig="threePt" dir="t"/>
        </a:scene3d>
        <a:sp3d>
          <a:bevelT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pt-BR" sz="1100" b="0">
              <a:solidFill>
                <a:sysClr val="windowText" lastClr="000000"/>
              </a:solidFill>
            </a:rPr>
            <a:t>As despesas administrativas e o lucro informados na planilha correspondem aos percentuais máximos aceitáveis, conforme orientação do Manual de Preenchimento de Planilhas do STJ, pág. 91. Já os impostos deverão ser ajustados conforme a legislação vigente aplicável.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3</xdr:row>
      <xdr:rowOff>19050</xdr:rowOff>
    </xdr:from>
    <xdr:to>
      <xdr:col>9</xdr:col>
      <xdr:colOff>57921</xdr:colOff>
      <xdr:row>50</xdr:row>
      <xdr:rowOff>143955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E95B68B-6BE4-49C8-899E-1502272023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504825"/>
          <a:ext cx="5525271" cy="7735380"/>
        </a:xfrm>
        <a:prstGeom prst="rect">
          <a:avLst/>
        </a:prstGeom>
      </xdr:spPr>
    </xdr:pic>
    <xdr:clientData/>
  </xdr:twoCellAnchor>
  <xdr:twoCellAnchor editAs="oneCell">
    <xdr:from>
      <xdr:col>8</xdr:col>
      <xdr:colOff>581025</xdr:colOff>
      <xdr:row>5</xdr:row>
      <xdr:rowOff>19050</xdr:rowOff>
    </xdr:from>
    <xdr:to>
      <xdr:col>19</xdr:col>
      <xdr:colOff>172329</xdr:colOff>
      <xdr:row>43</xdr:row>
      <xdr:rowOff>29435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6617DA0-F558-4831-918E-A7E8A86A48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457825" y="828675"/>
          <a:ext cx="6296904" cy="61635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3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2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3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drawing" Target="../drawings/drawing4.xml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5.xml"/><Relationship Id="rId3" Type="http://schemas.openxmlformats.org/officeDocument/2006/relationships/hyperlink" Target="https://drive.google.com/file/d/1DAD8Zm8s-umiBQhHkm9s2iIiniWMNKVy/view?usp=drive_link" TargetMode="External"/><Relationship Id="rId7" Type="http://schemas.openxmlformats.org/officeDocument/2006/relationships/printerSettings" Target="../printerSettings/printerSettings4.bin"/><Relationship Id="rId2" Type="http://schemas.openxmlformats.org/officeDocument/2006/relationships/hyperlink" Target="https://drive.google.com/file/d/1sadZQtLSCtgifDHSOTlU16_FjGH1Y6E7/view?usp=sharing" TargetMode="External"/><Relationship Id="rId1" Type="http://schemas.openxmlformats.org/officeDocument/2006/relationships/hyperlink" Target="https://drive.google.com/file/d/1yY0oYQ69OKJr5Jd2w_Gz5NNRPeA2ek3j/view?usp=drive_link" TargetMode="External"/><Relationship Id="rId6" Type="http://schemas.openxmlformats.org/officeDocument/2006/relationships/hyperlink" Target="https://www.sindivigilantesdosul.org.br/wp-content/uploads/2013/10/icregistrado1421975576.pdf" TargetMode="External"/><Relationship Id="rId5" Type="http://schemas.openxmlformats.org/officeDocument/2006/relationships/hyperlink" Target="https://www.planalto.gov.br/ccivil_03/leis/l7418.htm" TargetMode="External"/><Relationship Id="rId4" Type="http://schemas.openxmlformats.org/officeDocument/2006/relationships/hyperlink" Target="https://www.licitacao.online/" TargetMode="Externa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file/d/18MGRvYh0LNXRrL1RAJgcYGWmbfzMBRei/view?usp=sharing" TargetMode="External"/><Relationship Id="rId3" Type="http://schemas.openxmlformats.org/officeDocument/2006/relationships/hyperlink" Target="https://drive.google.com/file/d/1L0S12W5GoPh5xHL_DIJf1Nr9Ui_hN71x/view?usp=sharing" TargetMode="External"/><Relationship Id="rId7" Type="http://schemas.openxmlformats.org/officeDocument/2006/relationships/hyperlink" Target="https://drive.google.com/file/d/1Ak7ZSMTd3zv46QiGSs7F0CeGJw-X2QVy/view?usp=drive_link" TargetMode="External"/><Relationship Id="rId2" Type="http://schemas.openxmlformats.org/officeDocument/2006/relationships/hyperlink" Target="https://drive.google.com/file/d/1cO67QkNzffQ9NwfwcavyzeLJnnYDycGp/view?usp=sharing" TargetMode="External"/><Relationship Id="rId1" Type="http://schemas.openxmlformats.org/officeDocument/2006/relationships/hyperlink" Target="https://drive.google.com/file/d/1qpaQCAtcOYS8hGqOkW1987moC2DYU8tF/view?usp=sharing" TargetMode="External"/><Relationship Id="rId6" Type="http://schemas.openxmlformats.org/officeDocument/2006/relationships/hyperlink" Target="https://drive.google.com/file/d/1xALw4whyDGVrEa-rNrQUKFAlKiEUktNQ/view?usp=sharing" TargetMode="External"/><Relationship Id="rId11" Type="http://schemas.openxmlformats.org/officeDocument/2006/relationships/drawing" Target="../drawings/drawing6.xml"/><Relationship Id="rId5" Type="http://schemas.openxmlformats.org/officeDocument/2006/relationships/hyperlink" Target="https://drive.google.com/file/d/1L0S12W5GoPh5xHL_DIJf1Nr9Ui_hN71x/view?usp=sharing" TargetMode="External"/><Relationship Id="rId10" Type="http://schemas.openxmlformats.org/officeDocument/2006/relationships/printerSettings" Target="../printerSettings/printerSettings5.bin"/><Relationship Id="rId4" Type="http://schemas.openxmlformats.org/officeDocument/2006/relationships/hyperlink" Target="https://drive.google.com/file/d/1L0S12W5GoPh5xHL_DIJf1Nr9Ui_hN71x/view?usp=sharing" TargetMode="External"/><Relationship Id="rId9" Type="http://schemas.openxmlformats.org/officeDocument/2006/relationships/hyperlink" Target="https://drive.google.com/file/d/1Ak7ZSMTd3zv46QiGSs7F0CeGJw-X2QVy/view?usp=sharing" TargetMode="Externa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s://leismunicipais.com.br/a/rs/p/porto-alegre/decreto/2006/1541/15416/decreto-n-15416-2006-regulamenta-a-lei-complementar-n-7-de-07-de-dezembro-de-1973-no-que-diz-respeito-ao-issqn-e-da-outras-providencias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5BF16-C52A-49B5-9E1E-F1FCB9425296}">
  <sheetPr codeName="Planilha1">
    <tabColor theme="7" tint="-0.249977111117893"/>
  </sheetPr>
  <dimension ref="C1:BK46"/>
  <sheetViews>
    <sheetView showGridLines="0" zoomScaleNormal="100" workbookViewId="0">
      <selection activeCell="BH25" sqref="BH25"/>
    </sheetView>
  </sheetViews>
  <sheetFormatPr defaultColWidth="9.140625" defaultRowHeight="15" x14ac:dyDescent="0.25"/>
  <cols>
    <col min="1" max="2" width="9.140625" style="180"/>
    <col min="3" max="3" width="4.140625" style="181" hidden="1" customWidth="1"/>
    <col min="4" max="4" width="24.85546875" style="180" hidden="1" customWidth="1"/>
    <col min="5" max="5" width="5" style="182" hidden="1" customWidth="1"/>
    <col min="6" max="29" width="3" style="180" customWidth="1"/>
    <col min="30" max="30" width="5" style="182" customWidth="1"/>
    <col min="31" max="31" width="21.140625" style="183" customWidth="1"/>
    <col min="32" max="32" width="5" style="182" customWidth="1"/>
    <col min="33" max="35" width="3" style="180" customWidth="1"/>
    <col min="36" max="36" width="3.140625" style="180" customWidth="1"/>
    <col min="37" max="56" width="3" style="180" customWidth="1"/>
    <col min="57" max="57" width="1.140625" style="180" customWidth="1"/>
    <col min="58" max="58" width="5.7109375" style="181" customWidth="1"/>
    <col min="59" max="59" width="13.42578125" style="181" customWidth="1"/>
    <col min="60" max="60" width="29.140625" style="181" customWidth="1"/>
    <col min="61" max="61" width="12" style="181" customWidth="1"/>
    <col min="62" max="62" width="10.140625" style="181" bestFit="1" customWidth="1"/>
    <col min="63" max="63" width="10.28515625" style="181" customWidth="1"/>
    <col min="64" max="16384" width="9.140625" style="180"/>
  </cols>
  <sheetData>
    <row r="1" spans="3:63" ht="15.75" thickBot="1" x14ac:dyDescent="0.3"/>
    <row r="2" spans="3:63" ht="51.75" customHeight="1" x14ac:dyDescent="0.25">
      <c r="C2" s="459" t="s">
        <v>196</v>
      </c>
      <c r="D2" s="461" t="s">
        <v>177</v>
      </c>
      <c r="E2" s="463" t="s">
        <v>178</v>
      </c>
      <c r="F2" s="450" t="s">
        <v>197</v>
      </c>
      <c r="G2" s="451"/>
      <c r="H2" s="451"/>
      <c r="I2" s="451"/>
      <c r="J2" s="451"/>
      <c r="K2" s="451"/>
      <c r="L2" s="451"/>
      <c r="M2" s="451"/>
      <c r="N2" s="451"/>
      <c r="O2" s="451"/>
      <c r="P2" s="451"/>
      <c r="Q2" s="451"/>
      <c r="R2" s="451"/>
      <c r="S2" s="451"/>
      <c r="T2" s="451"/>
      <c r="U2" s="451"/>
      <c r="V2" s="451"/>
      <c r="W2" s="451"/>
      <c r="X2" s="451"/>
      <c r="Y2" s="451"/>
      <c r="Z2" s="451"/>
      <c r="AA2" s="451"/>
      <c r="AB2" s="451"/>
      <c r="AC2" s="452"/>
      <c r="AD2" s="453" t="s">
        <v>178</v>
      </c>
      <c r="AE2" s="455" t="s">
        <v>177</v>
      </c>
      <c r="AF2" s="457" t="s">
        <v>178</v>
      </c>
      <c r="AG2" s="451" t="s">
        <v>198</v>
      </c>
      <c r="AH2" s="451"/>
      <c r="AI2" s="451"/>
      <c r="AJ2" s="451"/>
      <c r="AK2" s="451"/>
      <c r="AL2" s="451"/>
      <c r="AM2" s="451"/>
      <c r="AN2" s="451"/>
      <c r="AO2" s="451"/>
      <c r="AP2" s="451"/>
      <c r="AQ2" s="451"/>
      <c r="AR2" s="451"/>
      <c r="AS2" s="451"/>
      <c r="AT2" s="451"/>
      <c r="AU2" s="451"/>
      <c r="AV2" s="451"/>
      <c r="AW2" s="451"/>
      <c r="AX2" s="451"/>
      <c r="AY2" s="451"/>
      <c r="AZ2" s="451"/>
      <c r="BA2" s="451"/>
      <c r="BB2" s="451"/>
      <c r="BC2" s="451"/>
      <c r="BD2" s="452"/>
      <c r="BF2" s="448" t="s">
        <v>212</v>
      </c>
      <c r="BG2" s="447" t="s">
        <v>222</v>
      </c>
      <c r="BH2" s="447" t="s">
        <v>213</v>
      </c>
      <c r="BI2" s="440" t="s">
        <v>259</v>
      </c>
      <c r="BJ2" s="440" t="s">
        <v>260</v>
      </c>
      <c r="BK2" s="442" t="s">
        <v>214</v>
      </c>
    </row>
    <row r="3" spans="3:63" ht="15.75" customHeight="1" x14ac:dyDescent="0.25">
      <c r="C3" s="460"/>
      <c r="D3" s="462"/>
      <c r="E3" s="454"/>
      <c r="F3" s="184">
        <v>7</v>
      </c>
      <c r="G3" s="185">
        <v>8</v>
      </c>
      <c r="H3" s="185">
        <v>9</v>
      </c>
      <c r="I3" s="185">
        <v>10</v>
      </c>
      <c r="J3" s="185">
        <v>11</v>
      </c>
      <c r="K3" s="185">
        <v>12</v>
      </c>
      <c r="L3" s="185">
        <v>13</v>
      </c>
      <c r="M3" s="185">
        <v>14</v>
      </c>
      <c r="N3" s="185">
        <v>15</v>
      </c>
      <c r="O3" s="185">
        <v>16</v>
      </c>
      <c r="P3" s="185">
        <v>17</v>
      </c>
      <c r="Q3" s="185">
        <v>18</v>
      </c>
      <c r="R3" s="185">
        <v>19</v>
      </c>
      <c r="S3" s="185">
        <v>20</v>
      </c>
      <c r="T3" s="185">
        <v>21</v>
      </c>
      <c r="U3" s="185">
        <v>22</v>
      </c>
      <c r="V3" s="185">
        <v>23</v>
      </c>
      <c r="W3" s="185">
        <v>24</v>
      </c>
      <c r="X3" s="185">
        <v>1</v>
      </c>
      <c r="Y3" s="185">
        <v>2</v>
      </c>
      <c r="Z3" s="185">
        <v>3</v>
      </c>
      <c r="AA3" s="185">
        <v>4</v>
      </c>
      <c r="AB3" s="185">
        <v>5</v>
      </c>
      <c r="AC3" s="186">
        <v>6</v>
      </c>
      <c r="AD3" s="454"/>
      <c r="AE3" s="456"/>
      <c r="AF3" s="458"/>
      <c r="AG3" s="185">
        <v>7</v>
      </c>
      <c r="AH3" s="185">
        <v>8</v>
      </c>
      <c r="AI3" s="185">
        <v>9</v>
      </c>
      <c r="AJ3" s="185">
        <v>10</v>
      </c>
      <c r="AK3" s="185">
        <v>11</v>
      </c>
      <c r="AL3" s="185">
        <v>12</v>
      </c>
      <c r="AM3" s="185">
        <v>13</v>
      </c>
      <c r="AN3" s="185">
        <v>14</v>
      </c>
      <c r="AO3" s="185">
        <v>15</v>
      </c>
      <c r="AP3" s="185">
        <v>16</v>
      </c>
      <c r="AQ3" s="185">
        <v>17</v>
      </c>
      <c r="AR3" s="185">
        <v>18</v>
      </c>
      <c r="AS3" s="185">
        <v>19</v>
      </c>
      <c r="AT3" s="185">
        <v>20</v>
      </c>
      <c r="AU3" s="185">
        <v>21</v>
      </c>
      <c r="AV3" s="185">
        <v>22</v>
      </c>
      <c r="AW3" s="185">
        <v>23</v>
      </c>
      <c r="AX3" s="185">
        <v>24</v>
      </c>
      <c r="AY3" s="185">
        <v>1</v>
      </c>
      <c r="AZ3" s="185">
        <v>2</v>
      </c>
      <c r="BA3" s="185">
        <v>3</v>
      </c>
      <c r="BB3" s="185">
        <v>4</v>
      </c>
      <c r="BC3" s="185">
        <v>5</v>
      </c>
      <c r="BD3" s="186">
        <v>6</v>
      </c>
      <c r="BF3" s="449"/>
      <c r="BG3" s="441"/>
      <c r="BH3" s="441"/>
      <c r="BI3" s="446"/>
      <c r="BJ3" s="441"/>
      <c r="BK3" s="443"/>
    </row>
    <row r="4" spans="3:63" ht="15" customHeight="1" x14ac:dyDescent="0.3">
      <c r="C4" s="388">
        <v>1</v>
      </c>
      <c r="D4" s="435" t="s">
        <v>179</v>
      </c>
      <c r="E4" s="433">
        <v>8</v>
      </c>
      <c r="F4" s="432" t="s">
        <v>199</v>
      </c>
      <c r="G4" s="404"/>
      <c r="H4" s="404"/>
      <c r="I4" s="404"/>
      <c r="J4" s="404"/>
      <c r="K4" s="404"/>
      <c r="L4" s="404"/>
      <c r="M4" s="404"/>
      <c r="N4" s="404"/>
      <c r="O4" s="404"/>
      <c r="P4" s="404"/>
      <c r="Q4" s="405"/>
      <c r="R4" s="187"/>
      <c r="S4" s="188"/>
      <c r="AC4" s="189"/>
      <c r="AD4" s="433">
        <v>8</v>
      </c>
      <c r="AE4" s="435" t="s">
        <v>179</v>
      </c>
      <c r="AF4" s="437">
        <v>8</v>
      </c>
      <c r="AG4" s="404" t="s">
        <v>199</v>
      </c>
      <c r="AH4" s="404"/>
      <c r="AI4" s="404"/>
      <c r="AJ4" s="404"/>
      <c r="AK4" s="404"/>
      <c r="AL4" s="404"/>
      <c r="AM4" s="404"/>
      <c r="AN4" s="404"/>
      <c r="AO4" s="404"/>
      <c r="AP4" s="404"/>
      <c r="AQ4" s="404"/>
      <c r="AR4" s="405"/>
      <c r="AS4" s="187"/>
      <c r="AT4" s="188"/>
      <c r="BD4" s="189"/>
      <c r="BF4" s="268">
        <v>6</v>
      </c>
      <c r="BG4" s="268" t="s">
        <v>219</v>
      </c>
      <c r="BH4" s="268" t="s">
        <v>199</v>
      </c>
      <c r="BI4" s="268" t="s">
        <v>258</v>
      </c>
      <c r="BJ4" s="268">
        <v>0</v>
      </c>
      <c r="BK4" s="269">
        <v>0</v>
      </c>
    </row>
    <row r="5" spans="3:63" ht="15" customHeight="1" x14ac:dyDescent="0.25">
      <c r="C5" s="444"/>
      <c r="D5" s="436"/>
      <c r="E5" s="434"/>
      <c r="F5" s="439" t="s">
        <v>199</v>
      </c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8"/>
      <c r="R5" s="190"/>
      <c r="AC5" s="189"/>
      <c r="AD5" s="434"/>
      <c r="AE5" s="436"/>
      <c r="AF5" s="438"/>
      <c r="AG5" s="417" t="s">
        <v>199</v>
      </c>
      <c r="AH5" s="417"/>
      <c r="AI5" s="417"/>
      <c r="AJ5" s="417"/>
      <c r="AK5" s="417"/>
      <c r="AL5" s="417"/>
      <c r="AM5" s="417"/>
      <c r="AN5" s="417"/>
      <c r="AO5" s="417"/>
      <c r="AP5" s="417"/>
      <c r="AQ5" s="417"/>
      <c r="AR5" s="418"/>
      <c r="AS5" s="190"/>
      <c r="BD5" s="189"/>
      <c r="BF5" s="232">
        <v>4</v>
      </c>
      <c r="BG5" s="232" t="s">
        <v>220</v>
      </c>
      <c r="BH5" s="232" t="s">
        <v>200</v>
      </c>
      <c r="BI5" s="268" t="s">
        <v>258</v>
      </c>
      <c r="BJ5" s="232">
        <v>7</v>
      </c>
      <c r="BK5" s="234">
        <v>0</v>
      </c>
    </row>
    <row r="6" spans="3:63" ht="15" customHeight="1" x14ac:dyDescent="0.25">
      <c r="C6" s="444"/>
      <c r="D6" s="436"/>
      <c r="E6" s="434"/>
      <c r="F6" s="439" t="s">
        <v>199</v>
      </c>
      <c r="G6" s="417"/>
      <c r="H6" s="417"/>
      <c r="I6" s="417"/>
      <c r="J6" s="417"/>
      <c r="K6" s="417"/>
      <c r="L6" s="417"/>
      <c r="M6" s="417"/>
      <c r="N6" s="417"/>
      <c r="O6" s="417"/>
      <c r="P6" s="417"/>
      <c r="Q6" s="418"/>
      <c r="R6" s="191"/>
      <c r="AC6" s="189"/>
      <c r="AD6" s="434"/>
      <c r="AE6" s="436"/>
      <c r="AF6" s="438"/>
      <c r="AG6" s="417" t="s">
        <v>199</v>
      </c>
      <c r="AH6" s="417"/>
      <c r="AI6" s="417"/>
      <c r="AJ6" s="417"/>
      <c r="AK6" s="417"/>
      <c r="AL6" s="417"/>
      <c r="AM6" s="417"/>
      <c r="AN6" s="417"/>
      <c r="AO6" s="417"/>
      <c r="AP6" s="417"/>
      <c r="AQ6" s="417"/>
      <c r="AR6" s="418"/>
      <c r="AS6" s="191"/>
      <c r="BD6" s="189"/>
      <c r="BF6" s="232">
        <v>2</v>
      </c>
      <c r="BG6" s="232" t="s">
        <v>221</v>
      </c>
      <c r="BH6" s="232" t="s">
        <v>249</v>
      </c>
      <c r="BI6" s="232" t="s">
        <v>15</v>
      </c>
      <c r="BJ6" s="232">
        <v>0</v>
      </c>
      <c r="BK6" s="234">
        <v>0.2</v>
      </c>
    </row>
    <row r="7" spans="3:63" ht="15" customHeight="1" x14ac:dyDescent="0.25">
      <c r="C7" s="444"/>
      <c r="D7" s="436"/>
      <c r="E7" s="434"/>
      <c r="F7" s="439" t="s">
        <v>199</v>
      </c>
      <c r="G7" s="417"/>
      <c r="H7" s="417"/>
      <c r="I7" s="417"/>
      <c r="J7" s="417"/>
      <c r="K7" s="417"/>
      <c r="L7" s="417"/>
      <c r="M7" s="417"/>
      <c r="N7" s="417"/>
      <c r="O7" s="417"/>
      <c r="P7" s="417"/>
      <c r="Q7" s="418"/>
      <c r="R7" s="192"/>
      <c r="AC7" s="193"/>
      <c r="AD7" s="434"/>
      <c r="AE7" s="436"/>
      <c r="AF7" s="438"/>
      <c r="AG7" s="417" t="s">
        <v>199</v>
      </c>
      <c r="AH7" s="417"/>
      <c r="AI7" s="417"/>
      <c r="AJ7" s="417"/>
      <c r="AK7" s="417"/>
      <c r="AL7" s="417"/>
      <c r="AM7" s="417"/>
      <c r="AN7" s="417"/>
      <c r="AO7" s="417"/>
      <c r="AP7" s="417"/>
      <c r="AQ7" s="417"/>
      <c r="AR7" s="418"/>
      <c r="AS7" s="192"/>
      <c r="BD7" s="193"/>
      <c r="BF7" s="232">
        <v>2</v>
      </c>
      <c r="BG7" s="232" t="s">
        <v>215</v>
      </c>
      <c r="BH7" s="232" t="s">
        <v>249</v>
      </c>
      <c r="BI7" s="232" t="s">
        <v>15</v>
      </c>
      <c r="BJ7" s="232">
        <v>0</v>
      </c>
      <c r="BK7" s="234">
        <v>0</v>
      </c>
    </row>
    <row r="8" spans="3:63" ht="15" customHeight="1" x14ac:dyDescent="0.25">
      <c r="C8" s="444"/>
      <c r="D8" s="436"/>
      <c r="E8" s="434"/>
      <c r="F8" s="194"/>
      <c r="L8" s="195"/>
      <c r="R8" s="429" t="s">
        <v>200</v>
      </c>
      <c r="S8" s="417"/>
      <c r="T8" s="417"/>
      <c r="U8" s="417"/>
      <c r="V8" s="417"/>
      <c r="W8" s="417"/>
      <c r="X8" s="417"/>
      <c r="Y8" s="417"/>
      <c r="Z8" s="417"/>
      <c r="AA8" s="417"/>
      <c r="AB8" s="417"/>
      <c r="AC8" s="430"/>
      <c r="AD8" s="434"/>
      <c r="AE8" s="436"/>
      <c r="AF8" s="438"/>
      <c r="AS8" s="429" t="s">
        <v>200</v>
      </c>
      <c r="AT8" s="417"/>
      <c r="AU8" s="417"/>
      <c r="AV8" s="417"/>
      <c r="AW8" s="417"/>
      <c r="AX8" s="417"/>
      <c r="AY8" s="417"/>
      <c r="AZ8" s="417"/>
      <c r="BA8" s="417"/>
      <c r="BB8" s="417"/>
      <c r="BC8" s="417"/>
      <c r="BD8" s="430"/>
      <c r="BF8" s="232">
        <v>2</v>
      </c>
      <c r="BG8" s="232" t="s">
        <v>216</v>
      </c>
      <c r="BH8" s="232" t="s">
        <v>200</v>
      </c>
      <c r="BI8" s="268" t="s">
        <v>258</v>
      </c>
      <c r="BJ8" s="232">
        <v>7</v>
      </c>
      <c r="BK8" s="234">
        <v>0</v>
      </c>
    </row>
    <row r="9" spans="3:63" ht="15" customHeight="1" x14ac:dyDescent="0.25">
      <c r="C9" s="444"/>
      <c r="D9" s="436"/>
      <c r="E9" s="434"/>
      <c r="F9" s="196"/>
      <c r="L9" s="190"/>
      <c r="R9" s="429" t="s">
        <v>200</v>
      </c>
      <c r="S9" s="417"/>
      <c r="T9" s="417"/>
      <c r="U9" s="417"/>
      <c r="V9" s="417"/>
      <c r="W9" s="417"/>
      <c r="X9" s="417"/>
      <c r="Y9" s="417"/>
      <c r="Z9" s="417"/>
      <c r="AA9" s="417"/>
      <c r="AB9" s="417"/>
      <c r="AC9" s="430"/>
      <c r="AD9" s="434"/>
      <c r="AE9" s="436"/>
      <c r="AF9" s="438"/>
      <c r="AS9" s="429" t="s">
        <v>200</v>
      </c>
      <c r="AT9" s="417"/>
      <c r="AU9" s="417"/>
      <c r="AV9" s="417"/>
      <c r="AW9" s="417"/>
      <c r="AX9" s="417"/>
      <c r="AY9" s="417"/>
      <c r="AZ9" s="417"/>
      <c r="BA9" s="417"/>
      <c r="BB9" s="417"/>
      <c r="BC9" s="417"/>
      <c r="BD9" s="430"/>
      <c r="BF9" s="232">
        <v>1</v>
      </c>
      <c r="BG9" s="232" t="s">
        <v>217</v>
      </c>
      <c r="BH9" s="232" t="s">
        <v>284</v>
      </c>
      <c r="BI9" s="232" t="s">
        <v>15</v>
      </c>
      <c r="BJ9" s="232">
        <v>0</v>
      </c>
      <c r="BK9" s="234">
        <v>0</v>
      </c>
    </row>
    <row r="10" spans="3:63" ht="27" customHeight="1" x14ac:dyDescent="0.25">
      <c r="C10" s="444"/>
      <c r="D10" s="436"/>
      <c r="E10" s="434"/>
      <c r="F10" s="196"/>
      <c r="L10" s="190"/>
      <c r="R10" s="429" t="s">
        <v>200</v>
      </c>
      <c r="S10" s="417"/>
      <c r="T10" s="417"/>
      <c r="U10" s="417"/>
      <c r="V10" s="417"/>
      <c r="W10" s="417"/>
      <c r="X10" s="417"/>
      <c r="Y10" s="417"/>
      <c r="Z10" s="417"/>
      <c r="AA10" s="417"/>
      <c r="AB10" s="417"/>
      <c r="AC10" s="430"/>
      <c r="AD10" s="434"/>
      <c r="AE10" s="436"/>
      <c r="AF10" s="438"/>
      <c r="AS10" s="429" t="s">
        <v>200</v>
      </c>
      <c r="AT10" s="417"/>
      <c r="AU10" s="417"/>
      <c r="AV10" s="417"/>
      <c r="AW10" s="417"/>
      <c r="AX10" s="417"/>
      <c r="AY10" s="417"/>
      <c r="AZ10" s="417"/>
      <c r="BA10" s="417"/>
      <c r="BB10" s="417"/>
      <c r="BC10" s="417"/>
      <c r="BD10" s="430"/>
      <c r="BF10" s="235">
        <v>3</v>
      </c>
      <c r="BG10" s="235" t="s">
        <v>218</v>
      </c>
      <c r="BH10" s="236" t="s">
        <v>286</v>
      </c>
      <c r="BI10" s="268" t="s">
        <v>15</v>
      </c>
      <c r="BJ10" s="235">
        <v>0</v>
      </c>
      <c r="BK10" s="237">
        <v>0</v>
      </c>
    </row>
    <row r="11" spans="3:63" ht="15" customHeight="1" x14ac:dyDescent="0.25">
      <c r="C11" s="444"/>
      <c r="D11" s="436"/>
      <c r="E11" s="434"/>
      <c r="F11" s="196"/>
      <c r="L11" s="190"/>
      <c r="R11" s="427" t="s">
        <v>200</v>
      </c>
      <c r="S11" s="428"/>
      <c r="T11" s="428"/>
      <c r="U11" s="428"/>
      <c r="V11" s="428"/>
      <c r="W11" s="428"/>
      <c r="X11" s="428"/>
      <c r="Y11" s="428"/>
      <c r="Z11" s="428"/>
      <c r="AA11" s="428"/>
      <c r="AB11" s="428"/>
      <c r="AC11" s="431"/>
      <c r="AD11" s="434"/>
      <c r="AE11" s="436"/>
      <c r="AF11" s="438"/>
      <c r="AS11" s="429" t="s">
        <v>200</v>
      </c>
      <c r="AT11" s="417"/>
      <c r="AU11" s="417"/>
      <c r="AV11" s="417"/>
      <c r="AW11" s="417"/>
      <c r="AX11" s="417"/>
      <c r="AY11" s="417"/>
      <c r="AZ11" s="417"/>
      <c r="BA11" s="417"/>
      <c r="BB11" s="417"/>
      <c r="BC11" s="417"/>
      <c r="BD11" s="430"/>
      <c r="BF11" s="232">
        <f>SUM(BF4:BF10)</f>
        <v>20</v>
      </c>
      <c r="BG11" s="398"/>
      <c r="BH11" s="399"/>
      <c r="BI11" s="399"/>
      <c r="BJ11" s="399"/>
      <c r="BK11" s="400"/>
    </row>
    <row r="12" spans="3:63" ht="15" customHeight="1" x14ac:dyDescent="0.25">
      <c r="C12" s="276"/>
      <c r="D12" s="277"/>
      <c r="E12" s="278"/>
      <c r="F12" s="279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1"/>
      <c r="AD12" s="278"/>
      <c r="AE12" s="277"/>
      <c r="AF12" s="270"/>
      <c r="AS12" s="183"/>
      <c r="AT12" s="183"/>
      <c r="AU12" s="183"/>
      <c r="AV12" s="183"/>
      <c r="AW12" s="183"/>
      <c r="AX12" s="183"/>
      <c r="AY12" s="183"/>
      <c r="AZ12" s="183"/>
      <c r="BA12" s="183"/>
      <c r="BB12" s="183"/>
      <c r="BC12" s="183"/>
      <c r="BD12" s="197"/>
    </row>
    <row r="13" spans="3:63" ht="5.25" customHeight="1" x14ac:dyDescent="0.25">
      <c r="C13" s="198"/>
      <c r="D13" s="199"/>
      <c r="E13" s="199"/>
      <c r="F13" s="198"/>
      <c r="G13" s="199"/>
      <c r="H13" s="199"/>
      <c r="I13" s="199"/>
      <c r="J13" s="199"/>
      <c r="K13" s="199"/>
      <c r="L13" s="199"/>
      <c r="M13" s="199"/>
      <c r="N13" s="199"/>
      <c r="O13" s="199"/>
      <c r="P13" s="199"/>
      <c r="Q13" s="199"/>
      <c r="R13" s="199"/>
      <c r="S13" s="199"/>
      <c r="T13" s="199"/>
      <c r="U13" s="199"/>
      <c r="V13" s="199"/>
      <c r="W13" s="199"/>
      <c r="X13" s="199"/>
      <c r="Y13" s="199"/>
      <c r="Z13" s="199"/>
      <c r="AA13" s="199"/>
      <c r="AB13" s="199"/>
      <c r="AC13" s="200"/>
      <c r="AD13" s="199"/>
      <c r="AE13" s="201"/>
      <c r="AF13" s="202"/>
      <c r="AG13" s="199"/>
      <c r="AH13" s="199"/>
      <c r="AI13" s="199"/>
      <c r="AJ13" s="199"/>
      <c r="AK13" s="199"/>
      <c r="AL13" s="199"/>
      <c r="AM13" s="199"/>
      <c r="AN13" s="199"/>
      <c r="AO13" s="199"/>
      <c r="AP13" s="199"/>
      <c r="AQ13" s="199"/>
      <c r="AR13" s="199"/>
      <c r="AS13" s="199"/>
      <c r="AT13" s="199"/>
      <c r="AU13" s="199"/>
      <c r="AV13" s="199"/>
      <c r="AW13" s="199"/>
      <c r="AX13" s="199"/>
      <c r="AY13" s="199"/>
      <c r="AZ13" s="199"/>
      <c r="BA13" s="199"/>
      <c r="BB13" s="199"/>
      <c r="BC13" s="199"/>
      <c r="BD13" s="200"/>
      <c r="BK13" s="233"/>
    </row>
    <row r="14" spans="3:63" x14ac:dyDescent="0.25">
      <c r="C14" s="444">
        <v>2</v>
      </c>
      <c r="D14" s="425" t="s">
        <v>180</v>
      </c>
      <c r="E14" s="424">
        <v>6</v>
      </c>
      <c r="F14" s="422" t="s">
        <v>201</v>
      </c>
      <c r="G14" s="423"/>
      <c r="H14" s="423"/>
      <c r="I14" s="423"/>
      <c r="J14" s="423"/>
      <c r="K14" s="423"/>
      <c r="L14" s="203"/>
      <c r="M14" s="183"/>
      <c r="N14" s="183"/>
      <c r="O14" s="183"/>
      <c r="P14" s="183"/>
      <c r="Q14" s="183"/>
      <c r="R14" s="204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97"/>
      <c r="AD14" s="424">
        <v>6</v>
      </c>
      <c r="AE14" s="425" t="s">
        <v>202</v>
      </c>
      <c r="AF14" s="426">
        <v>1</v>
      </c>
      <c r="AH14" s="396" t="s">
        <v>284</v>
      </c>
      <c r="AI14" s="397"/>
      <c r="AJ14" s="397"/>
      <c r="AK14" s="397"/>
      <c r="AL14" s="397"/>
      <c r="AM14" s="397"/>
      <c r="AN14" s="397"/>
      <c r="AO14" s="397"/>
      <c r="AP14" s="397"/>
      <c r="AQ14" s="397"/>
      <c r="AR14" s="397"/>
      <c r="AS14" s="397"/>
      <c r="AV14" s="183"/>
      <c r="AW14" s="183"/>
      <c r="AX14" s="183"/>
      <c r="AY14" s="183"/>
      <c r="AZ14" s="183"/>
      <c r="BA14" s="183"/>
      <c r="BB14" s="183"/>
      <c r="BC14" s="183"/>
      <c r="BD14" s="197"/>
      <c r="BK14" s="233"/>
    </row>
    <row r="15" spans="3:63" x14ac:dyDescent="0.25">
      <c r="C15" s="444"/>
      <c r="D15" s="425"/>
      <c r="E15" s="424"/>
      <c r="F15" s="395" t="s">
        <v>201</v>
      </c>
      <c r="G15" s="376"/>
      <c r="H15" s="376"/>
      <c r="I15" s="376"/>
      <c r="J15" s="376"/>
      <c r="K15" s="376"/>
      <c r="L15" s="203"/>
      <c r="M15" s="183"/>
      <c r="N15" s="183"/>
      <c r="O15" s="183"/>
      <c r="P15" s="183"/>
      <c r="Q15" s="183"/>
      <c r="R15" s="204"/>
      <c r="S15" s="183"/>
      <c r="T15" s="183"/>
      <c r="U15" s="183"/>
      <c r="V15" s="183"/>
      <c r="W15" s="183"/>
      <c r="X15" s="183"/>
      <c r="Y15" s="183"/>
      <c r="Z15" s="183"/>
      <c r="AA15" s="183"/>
      <c r="AB15" s="183"/>
      <c r="AC15" s="197"/>
      <c r="AD15" s="424"/>
      <c r="AE15" s="425"/>
      <c r="AF15" s="426"/>
      <c r="AG15" s="183"/>
      <c r="AH15" s="183"/>
      <c r="AI15" s="183"/>
      <c r="AJ15" s="183"/>
      <c r="AV15" s="183"/>
      <c r="AW15" s="183"/>
      <c r="AX15" s="183"/>
      <c r="AY15" s="183"/>
      <c r="AZ15" s="183"/>
      <c r="BA15" s="183"/>
      <c r="BB15" s="183"/>
      <c r="BC15" s="183"/>
      <c r="BD15" s="197"/>
      <c r="BK15" s="233"/>
    </row>
    <row r="16" spans="3:63" ht="15" customHeight="1" x14ac:dyDescent="0.25">
      <c r="C16" s="444"/>
      <c r="D16" s="425"/>
      <c r="E16" s="424"/>
      <c r="F16" s="395" t="s">
        <v>201</v>
      </c>
      <c r="G16" s="376"/>
      <c r="H16" s="376"/>
      <c r="I16" s="376"/>
      <c r="J16" s="376"/>
      <c r="K16" s="376"/>
      <c r="L16" s="205"/>
      <c r="M16" s="183"/>
      <c r="N16" s="183"/>
      <c r="O16" s="183"/>
      <c r="P16" s="183"/>
      <c r="Q16" s="183"/>
      <c r="R16" s="204"/>
      <c r="S16" s="183"/>
      <c r="T16" s="183"/>
      <c r="U16" s="183"/>
      <c r="V16" s="183"/>
      <c r="W16" s="183"/>
      <c r="X16" s="183"/>
      <c r="Y16" s="183"/>
      <c r="Z16" s="183"/>
      <c r="AA16" s="183"/>
      <c r="AB16" s="183"/>
      <c r="AC16" s="197"/>
      <c r="AD16" s="424"/>
      <c r="AE16" s="425"/>
      <c r="AF16" s="426"/>
      <c r="AG16" s="183"/>
      <c r="AV16" s="183"/>
      <c r="AW16" s="183"/>
      <c r="AX16" s="183"/>
      <c r="AY16" s="183"/>
      <c r="AZ16" s="183"/>
      <c r="BA16" s="183"/>
      <c r="BB16" s="183"/>
      <c r="BC16" s="183"/>
      <c r="BD16" s="197"/>
      <c r="BE16" s="183"/>
    </row>
    <row r="17" spans="3:56" ht="15" customHeight="1" x14ac:dyDescent="0.25">
      <c r="C17" s="444"/>
      <c r="D17" s="425"/>
      <c r="E17" s="424"/>
      <c r="F17" s="206"/>
      <c r="G17" s="183"/>
      <c r="H17" s="183"/>
      <c r="I17" s="183"/>
      <c r="J17" s="183"/>
      <c r="K17" s="183"/>
      <c r="L17" s="375" t="s">
        <v>203</v>
      </c>
      <c r="M17" s="376"/>
      <c r="N17" s="376"/>
      <c r="O17" s="376"/>
      <c r="P17" s="376"/>
      <c r="Q17" s="376"/>
      <c r="R17" s="204"/>
      <c r="S17" s="183"/>
      <c r="T17" s="183"/>
      <c r="U17" s="183"/>
      <c r="V17" s="183"/>
      <c r="W17" s="183"/>
      <c r="X17" s="183"/>
      <c r="Y17" s="183"/>
      <c r="Z17" s="183"/>
      <c r="AA17" s="183"/>
      <c r="AB17" s="183"/>
      <c r="AC17" s="197"/>
      <c r="AD17" s="424"/>
      <c r="AE17" s="425"/>
      <c r="AF17" s="426"/>
      <c r="AG17" s="183"/>
      <c r="AH17" s="183"/>
      <c r="AI17" s="183"/>
      <c r="AJ17" s="183"/>
      <c r="AK17" s="183"/>
      <c r="AL17" s="183"/>
      <c r="AM17" s="183"/>
      <c r="AN17" s="183"/>
      <c r="AO17" s="183"/>
      <c r="AP17" s="183"/>
      <c r="AQ17" s="183"/>
      <c r="AR17" s="183"/>
      <c r="AS17" s="183"/>
      <c r="AT17" s="183"/>
      <c r="AU17" s="183"/>
      <c r="AV17" s="183"/>
      <c r="AW17" s="183"/>
      <c r="AX17" s="183"/>
      <c r="AY17" s="183"/>
      <c r="AZ17" s="183"/>
      <c r="BA17" s="183"/>
      <c r="BB17" s="183"/>
      <c r="BC17" s="183"/>
      <c r="BD17" s="197"/>
    </row>
    <row r="18" spans="3:56" ht="15" customHeight="1" x14ac:dyDescent="0.25">
      <c r="C18" s="444"/>
      <c r="D18" s="425"/>
      <c r="E18" s="424"/>
      <c r="F18" s="207"/>
      <c r="G18" s="183"/>
      <c r="H18" s="183"/>
      <c r="I18" s="183"/>
      <c r="J18" s="183"/>
      <c r="K18" s="183"/>
      <c r="L18" s="375" t="s">
        <v>203</v>
      </c>
      <c r="M18" s="376"/>
      <c r="N18" s="376"/>
      <c r="O18" s="376"/>
      <c r="P18" s="376"/>
      <c r="Q18" s="376"/>
      <c r="R18" s="204"/>
      <c r="S18" s="183"/>
      <c r="T18" s="183"/>
      <c r="U18" s="183"/>
      <c r="V18" s="183"/>
      <c r="W18" s="183"/>
      <c r="X18" s="183"/>
      <c r="Y18" s="183"/>
      <c r="Z18" s="183"/>
      <c r="AA18" s="183"/>
      <c r="AB18" s="183"/>
      <c r="AC18" s="197"/>
      <c r="AD18" s="424"/>
      <c r="AE18" s="425"/>
      <c r="AF18" s="426"/>
      <c r="AG18" s="183"/>
      <c r="AH18" s="183"/>
      <c r="AI18" s="183"/>
      <c r="AJ18" s="183"/>
      <c r="AK18" s="183"/>
      <c r="AL18" s="183"/>
      <c r="AM18" s="183"/>
      <c r="AN18" s="183"/>
      <c r="AO18" s="183"/>
      <c r="AP18" s="183"/>
      <c r="AQ18" s="183"/>
      <c r="AR18" s="183"/>
      <c r="AS18" s="183"/>
      <c r="AT18" s="183"/>
      <c r="AU18" s="183"/>
      <c r="AV18" s="183"/>
      <c r="AW18" s="183"/>
      <c r="AX18" s="183"/>
      <c r="AY18" s="183"/>
      <c r="AZ18" s="183"/>
      <c r="BA18" s="183"/>
      <c r="BB18" s="183"/>
      <c r="BC18" s="183"/>
      <c r="BD18" s="197"/>
    </row>
    <row r="19" spans="3:56" ht="15" customHeight="1" x14ac:dyDescent="0.25">
      <c r="C19" s="389"/>
      <c r="D19" s="391"/>
      <c r="E19" s="370"/>
      <c r="F19" s="207"/>
      <c r="G19" s="183"/>
      <c r="H19" s="183"/>
      <c r="I19" s="183"/>
      <c r="J19" s="183"/>
      <c r="K19" s="183"/>
      <c r="L19" s="375" t="s">
        <v>203</v>
      </c>
      <c r="M19" s="376"/>
      <c r="N19" s="376"/>
      <c r="O19" s="376"/>
      <c r="P19" s="376"/>
      <c r="Q19" s="376"/>
      <c r="R19" s="204"/>
      <c r="S19" s="183"/>
      <c r="T19" s="183"/>
      <c r="U19" s="183"/>
      <c r="V19" s="183"/>
      <c r="W19" s="183"/>
      <c r="X19" s="183"/>
      <c r="Y19" s="183"/>
      <c r="Z19" s="183"/>
      <c r="AA19" s="183"/>
      <c r="AB19" s="183"/>
      <c r="AC19" s="197"/>
      <c r="AD19" s="370"/>
      <c r="AE19" s="391"/>
      <c r="AF19" s="402"/>
      <c r="AG19" s="183"/>
      <c r="AH19" s="183"/>
      <c r="AI19" s="183"/>
      <c r="AJ19" s="183"/>
      <c r="AK19" s="183"/>
      <c r="AL19" s="183"/>
      <c r="AM19" s="183"/>
      <c r="AN19" s="183"/>
      <c r="AO19" s="183"/>
      <c r="AP19" s="183"/>
      <c r="AQ19" s="183"/>
      <c r="AR19" s="183"/>
      <c r="AS19" s="183"/>
      <c r="AT19" s="183"/>
      <c r="AU19" s="183"/>
      <c r="AV19" s="183"/>
      <c r="AW19" s="183"/>
      <c r="AX19" s="183"/>
      <c r="AY19" s="183"/>
      <c r="AZ19" s="183"/>
      <c r="BA19" s="183"/>
      <c r="BB19" s="183"/>
      <c r="BC19" s="183"/>
      <c r="BD19" s="197"/>
    </row>
    <row r="20" spans="3:56" ht="5.25" customHeight="1" x14ac:dyDescent="0.25">
      <c r="C20" s="198"/>
      <c r="D20" s="199"/>
      <c r="E20" s="199"/>
      <c r="F20" s="198"/>
      <c r="G20" s="199"/>
      <c r="H20" s="199"/>
      <c r="I20" s="199"/>
      <c r="J20" s="199"/>
      <c r="K20" s="199"/>
      <c r="L20" s="199"/>
      <c r="M20" s="199"/>
      <c r="N20" s="199"/>
      <c r="O20" s="199"/>
      <c r="P20" s="199"/>
      <c r="Q20" s="199"/>
      <c r="R20" s="199"/>
      <c r="S20" s="199"/>
      <c r="T20" s="199"/>
      <c r="U20" s="199"/>
      <c r="V20" s="199"/>
      <c r="W20" s="199"/>
      <c r="X20" s="199"/>
      <c r="Y20" s="199"/>
      <c r="Z20" s="199"/>
      <c r="AA20" s="199"/>
      <c r="AB20" s="199"/>
      <c r="AC20" s="200"/>
      <c r="AD20" s="199"/>
      <c r="AE20" s="201"/>
      <c r="AF20" s="202"/>
      <c r="AG20" s="199"/>
      <c r="AH20" s="199"/>
      <c r="AI20" s="199"/>
      <c r="AJ20" s="199"/>
      <c r="AK20" s="199"/>
      <c r="AL20" s="199"/>
      <c r="AM20" s="199"/>
      <c r="AN20" s="199"/>
      <c r="AO20" s="199"/>
      <c r="AP20" s="199"/>
      <c r="AQ20" s="199"/>
      <c r="AR20" s="199"/>
      <c r="AS20" s="199"/>
      <c r="AT20" s="199"/>
      <c r="AU20" s="199"/>
      <c r="AV20" s="199"/>
      <c r="AW20" s="199"/>
      <c r="AX20" s="199"/>
      <c r="AY20" s="199"/>
      <c r="AZ20" s="199"/>
      <c r="BA20" s="199"/>
      <c r="BB20" s="199"/>
      <c r="BC20" s="199"/>
      <c r="BD20" s="200"/>
    </row>
    <row r="21" spans="3:56" ht="15" customHeight="1" x14ac:dyDescent="0.3">
      <c r="C21" s="445">
        <v>3</v>
      </c>
      <c r="D21" s="445" t="s">
        <v>184</v>
      </c>
      <c r="E21" s="419">
        <v>4</v>
      </c>
      <c r="F21" s="395" t="s">
        <v>201</v>
      </c>
      <c r="G21" s="376"/>
      <c r="H21" s="376"/>
      <c r="I21" s="376"/>
      <c r="J21" s="376"/>
      <c r="K21" s="376"/>
      <c r="L21" s="205"/>
      <c r="M21" s="183"/>
      <c r="N21" s="183"/>
      <c r="O21" s="183"/>
      <c r="P21" s="183"/>
      <c r="Q21" s="183"/>
      <c r="R21" s="208"/>
      <c r="S21" s="183"/>
      <c r="T21" s="183"/>
      <c r="U21" s="183"/>
      <c r="V21" s="183"/>
      <c r="W21" s="183"/>
      <c r="X21" s="183"/>
      <c r="Y21" s="183"/>
      <c r="Z21" s="183"/>
      <c r="AA21" s="183"/>
      <c r="AB21" s="183"/>
      <c r="AC21" s="197"/>
      <c r="AD21" s="419">
        <v>4</v>
      </c>
      <c r="AE21" s="420" t="s">
        <v>184</v>
      </c>
      <c r="AF21" s="421">
        <v>5</v>
      </c>
      <c r="AG21" s="404" t="s">
        <v>199</v>
      </c>
      <c r="AH21" s="404"/>
      <c r="AI21" s="404"/>
      <c r="AJ21" s="404"/>
      <c r="AK21" s="404"/>
      <c r="AL21" s="404"/>
      <c r="AM21" s="404"/>
      <c r="AN21" s="404"/>
      <c r="AO21" s="404"/>
      <c r="AP21" s="404"/>
      <c r="AQ21" s="404"/>
      <c r="AR21" s="405"/>
      <c r="AS21" s="187"/>
      <c r="AT21" s="188"/>
      <c r="AU21" s="183"/>
      <c r="AV21" s="183"/>
      <c r="AW21" s="183"/>
      <c r="AX21" s="183"/>
      <c r="AY21" s="183"/>
      <c r="AZ21" s="183"/>
      <c r="BA21" s="183"/>
      <c r="BB21" s="183"/>
      <c r="BC21" s="183"/>
      <c r="BD21" s="197"/>
    </row>
    <row r="22" spans="3:56" x14ac:dyDescent="0.25">
      <c r="C22" s="445"/>
      <c r="D22" s="445"/>
      <c r="E22" s="419"/>
      <c r="F22" s="209"/>
      <c r="G22" s="183"/>
      <c r="H22" s="183"/>
      <c r="I22" s="183"/>
      <c r="J22" s="183"/>
      <c r="K22" s="183"/>
      <c r="L22" s="375" t="s">
        <v>203</v>
      </c>
      <c r="M22" s="376"/>
      <c r="N22" s="376"/>
      <c r="O22" s="376"/>
      <c r="P22" s="376"/>
      <c r="Q22" s="376"/>
      <c r="R22" s="203"/>
      <c r="S22" s="183"/>
      <c r="T22" s="183"/>
      <c r="U22" s="183"/>
      <c r="V22" s="183"/>
      <c r="W22" s="183"/>
      <c r="X22" s="183"/>
      <c r="Y22" s="183"/>
      <c r="Z22" s="183"/>
      <c r="AA22" s="183"/>
      <c r="AB22" s="183"/>
      <c r="AC22" s="197"/>
      <c r="AD22" s="419"/>
      <c r="AE22" s="420"/>
      <c r="AF22" s="421"/>
      <c r="AG22" s="417" t="s">
        <v>199</v>
      </c>
      <c r="AH22" s="417"/>
      <c r="AI22" s="417"/>
      <c r="AJ22" s="417"/>
      <c r="AK22" s="417"/>
      <c r="AL22" s="417"/>
      <c r="AM22" s="417"/>
      <c r="AN22" s="417"/>
      <c r="AO22" s="417"/>
      <c r="AP22" s="417"/>
      <c r="AQ22" s="417"/>
      <c r="AR22" s="418"/>
      <c r="AS22" s="190"/>
      <c r="AU22" s="183"/>
      <c r="AV22" s="183"/>
      <c r="AW22" s="183"/>
      <c r="AX22" s="183"/>
      <c r="AY22" s="183"/>
      <c r="AZ22" s="183"/>
      <c r="BA22" s="183"/>
      <c r="BB22" s="183"/>
      <c r="BC22" s="183"/>
      <c r="BD22" s="197"/>
    </row>
    <row r="23" spans="3:56" x14ac:dyDescent="0.25">
      <c r="C23" s="445"/>
      <c r="D23" s="445"/>
      <c r="E23" s="419"/>
      <c r="F23" s="210"/>
      <c r="G23" s="375" t="s">
        <v>204</v>
      </c>
      <c r="H23" s="376"/>
      <c r="I23" s="376"/>
      <c r="J23" s="376"/>
      <c r="K23" s="376"/>
      <c r="L23" s="376"/>
      <c r="M23" s="183"/>
      <c r="N23" s="183"/>
      <c r="O23" s="183"/>
      <c r="P23" s="183"/>
      <c r="Q23" s="183"/>
      <c r="R23" s="211"/>
      <c r="S23" s="183"/>
      <c r="T23" s="183"/>
      <c r="U23" s="183"/>
      <c r="V23" s="183"/>
      <c r="W23" s="183"/>
      <c r="X23" s="183"/>
      <c r="Y23" s="183"/>
      <c r="Z23" s="183"/>
      <c r="AA23" s="183"/>
      <c r="AB23" s="183"/>
      <c r="AC23" s="197"/>
      <c r="AD23" s="419"/>
      <c r="AE23" s="420"/>
      <c r="AF23" s="421"/>
      <c r="AG23" s="183"/>
      <c r="AH23" s="183"/>
      <c r="AI23" s="183"/>
      <c r="AJ23" s="183"/>
      <c r="AK23" s="183"/>
      <c r="AL23" s="183"/>
      <c r="AM23" s="183"/>
      <c r="AN23" s="183"/>
      <c r="AO23" s="183"/>
      <c r="AP23" s="183"/>
      <c r="AQ23" s="183"/>
      <c r="AR23" s="183"/>
      <c r="AS23" s="429" t="s">
        <v>200</v>
      </c>
      <c r="AT23" s="417"/>
      <c r="AU23" s="417"/>
      <c r="AV23" s="417"/>
      <c r="AW23" s="417"/>
      <c r="AX23" s="417"/>
      <c r="AY23" s="417"/>
      <c r="AZ23" s="417"/>
      <c r="BA23" s="417"/>
      <c r="BB23" s="417"/>
      <c r="BC23" s="417"/>
      <c r="BD23" s="430"/>
    </row>
    <row r="24" spans="3:56" x14ac:dyDescent="0.25">
      <c r="C24" s="445"/>
      <c r="D24" s="445"/>
      <c r="E24" s="419"/>
      <c r="F24" s="210"/>
      <c r="G24" s="183"/>
      <c r="H24" s="183"/>
      <c r="I24" s="183"/>
      <c r="J24" s="183"/>
      <c r="K24" s="183"/>
      <c r="L24" s="212"/>
      <c r="M24" s="375" t="s">
        <v>205</v>
      </c>
      <c r="N24" s="376"/>
      <c r="O24" s="376"/>
      <c r="P24" s="376"/>
      <c r="Q24" s="376"/>
      <c r="R24" s="376"/>
      <c r="S24" s="183"/>
      <c r="T24" s="183"/>
      <c r="U24" s="183"/>
      <c r="V24" s="183"/>
      <c r="W24" s="183"/>
      <c r="X24" s="183"/>
      <c r="Y24" s="183"/>
      <c r="Z24" s="183"/>
      <c r="AA24" s="183"/>
      <c r="AB24" s="183"/>
      <c r="AC24" s="197"/>
      <c r="AD24" s="419"/>
      <c r="AE24" s="420"/>
      <c r="AF24" s="421"/>
      <c r="AG24" s="183"/>
      <c r="AH24" s="183"/>
      <c r="AI24" s="183"/>
      <c r="AJ24" s="183"/>
      <c r="AK24" s="183"/>
      <c r="AL24" s="183"/>
      <c r="AM24" s="183"/>
      <c r="AN24" s="183"/>
      <c r="AO24" s="183"/>
      <c r="AP24" s="183"/>
      <c r="AQ24" s="183"/>
      <c r="AR24" s="183"/>
      <c r="AS24" s="429" t="s">
        <v>200</v>
      </c>
      <c r="AT24" s="417"/>
      <c r="AU24" s="417"/>
      <c r="AV24" s="417"/>
      <c r="AW24" s="417"/>
      <c r="AX24" s="417"/>
      <c r="AY24" s="417"/>
      <c r="AZ24" s="417"/>
      <c r="BA24" s="417"/>
      <c r="BB24" s="417"/>
      <c r="BC24" s="417"/>
      <c r="BD24" s="430"/>
    </row>
    <row r="25" spans="3:56" x14ac:dyDescent="0.25">
      <c r="C25" s="445"/>
      <c r="D25" s="445"/>
      <c r="E25" s="419"/>
      <c r="F25" s="213"/>
      <c r="G25" s="183"/>
      <c r="H25" s="183"/>
      <c r="I25" s="183"/>
      <c r="J25" s="183"/>
      <c r="K25" s="183"/>
      <c r="L25" s="183"/>
      <c r="M25" s="183"/>
      <c r="N25" s="183"/>
      <c r="O25" s="183"/>
      <c r="P25" s="183"/>
      <c r="Q25" s="183"/>
      <c r="R25" s="183"/>
      <c r="S25" s="183"/>
      <c r="T25" s="183"/>
      <c r="AB25" s="183"/>
      <c r="AC25" s="197"/>
      <c r="AD25" s="419"/>
      <c r="AE25" s="420"/>
      <c r="AF25" s="421"/>
      <c r="AG25" s="183"/>
      <c r="AH25" s="427" t="s">
        <v>284</v>
      </c>
      <c r="AI25" s="428"/>
      <c r="AJ25" s="428"/>
      <c r="AK25" s="428"/>
      <c r="AL25" s="428"/>
      <c r="AM25" s="428"/>
      <c r="AN25" s="428"/>
      <c r="AO25" s="428"/>
      <c r="AP25" s="428"/>
      <c r="AQ25" s="428"/>
      <c r="AR25" s="428"/>
      <c r="AS25" s="428"/>
      <c r="AT25" s="183"/>
      <c r="AU25" s="183"/>
      <c r="AV25" s="183"/>
      <c r="AW25" s="183"/>
      <c r="AX25" s="183"/>
      <c r="AY25" s="183"/>
      <c r="AZ25" s="183"/>
      <c r="BA25" s="183"/>
      <c r="BB25" s="183"/>
      <c r="BC25" s="183"/>
      <c r="BD25" s="197"/>
    </row>
    <row r="26" spans="3:56" ht="5.25" customHeight="1" x14ac:dyDescent="0.25">
      <c r="C26" s="198"/>
      <c r="D26" s="199"/>
      <c r="E26" s="199"/>
      <c r="F26" s="198"/>
      <c r="G26" s="199"/>
      <c r="H26" s="199"/>
      <c r="I26" s="199"/>
      <c r="J26" s="199"/>
      <c r="K26" s="199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200"/>
      <c r="AD26" s="199"/>
      <c r="AE26" s="201"/>
      <c r="AF26" s="202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200"/>
    </row>
    <row r="27" spans="3:56" ht="24" customHeight="1" x14ac:dyDescent="0.25">
      <c r="C27" s="409">
        <v>4</v>
      </c>
      <c r="D27" s="411" t="s">
        <v>185</v>
      </c>
      <c r="E27" s="413">
        <v>2</v>
      </c>
      <c r="F27" s="395" t="s">
        <v>201</v>
      </c>
      <c r="G27" s="376"/>
      <c r="H27" s="376"/>
      <c r="I27" s="376"/>
      <c r="J27" s="376"/>
      <c r="K27" s="376"/>
      <c r="L27" s="214"/>
      <c r="M27" s="183"/>
      <c r="N27" s="183"/>
      <c r="O27" s="183"/>
      <c r="P27" s="183"/>
      <c r="Q27" s="183"/>
      <c r="R27" s="208"/>
      <c r="S27" s="183"/>
      <c r="T27" s="183"/>
      <c r="U27" s="183"/>
      <c r="V27" s="183"/>
      <c r="W27" s="183"/>
      <c r="X27" s="183"/>
      <c r="Y27" s="183"/>
      <c r="Z27" s="183"/>
      <c r="AA27" s="183"/>
      <c r="AB27" s="183"/>
      <c r="AC27" s="197"/>
      <c r="AD27" s="413">
        <v>2</v>
      </c>
      <c r="AE27" s="411" t="s">
        <v>185</v>
      </c>
      <c r="AF27" s="415">
        <v>2</v>
      </c>
      <c r="AG27" s="417" t="s">
        <v>249</v>
      </c>
      <c r="AH27" s="417"/>
      <c r="AI27" s="417"/>
      <c r="AJ27" s="417"/>
      <c r="AK27" s="417"/>
      <c r="AL27" s="417"/>
      <c r="AM27" s="417"/>
      <c r="AN27" s="417"/>
      <c r="AO27" s="417"/>
      <c r="AP27" s="417"/>
      <c r="AQ27" s="417"/>
      <c r="AR27" s="418"/>
      <c r="AS27" s="183"/>
      <c r="AT27" s="183"/>
      <c r="AU27" s="183"/>
      <c r="AV27" s="183"/>
      <c r="AW27" s="183"/>
      <c r="AX27" s="183"/>
      <c r="AY27" s="183"/>
      <c r="AZ27" s="183"/>
      <c r="BA27" s="183"/>
      <c r="BB27" s="183"/>
      <c r="BC27" s="183"/>
      <c r="BD27" s="197"/>
    </row>
    <row r="28" spans="3:56" ht="26.25" customHeight="1" x14ac:dyDescent="0.25">
      <c r="C28" s="410"/>
      <c r="D28" s="412"/>
      <c r="E28" s="414"/>
      <c r="F28" s="209"/>
      <c r="G28" s="183"/>
      <c r="H28" s="183"/>
      <c r="I28" s="183"/>
      <c r="J28" s="183"/>
      <c r="K28" s="183"/>
      <c r="L28" s="375" t="s">
        <v>203</v>
      </c>
      <c r="M28" s="376"/>
      <c r="N28" s="376"/>
      <c r="O28" s="376"/>
      <c r="P28" s="376"/>
      <c r="Q28" s="376"/>
      <c r="R28" s="203"/>
      <c r="S28" s="183"/>
      <c r="T28" s="183"/>
      <c r="U28" s="183"/>
      <c r="V28" s="183"/>
      <c r="W28" s="183"/>
      <c r="X28" s="183"/>
      <c r="Y28" s="183"/>
      <c r="Z28" s="183"/>
      <c r="AA28" s="183"/>
      <c r="AB28" s="183"/>
      <c r="AC28" s="197"/>
      <c r="AD28" s="414"/>
      <c r="AE28" s="412"/>
      <c r="AF28" s="416"/>
      <c r="AG28" s="417" t="s">
        <v>199</v>
      </c>
      <c r="AH28" s="417"/>
      <c r="AI28" s="417"/>
      <c r="AJ28" s="417"/>
      <c r="AK28" s="417"/>
      <c r="AL28" s="417"/>
      <c r="AM28" s="417"/>
      <c r="AN28" s="417"/>
      <c r="AO28" s="417"/>
      <c r="AP28" s="417"/>
      <c r="AQ28" s="417"/>
      <c r="AR28" s="418"/>
      <c r="AS28" s="183"/>
      <c r="AT28" s="183"/>
      <c r="AU28" s="183"/>
      <c r="AV28" s="183"/>
      <c r="AW28" s="183"/>
      <c r="AX28" s="183"/>
      <c r="AY28" s="183"/>
      <c r="AZ28" s="183"/>
      <c r="BA28" s="183"/>
      <c r="BB28" s="183"/>
      <c r="BC28" s="183"/>
      <c r="BD28" s="197"/>
    </row>
    <row r="29" spans="3:56" ht="5.25" customHeight="1" x14ac:dyDescent="0.25">
      <c r="C29" s="198"/>
      <c r="D29" s="199"/>
      <c r="E29" s="199"/>
      <c r="F29" s="198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200"/>
      <c r="AD29" s="199"/>
      <c r="AE29" s="201"/>
      <c r="AF29" s="202"/>
      <c r="AG29" s="199"/>
      <c r="AH29" s="199"/>
      <c r="AI29" s="199"/>
      <c r="AJ29" s="199"/>
      <c r="AK29" s="199"/>
      <c r="AL29" s="199"/>
      <c r="AM29" s="199"/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200"/>
    </row>
    <row r="30" spans="3:56" ht="25.5" customHeight="1" x14ac:dyDescent="0.25">
      <c r="C30" s="377">
        <v>5</v>
      </c>
      <c r="D30" s="371" t="s">
        <v>181</v>
      </c>
      <c r="E30" s="379">
        <v>2</v>
      </c>
      <c r="F30" s="213"/>
      <c r="G30" s="406" t="s">
        <v>206</v>
      </c>
      <c r="H30" s="407"/>
      <c r="I30" s="407"/>
      <c r="J30" s="407"/>
      <c r="K30" s="407"/>
      <c r="L30" s="407"/>
      <c r="M30" s="407"/>
      <c r="N30" s="407"/>
      <c r="O30" s="408"/>
      <c r="P30" s="183"/>
      <c r="Q30" s="183"/>
      <c r="R30" s="211"/>
      <c r="S30" s="183"/>
      <c r="T30" s="183"/>
      <c r="U30" s="183"/>
      <c r="V30" s="183"/>
      <c r="W30" s="183"/>
      <c r="X30" s="183"/>
      <c r="Y30" s="183"/>
      <c r="Z30" s="183"/>
      <c r="AA30" s="183"/>
      <c r="AB30" s="183"/>
      <c r="AC30" s="197"/>
      <c r="AD30" s="379">
        <v>2</v>
      </c>
      <c r="AE30" s="371" t="s">
        <v>181</v>
      </c>
      <c r="AF30" s="373">
        <v>2</v>
      </c>
      <c r="AG30" s="403" t="s">
        <v>199</v>
      </c>
      <c r="AH30" s="404"/>
      <c r="AI30" s="404"/>
      <c r="AJ30" s="404"/>
      <c r="AK30" s="404"/>
      <c r="AL30" s="404"/>
      <c r="AM30" s="404"/>
      <c r="AN30" s="404"/>
      <c r="AO30" s="404"/>
      <c r="AP30" s="404"/>
      <c r="AQ30" s="404"/>
      <c r="AR30" s="405"/>
      <c r="AS30" s="215"/>
      <c r="AT30" s="215"/>
      <c r="AU30" s="216"/>
      <c r="AW30" s="183"/>
      <c r="AX30" s="183"/>
      <c r="AY30" s="183"/>
      <c r="AZ30" s="183"/>
      <c r="BA30" s="183"/>
      <c r="BB30" s="183"/>
      <c r="BC30" s="183"/>
      <c r="BD30" s="197"/>
    </row>
    <row r="31" spans="3:56" ht="26.25" customHeight="1" x14ac:dyDescent="0.25">
      <c r="C31" s="378"/>
      <c r="D31" s="372"/>
      <c r="E31" s="380"/>
      <c r="F31" s="210"/>
      <c r="G31" s="183"/>
      <c r="H31" s="183"/>
      <c r="I31" s="183"/>
      <c r="J31" s="183"/>
      <c r="K31" s="183"/>
      <c r="L31" s="214"/>
      <c r="M31" s="183"/>
      <c r="N31" s="183"/>
      <c r="O31" s="183"/>
      <c r="P31" s="375" t="s">
        <v>207</v>
      </c>
      <c r="Q31" s="376"/>
      <c r="R31" s="376"/>
      <c r="S31" s="376"/>
      <c r="T31" s="376"/>
      <c r="U31" s="376"/>
      <c r="V31" s="183"/>
      <c r="W31" s="183"/>
      <c r="X31" s="183"/>
      <c r="Y31" s="183"/>
      <c r="Z31" s="183"/>
      <c r="AA31" s="183"/>
      <c r="AB31" s="183"/>
      <c r="AC31" s="197"/>
      <c r="AD31" s="380"/>
      <c r="AE31" s="372"/>
      <c r="AF31" s="374"/>
      <c r="AG31" s="403" t="s">
        <v>199</v>
      </c>
      <c r="AH31" s="404"/>
      <c r="AI31" s="404"/>
      <c r="AJ31" s="404"/>
      <c r="AK31" s="404"/>
      <c r="AL31" s="404"/>
      <c r="AM31" s="404"/>
      <c r="AN31" s="404"/>
      <c r="AO31" s="404"/>
      <c r="AP31" s="404"/>
      <c r="AQ31" s="404"/>
      <c r="AR31" s="405"/>
      <c r="AS31" s="215"/>
      <c r="AT31" s="215"/>
      <c r="AU31" s="216"/>
      <c r="AW31" s="183"/>
      <c r="AX31" s="183"/>
      <c r="AY31" s="183"/>
      <c r="AZ31" s="183"/>
      <c r="BA31" s="183"/>
      <c r="BB31" s="183"/>
      <c r="BC31" s="183"/>
      <c r="BD31" s="197"/>
    </row>
    <row r="32" spans="3:56" ht="5.25" customHeight="1" x14ac:dyDescent="0.25">
      <c r="C32" s="198"/>
      <c r="D32" s="199"/>
      <c r="E32" s="199"/>
      <c r="F32" s="198"/>
      <c r="G32" s="199"/>
      <c r="H32" s="199"/>
      <c r="I32" s="199"/>
      <c r="J32" s="199"/>
      <c r="K32" s="199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200"/>
      <c r="AD32" s="199"/>
      <c r="AE32" s="201"/>
      <c r="AF32" s="202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200"/>
    </row>
    <row r="33" spans="3:56" ht="20.25" customHeight="1" x14ac:dyDescent="0.25">
      <c r="C33" s="377">
        <v>6</v>
      </c>
      <c r="D33" s="371" t="s">
        <v>208</v>
      </c>
      <c r="E33" s="379">
        <v>2</v>
      </c>
      <c r="F33" s="395" t="s">
        <v>201</v>
      </c>
      <c r="G33" s="376"/>
      <c r="H33" s="376"/>
      <c r="I33" s="376"/>
      <c r="J33" s="376"/>
      <c r="K33" s="376"/>
      <c r="L33" s="205"/>
      <c r="M33" s="183"/>
      <c r="N33" s="183"/>
      <c r="O33" s="183"/>
      <c r="P33" s="183"/>
      <c r="Q33" s="183"/>
      <c r="R33" s="208"/>
      <c r="S33" s="183"/>
      <c r="T33" s="183"/>
      <c r="U33" s="183"/>
      <c r="V33" s="183"/>
      <c r="W33" s="183"/>
      <c r="X33" s="183"/>
      <c r="Y33" s="183"/>
      <c r="Z33" s="183"/>
      <c r="AA33" s="183"/>
      <c r="AB33" s="183"/>
      <c r="AC33" s="197"/>
      <c r="AD33" s="379">
        <v>2</v>
      </c>
      <c r="AE33" s="371" t="s">
        <v>208</v>
      </c>
      <c r="AF33" s="373">
        <v>1</v>
      </c>
      <c r="AK33" s="396" t="s">
        <v>285</v>
      </c>
      <c r="AL33" s="397"/>
      <c r="AM33" s="397"/>
      <c r="AN33" s="397"/>
      <c r="AO33" s="397"/>
      <c r="AP33" s="397"/>
      <c r="AQ33" s="397"/>
      <c r="AR33" s="397"/>
      <c r="AS33" s="397"/>
      <c r="AT33" s="397"/>
      <c r="AU33" s="397"/>
      <c r="AV33" s="397"/>
      <c r="AW33" s="183"/>
      <c r="AX33" s="183"/>
      <c r="AY33" s="183"/>
      <c r="AZ33" s="183"/>
      <c r="BA33" s="183"/>
      <c r="BB33" s="183"/>
      <c r="BC33" s="183"/>
      <c r="BD33" s="197"/>
    </row>
    <row r="34" spans="3:56" ht="21" customHeight="1" x14ac:dyDescent="0.25">
      <c r="C34" s="378"/>
      <c r="D34" s="372"/>
      <c r="E34" s="380"/>
      <c r="F34" s="209"/>
      <c r="G34" s="183"/>
      <c r="H34" s="183"/>
      <c r="I34" s="183"/>
      <c r="J34" s="183"/>
      <c r="K34" s="183"/>
      <c r="L34" s="375" t="s">
        <v>203</v>
      </c>
      <c r="M34" s="376"/>
      <c r="N34" s="376"/>
      <c r="O34" s="376"/>
      <c r="P34" s="376"/>
      <c r="Q34" s="376"/>
      <c r="R34" s="203"/>
      <c r="S34" s="183"/>
      <c r="T34" s="183"/>
      <c r="U34" s="183"/>
      <c r="V34" s="183"/>
      <c r="W34" s="183"/>
      <c r="X34" s="183"/>
      <c r="Y34" s="183"/>
      <c r="Z34" s="183"/>
      <c r="AA34" s="183"/>
      <c r="AB34" s="183"/>
      <c r="AC34" s="197"/>
      <c r="AD34" s="380"/>
      <c r="AE34" s="372"/>
      <c r="AF34" s="374"/>
      <c r="AG34" s="183"/>
      <c r="AH34" s="183"/>
      <c r="AI34" s="183"/>
      <c r="AJ34" s="183"/>
      <c r="AV34" s="183"/>
      <c r="AW34" s="183"/>
      <c r="AX34" s="183"/>
      <c r="AY34" s="183"/>
      <c r="AZ34" s="183"/>
      <c r="BA34" s="183"/>
      <c r="BB34" s="183"/>
      <c r="BC34" s="183"/>
      <c r="BD34" s="197"/>
    </row>
    <row r="35" spans="3:56" ht="5.25" customHeight="1" x14ac:dyDescent="0.25">
      <c r="C35" s="198"/>
      <c r="D35" s="199"/>
      <c r="E35" s="199"/>
      <c r="F35" s="198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200"/>
      <c r="AD35" s="199"/>
      <c r="AE35" s="201"/>
      <c r="AF35" s="202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200"/>
    </row>
    <row r="36" spans="3:56" ht="23.25" customHeight="1" x14ac:dyDescent="0.25">
      <c r="C36" s="377">
        <v>7</v>
      </c>
      <c r="D36" s="371" t="s">
        <v>182</v>
      </c>
      <c r="E36" s="379">
        <v>2</v>
      </c>
      <c r="F36" s="395" t="s">
        <v>201</v>
      </c>
      <c r="G36" s="376"/>
      <c r="H36" s="376"/>
      <c r="I36" s="376"/>
      <c r="J36" s="376"/>
      <c r="K36" s="376"/>
      <c r="L36" s="205"/>
      <c r="M36" s="183"/>
      <c r="N36" s="183"/>
      <c r="O36" s="183"/>
      <c r="P36" s="183"/>
      <c r="Q36" s="183"/>
      <c r="R36" s="208"/>
      <c r="S36" s="183"/>
      <c r="T36" s="183"/>
      <c r="U36" s="183"/>
      <c r="V36" s="183"/>
      <c r="W36" s="183"/>
      <c r="X36" s="183"/>
      <c r="Y36" s="183"/>
      <c r="Z36" s="183"/>
      <c r="AA36" s="183"/>
      <c r="AB36" s="183"/>
      <c r="AC36" s="197"/>
      <c r="AD36" s="379">
        <v>2</v>
      </c>
      <c r="AE36" s="371" t="s">
        <v>182</v>
      </c>
      <c r="AF36" s="373">
        <v>1</v>
      </c>
      <c r="AG36" s="183"/>
      <c r="AH36" s="396" t="s">
        <v>284</v>
      </c>
      <c r="AI36" s="397"/>
      <c r="AJ36" s="397"/>
      <c r="AK36" s="397"/>
      <c r="AL36" s="397"/>
      <c r="AM36" s="397"/>
      <c r="AN36" s="397"/>
      <c r="AO36" s="397"/>
      <c r="AP36" s="397"/>
      <c r="AQ36" s="397"/>
      <c r="AR36" s="397"/>
      <c r="AS36" s="397"/>
      <c r="AT36" s="183"/>
      <c r="AU36" s="183"/>
      <c r="AV36" s="183"/>
      <c r="AW36" s="183"/>
      <c r="AX36" s="183"/>
      <c r="AY36" s="183"/>
      <c r="AZ36" s="183"/>
      <c r="BA36" s="183"/>
      <c r="BB36" s="183"/>
      <c r="BC36" s="183"/>
      <c r="BD36" s="197"/>
    </row>
    <row r="37" spans="3:56" ht="25.5" customHeight="1" x14ac:dyDescent="0.25">
      <c r="C37" s="378"/>
      <c r="D37" s="372"/>
      <c r="E37" s="380"/>
      <c r="F37" s="209"/>
      <c r="G37" s="183"/>
      <c r="H37" s="183"/>
      <c r="I37" s="183"/>
      <c r="J37" s="183"/>
      <c r="K37" s="183"/>
      <c r="L37" s="375" t="s">
        <v>203</v>
      </c>
      <c r="M37" s="376"/>
      <c r="N37" s="376"/>
      <c r="O37" s="376"/>
      <c r="P37" s="376"/>
      <c r="Q37" s="376"/>
      <c r="R37" s="203"/>
      <c r="S37" s="183"/>
      <c r="T37" s="183"/>
      <c r="U37" s="183"/>
      <c r="V37" s="183"/>
      <c r="W37" s="183"/>
      <c r="X37" s="183"/>
      <c r="Y37" s="183"/>
      <c r="Z37" s="183"/>
      <c r="AA37" s="183"/>
      <c r="AB37" s="183"/>
      <c r="AC37" s="197"/>
      <c r="AD37" s="380"/>
      <c r="AE37" s="372"/>
      <c r="AF37" s="374"/>
      <c r="AG37" s="183"/>
      <c r="AH37" s="183"/>
      <c r="AI37" s="183"/>
      <c r="AJ37" s="183"/>
      <c r="AK37" s="183"/>
      <c r="AL37" s="183"/>
      <c r="AM37" s="183"/>
      <c r="AN37" s="183"/>
      <c r="AO37" s="183"/>
      <c r="AP37" s="183"/>
      <c r="AQ37" s="183"/>
      <c r="AR37" s="183"/>
      <c r="AS37" s="183"/>
      <c r="AT37" s="183"/>
      <c r="AU37" s="183"/>
      <c r="AV37" s="183"/>
      <c r="AW37" s="183"/>
      <c r="AX37" s="183"/>
      <c r="AY37" s="183"/>
      <c r="AZ37" s="183"/>
      <c r="BA37" s="183"/>
      <c r="BB37" s="183"/>
      <c r="BC37" s="183"/>
      <c r="BD37" s="197"/>
    </row>
    <row r="38" spans="3:56" ht="5.25" customHeight="1" x14ac:dyDescent="0.25">
      <c r="C38" s="198"/>
      <c r="D38" s="199"/>
      <c r="E38" s="199"/>
      <c r="F38" s="198"/>
      <c r="G38" s="199"/>
      <c r="H38" s="199"/>
      <c r="I38" s="199"/>
      <c r="J38" s="199"/>
      <c r="K38" s="199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200"/>
      <c r="AD38" s="199"/>
      <c r="AE38" s="201"/>
      <c r="AF38" s="202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200"/>
    </row>
    <row r="39" spans="3:56" ht="21.75" customHeight="1" x14ac:dyDescent="0.25">
      <c r="C39" s="388">
        <v>8</v>
      </c>
      <c r="D39" s="390" t="s">
        <v>183</v>
      </c>
      <c r="E39" s="369">
        <v>2</v>
      </c>
      <c r="F39" s="213"/>
      <c r="G39" s="392" t="s">
        <v>209</v>
      </c>
      <c r="H39" s="393"/>
      <c r="I39" s="393"/>
      <c r="J39" s="393"/>
      <c r="K39" s="393"/>
      <c r="L39" s="393"/>
      <c r="M39" s="393"/>
      <c r="N39" s="393"/>
      <c r="O39" s="394"/>
      <c r="P39" s="183"/>
      <c r="Q39" s="183"/>
      <c r="R39" s="208"/>
      <c r="S39" s="183"/>
      <c r="T39" s="183"/>
      <c r="U39" s="183"/>
      <c r="V39" s="183"/>
      <c r="W39" s="183"/>
      <c r="X39" s="183"/>
      <c r="Y39" s="183"/>
      <c r="Z39" s="183"/>
      <c r="AA39" s="183"/>
      <c r="AB39" s="183"/>
      <c r="AC39" s="197"/>
      <c r="AD39" s="369">
        <v>2</v>
      </c>
      <c r="AE39" s="390" t="s">
        <v>183</v>
      </c>
      <c r="AF39" s="401">
        <v>0</v>
      </c>
      <c r="AG39" s="183"/>
      <c r="AH39" s="183"/>
      <c r="AI39" s="183"/>
      <c r="AJ39" s="183"/>
      <c r="AK39" s="183"/>
      <c r="AL39" s="183"/>
      <c r="AM39" s="183"/>
      <c r="AN39" s="183"/>
      <c r="AO39" s="183"/>
      <c r="AP39" s="183"/>
      <c r="AQ39" s="183"/>
      <c r="AR39" s="183"/>
      <c r="AS39" s="183"/>
      <c r="AT39" s="183"/>
      <c r="AU39" s="183"/>
      <c r="AV39" s="183"/>
      <c r="AW39" s="183"/>
      <c r="AX39" s="183"/>
      <c r="AY39" s="183"/>
      <c r="AZ39" s="183"/>
      <c r="BA39" s="183"/>
      <c r="BB39" s="183"/>
      <c r="BC39" s="183"/>
      <c r="BD39" s="197"/>
    </row>
    <row r="40" spans="3:56" ht="27.75" customHeight="1" thickBot="1" x14ac:dyDescent="0.3">
      <c r="C40" s="389"/>
      <c r="D40" s="391"/>
      <c r="E40" s="370"/>
      <c r="F40" s="210"/>
      <c r="G40" s="183"/>
      <c r="H40" s="183"/>
      <c r="I40" s="183"/>
      <c r="J40" s="183"/>
      <c r="K40" s="183"/>
      <c r="L40" s="214"/>
      <c r="M40" s="183"/>
      <c r="N40" s="183"/>
      <c r="O40" s="183"/>
      <c r="P40" s="381" t="s">
        <v>207</v>
      </c>
      <c r="Q40" s="382"/>
      <c r="R40" s="382"/>
      <c r="S40" s="382"/>
      <c r="T40" s="382"/>
      <c r="U40" s="382"/>
      <c r="V40" s="183"/>
      <c r="W40" s="183"/>
      <c r="X40" s="183"/>
      <c r="Y40" s="183"/>
      <c r="Z40" s="183"/>
      <c r="AA40" s="183"/>
      <c r="AB40" s="183"/>
      <c r="AC40" s="217"/>
      <c r="AD40" s="370"/>
      <c r="AE40" s="391"/>
      <c r="AF40" s="402"/>
      <c r="AG40" s="203"/>
      <c r="AH40" s="183"/>
      <c r="AI40" s="183"/>
      <c r="AJ40" s="183"/>
      <c r="AK40" s="183"/>
      <c r="AL40" s="183"/>
      <c r="AM40" s="183"/>
      <c r="AN40" s="183"/>
      <c r="AO40" s="183"/>
      <c r="AP40" s="183"/>
      <c r="AQ40" s="183"/>
      <c r="AR40" s="183"/>
      <c r="AS40" s="183"/>
      <c r="AT40" s="183"/>
      <c r="AU40" s="183"/>
      <c r="AV40" s="183"/>
      <c r="AW40" s="183"/>
      <c r="AX40" s="183"/>
      <c r="AY40" s="183"/>
      <c r="AZ40" s="183"/>
      <c r="BA40" s="183"/>
      <c r="BB40" s="183"/>
      <c r="BC40" s="183"/>
      <c r="BD40" s="217"/>
    </row>
    <row r="41" spans="3:56" ht="15.75" thickBot="1" x14ac:dyDescent="0.3">
      <c r="C41" s="218" t="s">
        <v>196</v>
      </c>
      <c r="D41" s="219" t="s">
        <v>177</v>
      </c>
      <c r="E41" s="220"/>
      <c r="F41" s="221">
        <v>7</v>
      </c>
      <c r="G41" s="222">
        <v>8</v>
      </c>
      <c r="H41" s="222">
        <v>9</v>
      </c>
      <c r="I41" s="222">
        <v>10</v>
      </c>
      <c r="J41" s="222">
        <v>11</v>
      </c>
      <c r="K41" s="222">
        <v>12</v>
      </c>
      <c r="L41" s="222">
        <v>13</v>
      </c>
      <c r="M41" s="222">
        <v>14</v>
      </c>
      <c r="N41" s="222">
        <v>15</v>
      </c>
      <c r="O41" s="222">
        <v>16</v>
      </c>
      <c r="P41" s="222">
        <v>17</v>
      </c>
      <c r="Q41" s="222">
        <v>18</v>
      </c>
      <c r="R41" s="223">
        <v>19</v>
      </c>
      <c r="S41" s="223">
        <v>20</v>
      </c>
      <c r="T41" s="223">
        <v>21</v>
      </c>
      <c r="U41" s="223">
        <v>22</v>
      </c>
      <c r="V41" s="223">
        <v>23</v>
      </c>
      <c r="W41" s="223">
        <v>24</v>
      </c>
      <c r="X41" s="223">
        <v>1</v>
      </c>
      <c r="Y41" s="223">
        <v>2</v>
      </c>
      <c r="Z41" s="223">
        <v>3</v>
      </c>
      <c r="AA41" s="223">
        <v>4</v>
      </c>
      <c r="AB41" s="223">
        <v>5</v>
      </c>
      <c r="AC41" s="224">
        <v>6</v>
      </c>
      <c r="AD41" s="220"/>
      <c r="AE41" s="219" t="s">
        <v>177</v>
      </c>
      <c r="AF41" s="225"/>
      <c r="AG41" s="223">
        <v>7</v>
      </c>
      <c r="AH41" s="222">
        <v>8</v>
      </c>
      <c r="AI41" s="222">
        <v>9</v>
      </c>
      <c r="AJ41" s="222">
        <v>10</v>
      </c>
      <c r="AK41" s="222">
        <v>11</v>
      </c>
      <c r="AL41" s="222">
        <v>12</v>
      </c>
      <c r="AM41" s="222">
        <v>13</v>
      </c>
      <c r="AN41" s="222">
        <v>14</v>
      </c>
      <c r="AO41" s="222">
        <v>15</v>
      </c>
      <c r="AP41" s="222">
        <v>16</v>
      </c>
      <c r="AQ41" s="222">
        <v>17</v>
      </c>
      <c r="AR41" s="222">
        <v>18</v>
      </c>
      <c r="AS41" s="223">
        <v>19</v>
      </c>
      <c r="AT41" s="223">
        <v>20</v>
      </c>
      <c r="AU41" s="223">
        <v>21</v>
      </c>
      <c r="AV41" s="223">
        <v>22</v>
      </c>
      <c r="AW41" s="223">
        <v>23</v>
      </c>
      <c r="AX41" s="223">
        <v>24</v>
      </c>
      <c r="AY41" s="223">
        <v>1</v>
      </c>
      <c r="AZ41" s="223">
        <v>2</v>
      </c>
      <c r="BA41" s="223">
        <v>3</v>
      </c>
      <c r="BB41" s="223">
        <v>4</v>
      </c>
      <c r="BC41" s="223">
        <v>5</v>
      </c>
      <c r="BD41" s="224">
        <v>6</v>
      </c>
    </row>
    <row r="42" spans="3:56" ht="15.75" thickBot="1" x14ac:dyDescent="0.3">
      <c r="C42" s="383" t="s">
        <v>210</v>
      </c>
      <c r="D42" s="384"/>
      <c r="E42" s="384"/>
      <c r="F42" s="226">
        <v>9</v>
      </c>
      <c r="G42" s="385">
        <v>12</v>
      </c>
      <c r="H42" s="386"/>
      <c r="I42" s="386"/>
      <c r="J42" s="386"/>
      <c r="K42" s="386"/>
      <c r="L42" s="386"/>
      <c r="M42" s="386"/>
      <c r="N42" s="386"/>
      <c r="O42" s="386"/>
      <c r="P42" s="386"/>
      <c r="Q42" s="387"/>
      <c r="R42" s="227">
        <v>5</v>
      </c>
      <c r="S42" s="386">
        <v>4</v>
      </c>
      <c r="T42" s="386"/>
      <c r="U42" s="386"/>
      <c r="V42" s="385">
        <v>2</v>
      </c>
      <c r="W42" s="386"/>
      <c r="X42" s="386"/>
      <c r="Y42" s="386"/>
      <c r="Z42" s="386"/>
      <c r="AA42" s="386"/>
      <c r="AB42" s="386"/>
      <c r="AC42" s="387"/>
      <c r="AD42" s="228"/>
      <c r="AE42" s="229"/>
      <c r="AF42" s="230"/>
      <c r="AG42" s="228">
        <v>5</v>
      </c>
      <c r="AH42" s="385">
        <v>8</v>
      </c>
      <c r="AI42" s="386"/>
      <c r="AJ42" s="387"/>
      <c r="AK42" s="385">
        <v>9</v>
      </c>
      <c r="AL42" s="386"/>
      <c r="AM42" s="386"/>
      <c r="AN42" s="386"/>
      <c r="AO42" s="386"/>
      <c r="AP42" s="386"/>
      <c r="AQ42" s="386"/>
      <c r="AR42" s="387"/>
      <c r="AS42" s="385">
        <v>4</v>
      </c>
      <c r="AT42" s="386"/>
      <c r="AU42" s="387"/>
      <c r="AV42" s="385">
        <v>3</v>
      </c>
      <c r="AW42" s="386"/>
      <c r="AX42" s="386"/>
      <c r="AY42" s="386"/>
      <c r="AZ42" s="386"/>
      <c r="BA42" s="386"/>
      <c r="BB42" s="386"/>
      <c r="BC42" s="386"/>
      <c r="BD42" s="387"/>
    </row>
    <row r="43" spans="3:56" x14ac:dyDescent="0.25">
      <c r="E43" s="231">
        <f>SUM(E4:E42)</f>
        <v>28</v>
      </c>
      <c r="AD43" s="231">
        <f>SUM(AD4:AD42)</f>
        <v>28</v>
      </c>
      <c r="AF43" s="231">
        <f>SUM(AF4:AF42)</f>
        <v>20</v>
      </c>
    </row>
    <row r="46" spans="3:56" x14ac:dyDescent="0.25">
      <c r="D46" s="180" t="s">
        <v>211</v>
      </c>
    </row>
  </sheetData>
  <sheetProtection algorithmName="SHA-512" hashValue="ekOy7hfUqwS0/Nqu/p6WygLRPOiqPb35N3dJINvOeSfefCKqkgvdwkjyRMXCgLIObolhwkyFWVzFIvtLROD3qQ==" saltValue="rZbU5YCYAu0Vz8VRffIQoQ==" spinCount="100000" sheet="1" objects="1" scenarios="1"/>
  <mergeCells count="119">
    <mergeCell ref="BJ2:BJ3"/>
    <mergeCell ref="BK2:BK3"/>
    <mergeCell ref="C14:C19"/>
    <mergeCell ref="D14:D19"/>
    <mergeCell ref="E14:E19"/>
    <mergeCell ref="C21:C25"/>
    <mergeCell ref="D21:D25"/>
    <mergeCell ref="E21:E25"/>
    <mergeCell ref="BI2:BI3"/>
    <mergeCell ref="BH2:BH3"/>
    <mergeCell ref="BG2:BG3"/>
    <mergeCell ref="BF2:BF3"/>
    <mergeCell ref="F2:AC2"/>
    <mergeCell ref="AD2:AD3"/>
    <mergeCell ref="AE2:AE3"/>
    <mergeCell ref="AF2:AF3"/>
    <mergeCell ref="AG2:BD2"/>
    <mergeCell ref="C2:C3"/>
    <mergeCell ref="D2:D3"/>
    <mergeCell ref="E2:E3"/>
    <mergeCell ref="C4:C11"/>
    <mergeCell ref="D4:D11"/>
    <mergeCell ref="E4:E11"/>
    <mergeCell ref="AS8:BD8"/>
    <mergeCell ref="R9:AC9"/>
    <mergeCell ref="AS9:BD9"/>
    <mergeCell ref="R10:AC10"/>
    <mergeCell ref="R11:AC11"/>
    <mergeCell ref="F4:Q4"/>
    <mergeCell ref="AD4:AD11"/>
    <mergeCell ref="AE4:AE11"/>
    <mergeCell ref="AF4:AF11"/>
    <mergeCell ref="AG4:AR4"/>
    <mergeCell ref="F5:Q5"/>
    <mergeCell ref="AG5:AR5"/>
    <mergeCell ref="F6:Q6"/>
    <mergeCell ref="AG6:AR6"/>
    <mergeCell ref="F7:Q7"/>
    <mergeCell ref="AG7:AR7"/>
    <mergeCell ref="R8:AC8"/>
    <mergeCell ref="AS10:BD10"/>
    <mergeCell ref="AS11:BD11"/>
    <mergeCell ref="F21:K21"/>
    <mergeCell ref="AD21:AD25"/>
    <mergeCell ref="AE21:AE25"/>
    <mergeCell ref="AF21:AF25"/>
    <mergeCell ref="AG21:AR21"/>
    <mergeCell ref="L22:Q22"/>
    <mergeCell ref="AG22:AR22"/>
    <mergeCell ref="G23:L23"/>
    <mergeCell ref="F14:K14"/>
    <mergeCell ref="AD14:AD19"/>
    <mergeCell ref="AE14:AE19"/>
    <mergeCell ref="AF14:AF19"/>
    <mergeCell ref="F15:K15"/>
    <mergeCell ref="F16:K16"/>
    <mergeCell ref="L17:Q17"/>
    <mergeCell ref="L18:Q18"/>
    <mergeCell ref="L19:Q19"/>
    <mergeCell ref="AH14:AS14"/>
    <mergeCell ref="AH25:AS25"/>
    <mergeCell ref="AS23:BD23"/>
    <mergeCell ref="M24:R24"/>
    <mergeCell ref="AS24:BD24"/>
    <mergeCell ref="P31:U31"/>
    <mergeCell ref="AG31:AR31"/>
    <mergeCell ref="C30:C31"/>
    <mergeCell ref="D30:D31"/>
    <mergeCell ref="E30:E31"/>
    <mergeCell ref="G30:O30"/>
    <mergeCell ref="AD30:AD31"/>
    <mergeCell ref="C27:C28"/>
    <mergeCell ref="D27:D28"/>
    <mergeCell ref="E27:E28"/>
    <mergeCell ref="F27:K27"/>
    <mergeCell ref="AD27:AD28"/>
    <mergeCell ref="AE27:AE28"/>
    <mergeCell ref="AF27:AF28"/>
    <mergeCell ref="AG27:AR27"/>
    <mergeCell ref="L28:Q28"/>
    <mergeCell ref="AG28:AR28"/>
    <mergeCell ref="AH36:AS36"/>
    <mergeCell ref="AK33:AV33"/>
    <mergeCell ref="BG11:BK11"/>
    <mergeCell ref="AH42:AJ42"/>
    <mergeCell ref="AK42:AR42"/>
    <mergeCell ref="AS42:AU42"/>
    <mergeCell ref="AV42:BD42"/>
    <mergeCell ref="AE39:AE40"/>
    <mergeCell ref="AF39:AF40"/>
    <mergeCell ref="AE36:AE37"/>
    <mergeCell ref="AF36:AF37"/>
    <mergeCell ref="AE30:AE31"/>
    <mergeCell ref="AF30:AF31"/>
    <mergeCell ref="AG30:AR30"/>
    <mergeCell ref="AD39:AD40"/>
    <mergeCell ref="AE33:AE34"/>
    <mergeCell ref="AF33:AF34"/>
    <mergeCell ref="L34:Q34"/>
    <mergeCell ref="C36:C37"/>
    <mergeCell ref="D36:D37"/>
    <mergeCell ref="E36:E37"/>
    <mergeCell ref="P40:U40"/>
    <mergeCell ref="C42:E42"/>
    <mergeCell ref="G42:Q42"/>
    <mergeCell ref="S42:U42"/>
    <mergeCell ref="V42:AC42"/>
    <mergeCell ref="C39:C40"/>
    <mergeCell ref="D39:D40"/>
    <mergeCell ref="E39:E40"/>
    <mergeCell ref="G39:O39"/>
    <mergeCell ref="F36:K36"/>
    <mergeCell ref="AD36:AD37"/>
    <mergeCell ref="L37:Q37"/>
    <mergeCell ref="C33:C34"/>
    <mergeCell ref="D33:D34"/>
    <mergeCell ref="E33:E34"/>
    <mergeCell ref="F33:K33"/>
    <mergeCell ref="AD33:AD34"/>
  </mergeCells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A362F-8B83-4C9E-8066-225C6DF5CF10}">
  <sheetPr codeName="Planilha2">
    <tabColor rgb="FF244061"/>
  </sheetPr>
  <dimension ref="A1:Z151"/>
  <sheetViews>
    <sheetView showGridLines="0" workbookViewId="0">
      <selection activeCell="C14" sqref="C14:D14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">
        <v>297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233</v>
      </c>
      <c r="D2" s="255" t="s">
        <v>1</v>
      </c>
    </row>
    <row r="3" spans="1:26" x14ac:dyDescent="0.2">
      <c r="A3" s="471" t="s">
        <v>2</v>
      </c>
      <c r="B3" s="465"/>
      <c r="C3" s="127" t="s">
        <v>3</v>
      </c>
      <c r="D3" s="242"/>
    </row>
    <row r="4" spans="1:26" x14ac:dyDescent="0.2">
      <c r="A4" s="13" t="s">
        <v>4</v>
      </c>
      <c r="B4" s="15"/>
      <c r="C4" s="159" t="s">
        <v>229</v>
      </c>
      <c r="D4" s="242"/>
    </row>
    <row r="5" spans="1:26" x14ac:dyDescent="0.2">
      <c r="A5" s="471" t="s">
        <v>5</v>
      </c>
      <c r="B5" s="465"/>
      <c r="C5" s="160">
        <v>3.5</v>
      </c>
      <c r="D5" s="242"/>
    </row>
    <row r="6" spans="1:26" x14ac:dyDescent="0.2">
      <c r="A6" s="472" t="s">
        <v>6</v>
      </c>
      <c r="B6" s="465"/>
      <c r="C6" s="128">
        <v>15</v>
      </c>
      <c r="D6" s="242"/>
    </row>
    <row r="7" spans="1:26" ht="25.5" x14ac:dyDescent="0.2">
      <c r="A7" s="473" t="s">
        <v>230</v>
      </c>
      <c r="B7" s="465"/>
      <c r="C7" s="129">
        <v>0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12</v>
      </c>
      <c r="D8" s="242"/>
    </row>
    <row r="9" spans="1:26" x14ac:dyDescent="0.2">
      <c r="A9" s="472" t="s">
        <v>9</v>
      </c>
      <c r="B9" s="465"/>
      <c r="C9" s="131">
        <v>12</v>
      </c>
      <c r="D9" s="242"/>
    </row>
    <row r="10" spans="1:26" x14ac:dyDescent="0.2">
      <c r="A10" s="473" t="s">
        <v>231</v>
      </c>
      <c r="B10" s="465"/>
      <c r="C10" s="253">
        <v>0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248</v>
      </c>
      <c r="D13" s="242"/>
    </row>
    <row r="14" spans="1:26" ht="25.5" x14ac:dyDescent="0.2">
      <c r="A14" s="471" t="s">
        <v>14</v>
      </c>
      <c r="B14" s="465"/>
      <c r="C14" s="252">
        <v>196.05</v>
      </c>
      <c r="D14" s="257" t="s">
        <v>312</v>
      </c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262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2211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30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15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1.67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0</v>
      </c>
      <c r="D47" s="14"/>
    </row>
    <row r="48" spans="1:4" x14ac:dyDescent="0.2">
      <c r="A48" s="472" t="s">
        <v>36</v>
      </c>
      <c r="B48" s="465"/>
      <c r="C48" s="24">
        <f>C20/C45</f>
        <v>10.050000000000001</v>
      </c>
      <c r="D48" s="14"/>
    </row>
    <row r="49" spans="1:4" x14ac:dyDescent="0.2">
      <c r="A49" s="472" t="s">
        <v>37</v>
      </c>
      <c r="B49" s="465"/>
      <c r="C49" s="24">
        <f>C48*(1+B60+B59+B61)</f>
        <v>13.065000000000001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2.6130000000000004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296" t="s">
        <v>1</v>
      </c>
    </row>
    <row r="53" spans="1:4" x14ac:dyDescent="0.2">
      <c r="A53" s="489" t="s">
        <v>40</v>
      </c>
      <c r="B53" s="490"/>
      <c r="C53" s="491"/>
      <c r="D53" s="297"/>
    </row>
    <row r="54" spans="1:4" x14ac:dyDescent="0.2">
      <c r="A54" s="26" t="s">
        <v>41</v>
      </c>
      <c r="B54" s="27" t="s">
        <v>42</v>
      </c>
      <c r="C54" s="28" t="s">
        <v>43</v>
      </c>
      <c r="D54" s="297"/>
    </row>
    <row r="55" spans="1:4" x14ac:dyDescent="0.2">
      <c r="A55" s="29" t="s">
        <v>44</v>
      </c>
      <c r="B55" s="30"/>
      <c r="C55" s="31">
        <f>IF(C46&lt;C45,(C48*C46),C20)</f>
        <v>2211</v>
      </c>
      <c r="D55" s="297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297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29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0</v>
      </c>
      <c r="D58" s="299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29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29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297"/>
    </row>
    <row r="62" spans="1:4" x14ac:dyDescent="0.2">
      <c r="A62" s="32" t="s">
        <v>47</v>
      </c>
      <c r="B62" s="30"/>
      <c r="C62" s="292">
        <f>TRUNC(ROUND((C56+C57+C58)*20%,2),2)</f>
        <v>0</v>
      </c>
      <c r="D62" s="291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301">
        <f>C36*C6</f>
        <v>25.049999999999997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304"/>
      <c r="D65" s="305"/>
    </row>
    <row r="66" spans="1:26" x14ac:dyDescent="0.2">
      <c r="A66" s="178" t="s">
        <v>240</v>
      </c>
      <c r="B66" s="30"/>
      <c r="C66" s="302">
        <f>IF(ISNUMBER(C14),C14,0)</f>
        <v>196.05</v>
      </c>
      <c r="D66" s="291"/>
    </row>
    <row r="67" spans="1:26" x14ac:dyDescent="0.2">
      <c r="A67" s="33" t="s">
        <v>48</v>
      </c>
      <c r="B67" s="30"/>
      <c r="C67" s="31">
        <f>SUM(C55:C66)</f>
        <v>3095.4000000000005</v>
      </c>
      <c r="D67" s="297"/>
    </row>
    <row r="68" spans="1:26" ht="13.5" thickBot="1" x14ac:dyDescent="0.25">
      <c r="A68" s="34" t="s">
        <v>49</v>
      </c>
      <c r="B68" s="35"/>
      <c r="C68" s="36">
        <f>C67</f>
        <v>3095.4000000000005</v>
      </c>
      <c r="D68" s="300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8.5094010467144775E-3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0.12793176972281448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0.13644117076952894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619.08000000000004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46.43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6.19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30.95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77.39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55.72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247.63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18.57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92.86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1194.82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2.7776700911029267E-2</v>
      </c>
      <c r="C97" s="73">
        <f>TRUNC(ROUND(($C$68/3)/12,2),2)</f>
        <v>85.98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257.85000000000002</v>
      </c>
      <c r="D98" s="243" t="s">
        <v>228</v>
      </c>
    </row>
    <row r="99" spans="1:26" x14ac:dyDescent="0.2">
      <c r="A99" s="33" t="s">
        <v>63</v>
      </c>
      <c r="B99" s="63">
        <f>B97+B98</f>
        <v>0.11107670091102927</v>
      </c>
      <c r="C99" s="246">
        <f>SUM(C97:C98)</f>
        <v>343.83000000000004</v>
      </c>
      <c r="D99" s="242"/>
    </row>
    <row r="100" spans="1:26" x14ac:dyDescent="0.2">
      <c r="A100" s="49" t="s">
        <v>129</v>
      </c>
      <c r="B100" s="30">
        <f>B99*B93</f>
        <v>4.2875606551657307E-2</v>
      </c>
      <c r="C100" s="73">
        <f>TRUNC(ROUND($C$68*B100,2),2)</f>
        <v>132.72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0.15395230746268657</v>
      </c>
      <c r="C101" s="247">
        <f>SUM(C99:C100)</f>
        <v>476.55000000000007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2.17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0.93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3.1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81.72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6.54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3.4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98.74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4.0199999999999996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38.07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123.82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356.31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257.85000000000002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58.19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71.5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32.19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53.24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472.97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182.63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655.6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2.5844801964204946E-2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2.4361956451508685E-2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3.1210828972022996E-2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1194.82</v>
      </c>
      <c r="D136" s="14"/>
    </row>
    <row r="137" spans="1:4" x14ac:dyDescent="0.2">
      <c r="A137" s="43" t="s">
        <v>115</v>
      </c>
      <c r="B137" s="30">
        <f>B101</f>
        <v>0.15395230746268657</v>
      </c>
      <c r="C137" s="31">
        <f>C101</f>
        <v>476.55000000000007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3.1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356.31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655.6</v>
      </c>
      <c r="D140" s="14"/>
    </row>
    <row r="141" spans="1:4" ht="13.5" thickBot="1" x14ac:dyDescent="0.25">
      <c r="A141" s="55" t="s">
        <v>61</v>
      </c>
      <c r="B141" s="56">
        <f>SUM(B133:B140)</f>
        <v>0.94928189485042336</v>
      </c>
      <c r="C141" s="57">
        <f>SUM(C133:C140)</f>
        <v>2938.3999999999996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6456.14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hN0b1pkzI5RZgCkl5NTGshcE0vym9TL6ajVLeChU+1QMLyJap4ILVYgof2gW095hH4pOAsVVSae+lGWUTlrOSw==" saltValue="NGmaN+S+IghTA+l2aXegTg==" spinCount="100000" sheet="1" objects="1" scenarios="1"/>
  <mergeCells count="52">
    <mergeCell ref="A120:C120"/>
    <mergeCell ref="A131:C131"/>
    <mergeCell ref="A53:C53"/>
    <mergeCell ref="A70:C70"/>
    <mergeCell ref="A80:D80"/>
    <mergeCell ref="A81:C81"/>
    <mergeCell ref="A82:C82"/>
    <mergeCell ref="A95:C95"/>
    <mergeCell ref="A103:C103"/>
    <mergeCell ref="A109:C109"/>
    <mergeCell ref="A47:B47"/>
    <mergeCell ref="A48:B48"/>
    <mergeCell ref="A49:B49"/>
    <mergeCell ref="A50:B50"/>
    <mergeCell ref="A52:C52"/>
    <mergeCell ref="A51:D51"/>
    <mergeCell ref="A41:D41"/>
    <mergeCell ref="A42:D42"/>
    <mergeCell ref="A44:C44"/>
    <mergeCell ref="A45:B45"/>
    <mergeCell ref="A46:B46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4A95D3A1-50C0-4100-B985-E00ACF2EFD38}"/>
    <hyperlink ref="A147" r:id="rId2" xr:uid="{EE1CCDCD-6C8B-4872-94E1-7196985E0C56}"/>
    <hyperlink ref="A148" r:id="rId3" xr:uid="{881808AA-7EF3-4F9F-9C71-D199962153A9}"/>
    <hyperlink ref="A149" r:id="rId4" xr:uid="{4F9DBA63-1ACC-4AF5-84F0-0CAE5EABF8B3}"/>
    <hyperlink ref="D23" r:id="rId5" xr:uid="{F947EA04-5FC0-409F-B085-58951053A974}"/>
    <hyperlink ref="D18" r:id="rId6" xr:uid="{9AD47E43-466D-44E6-AB8E-5CF70822D7BA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D671E-FE13-4FB6-ACAF-FCEDB6F989F3}">
  <sheetPr codeName="Planilha3">
    <tabColor rgb="FF244061"/>
  </sheetPr>
  <dimension ref="A1:Z151"/>
  <sheetViews>
    <sheetView showGridLines="0" workbookViewId="0">
      <selection activeCell="D15" sqref="D1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232</v>
      </c>
      <c r="D2" s="255" t="s">
        <v>1</v>
      </c>
    </row>
    <row r="3" spans="1:26" x14ac:dyDescent="0.2">
      <c r="A3" s="471" t="s">
        <v>2</v>
      </c>
      <c r="B3" s="465"/>
      <c r="C3" s="127" t="s">
        <v>3</v>
      </c>
      <c r="D3" s="242"/>
    </row>
    <row r="4" spans="1:26" x14ac:dyDescent="0.2">
      <c r="A4" s="13" t="s">
        <v>4</v>
      </c>
      <c r="B4" s="15"/>
      <c r="C4" s="159" t="s">
        <v>229</v>
      </c>
      <c r="D4" s="242"/>
    </row>
    <row r="5" spans="1:26" x14ac:dyDescent="0.2">
      <c r="A5" s="471" t="s">
        <v>5</v>
      </c>
      <c r="B5" s="465"/>
      <c r="C5" s="160">
        <v>3.5</v>
      </c>
      <c r="D5" s="242"/>
    </row>
    <row r="6" spans="1:26" x14ac:dyDescent="0.2">
      <c r="A6" s="472" t="s">
        <v>6</v>
      </c>
      <c r="B6" s="465"/>
      <c r="C6" s="128">
        <v>15</v>
      </c>
      <c r="D6" s="242"/>
    </row>
    <row r="7" spans="1:26" ht="25.5" x14ac:dyDescent="0.2">
      <c r="A7" s="473" t="s">
        <v>230</v>
      </c>
      <c r="B7" s="465"/>
      <c r="C7" s="129">
        <v>7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12</v>
      </c>
      <c r="D8" s="242"/>
    </row>
    <row r="9" spans="1:26" x14ac:dyDescent="0.2">
      <c r="A9" s="472" t="s">
        <v>9</v>
      </c>
      <c r="B9" s="465"/>
      <c r="C9" s="131">
        <v>12</v>
      </c>
      <c r="D9" s="242"/>
    </row>
    <row r="10" spans="1:26" x14ac:dyDescent="0.2">
      <c r="A10" s="473" t="s">
        <v>231</v>
      </c>
      <c r="B10" s="465"/>
      <c r="C10" s="253">
        <v>0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247</v>
      </c>
      <c r="D13" s="242"/>
    </row>
    <row r="14" spans="1:26" ht="25.5" x14ac:dyDescent="0.2">
      <c r="A14" s="471" t="s">
        <v>14</v>
      </c>
      <c r="B14" s="465"/>
      <c r="C14" s="252">
        <v>235.2</v>
      </c>
      <c r="D14" s="257" t="s">
        <v>314</v>
      </c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262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2211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30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15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1.67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0</v>
      </c>
      <c r="D47" s="14"/>
    </row>
    <row r="48" spans="1:4" x14ac:dyDescent="0.2">
      <c r="A48" s="472" t="s">
        <v>36</v>
      </c>
      <c r="B48" s="465"/>
      <c r="C48" s="24">
        <f>C20/C45</f>
        <v>10.050000000000001</v>
      </c>
      <c r="D48" s="14"/>
    </row>
    <row r="49" spans="1:4" x14ac:dyDescent="0.2">
      <c r="A49" s="472" t="s">
        <v>37</v>
      </c>
      <c r="B49" s="465"/>
      <c r="C49" s="24">
        <f>C48*(1+B60+B59+B61)</f>
        <v>13.065000000000001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2.6130000000000004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12" t="s">
        <v>1</v>
      </c>
    </row>
    <row r="53" spans="1:4" x14ac:dyDescent="0.2">
      <c r="A53" s="489" t="s">
        <v>40</v>
      </c>
      <c r="B53" s="490"/>
      <c r="C53" s="491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2211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274.37</v>
      </c>
      <c r="D57" s="1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235.17</v>
      </c>
      <c r="D58" s="162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292">
        <f>TRUNC(ROUND((C56+C57+C58)*20%,2),2)</f>
        <v>101.91</v>
      </c>
      <c r="D62" s="179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293">
        <f>C36*C6</f>
        <v>25.049999999999997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289"/>
      <c r="D65" s="291"/>
    </row>
    <row r="66" spans="1:26" x14ac:dyDescent="0.2">
      <c r="A66" s="178" t="s">
        <v>240</v>
      </c>
      <c r="B66" s="30"/>
      <c r="C66">
        <f>IF(ISNUMBER(C14),C14,0)</f>
        <v>235.2</v>
      </c>
      <c r="D66" s="179"/>
    </row>
    <row r="67" spans="1:26" x14ac:dyDescent="0.2">
      <c r="A67" s="33" t="s">
        <v>48</v>
      </c>
      <c r="B67" s="30"/>
      <c r="C67" s="31">
        <f>SUM(C55:C66)</f>
        <v>3746</v>
      </c>
      <c r="D67" s="14"/>
    </row>
    <row r="68" spans="1:26" ht="13.5" thickBot="1" x14ac:dyDescent="0.25">
      <c r="A68" s="34" t="s">
        <v>49</v>
      </c>
      <c r="B68" s="35"/>
      <c r="C68" s="36">
        <f>C67</f>
        <v>3746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7.0315002669514145E-3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0.10571276027762948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0.11274426054458089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749.2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56.19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7.49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37.46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93.65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67.430000000000007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299.68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ref="C91" si="3">TRUNC(ROUND($C$68*B91,2),2)</f>
        <v>22.48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112.38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4">SUM(B84:B92)</f>
        <v>0.38600000000000012</v>
      </c>
      <c r="C93" s="247">
        <f t="shared" si="4"/>
        <v>1445.96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2.7778964228510412E-2</v>
      </c>
      <c r="C97" s="73">
        <f>TRUNC(ROUND(($C$68/3)/12,2),2)</f>
        <v>104.06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312.04000000000002</v>
      </c>
      <c r="D98" s="243" t="s">
        <v>228</v>
      </c>
    </row>
    <row r="99" spans="1:26" x14ac:dyDescent="0.2">
      <c r="A99" s="33" t="s">
        <v>63</v>
      </c>
      <c r="B99" s="63">
        <f>B97+B98</f>
        <v>0.11107896422851041</v>
      </c>
      <c r="C99" s="246">
        <f>SUM(C97:C98)</f>
        <v>416.1</v>
      </c>
      <c r="D99" s="242"/>
    </row>
    <row r="100" spans="1:26" x14ac:dyDescent="0.2">
      <c r="A100" s="49" t="s">
        <v>129</v>
      </c>
      <c r="B100" s="30">
        <f>B99*B93</f>
        <v>4.2876480192205031E-2</v>
      </c>
      <c r="C100" s="73">
        <f>TRUNC(ROUND($C$68*B100,2),2)</f>
        <v>160.62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0.15395544442071543</v>
      </c>
      <c r="C101" s="247">
        <f>SUM(C99:C100)</f>
        <v>576.72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5">TRUNC(ROUND($C$68*B105,2),2)</f>
        <v>2.62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5"/>
        <v>1.1200000000000001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3.74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6">TRUNC(ROUND($C$68*B111,2),2)</f>
        <v>98.89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6"/>
        <v>7.91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6"/>
        <v>4.12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6"/>
        <v>119.5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6"/>
        <v>4.87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6"/>
        <v>46.08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6"/>
        <v>149.84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431.21000000000004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7">TRUNC(ROUND($C$68*B122,2),2)</f>
        <v>312.04000000000002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7"/>
        <v>70.42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7"/>
        <v>86.53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7"/>
        <v>38.96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7"/>
        <v>64.430000000000007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8">SUM(B122:B126)</f>
        <v>0.15279999999999999</v>
      </c>
      <c r="C127" s="246">
        <f t="shared" si="8"/>
        <v>572.38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221.01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9">B127+B128</f>
        <v>0.21179999999999999</v>
      </c>
      <c r="C129" s="247">
        <f t="shared" si="9"/>
        <v>793.39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2.1356113187399894E-2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10">C134/C$68</f>
        <v>2.0130806193272822E-2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10"/>
        <v>2.5790176187933795E-2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1445.96</v>
      </c>
      <c r="D136" s="14"/>
    </row>
    <row r="137" spans="1:4" x14ac:dyDescent="0.2">
      <c r="A137" s="43" t="s">
        <v>115</v>
      </c>
      <c r="B137" s="30">
        <f>B101</f>
        <v>0.15395544442071543</v>
      </c>
      <c r="C137" s="31">
        <f>C101</f>
        <v>576.72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3.74</v>
      </c>
      <c r="D138" s="14"/>
    </row>
    <row r="139" spans="1:4" x14ac:dyDescent="0.2">
      <c r="A139" s="29" t="s">
        <v>117</v>
      </c>
      <c r="B139" s="30">
        <f>B118</f>
        <v>0.11511199999999999</v>
      </c>
      <c r="C139" s="31">
        <f>C118</f>
        <v>431.21000000000004</v>
      </c>
      <c r="D139" s="14"/>
    </row>
    <row r="140" spans="1:4" x14ac:dyDescent="0.2">
      <c r="A140" s="32" t="s">
        <v>118</v>
      </c>
      <c r="B140" s="30">
        <f>B129</f>
        <v>0.21179999999999999</v>
      </c>
      <c r="C140" s="31">
        <f>C129</f>
        <v>793.39</v>
      </c>
      <c r="D140" s="14"/>
    </row>
    <row r="141" spans="1:4" ht="13.5" thickBot="1" x14ac:dyDescent="0.25">
      <c r="A141" s="55" t="s">
        <v>61</v>
      </c>
      <c r="B141" s="56">
        <f>SUM(B133:B140)</f>
        <v>0.93514453998932201</v>
      </c>
      <c r="C141" s="57">
        <f>SUM(C133:C140)</f>
        <v>3503.0399999999995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7671.38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3+VC6YURV+vZUoEndGpZRYKpJiSpOjvKKiQT26ojiBX4yrkK848noYsyohwI5clUFQ6l024ddgKrqwboXG9yYw==" saltValue="pk7H2ZlphE1JjM1f7vB4yg==" spinCount="100000" sheet="1" objects="1" scenarios="1"/>
  <mergeCells count="52">
    <mergeCell ref="A103:C103"/>
    <mergeCell ref="A109:C109"/>
    <mergeCell ref="A120:C120"/>
    <mergeCell ref="A131:C131"/>
    <mergeCell ref="A53:C53"/>
    <mergeCell ref="A70:C70"/>
    <mergeCell ref="A80:D80"/>
    <mergeCell ref="A81:C81"/>
    <mergeCell ref="A82:C82"/>
    <mergeCell ref="A95:C95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8CD20867-F64C-4F9C-B3A5-1F7775E98B24}"/>
    <hyperlink ref="A147" r:id="rId2" xr:uid="{10AD550E-7495-495F-A205-749156C3503B}"/>
    <hyperlink ref="A148" r:id="rId3" xr:uid="{A860F1C4-C0EF-449B-A35E-357122D2025A}"/>
    <hyperlink ref="A149" r:id="rId4" xr:uid="{DC462E05-9E0D-4C2F-BA0E-0926C973F5D3}"/>
    <hyperlink ref="D23" r:id="rId5" xr:uid="{781550EC-23F0-4772-9151-2501B48D60A0}"/>
    <hyperlink ref="D18" r:id="rId6" xr:uid="{2C715A87-7031-4052-B670-F053386B0C88}"/>
  </hyperlinks>
  <pageMargins left="0.511811024" right="0.511811024" top="0.78740157499999996" bottom="0.78740157499999996" header="0.31496062000000002" footer="0.31496062000000002"/>
  <pageSetup paperSize="9" orientation="portrait"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4">
    <tabColor rgb="FF244061"/>
    <pageSetUpPr fitToPage="1"/>
  </sheetPr>
  <dimension ref="A1:Z151"/>
  <sheetViews>
    <sheetView showGridLines="0" workbookViewId="0">
      <selection activeCell="A133" sqref="A133:XFD13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234</v>
      </c>
      <c r="D2" s="255" t="s">
        <v>1</v>
      </c>
    </row>
    <row r="3" spans="1:26" x14ac:dyDescent="0.2">
      <c r="A3" s="471" t="s">
        <v>2</v>
      </c>
      <c r="B3" s="465"/>
      <c r="C3" s="127" t="s">
        <v>3</v>
      </c>
      <c r="D3" s="242"/>
    </row>
    <row r="4" spans="1:26" x14ac:dyDescent="0.2">
      <c r="A4" s="13" t="s">
        <v>4</v>
      </c>
      <c r="B4" s="15"/>
      <c r="C4" s="159" t="s">
        <v>229</v>
      </c>
      <c r="D4" s="242"/>
    </row>
    <row r="5" spans="1:26" x14ac:dyDescent="0.2">
      <c r="A5" s="471" t="s">
        <v>5</v>
      </c>
      <c r="B5" s="465"/>
      <c r="C5" s="160">
        <v>3.5</v>
      </c>
      <c r="D5" s="242"/>
    </row>
    <row r="6" spans="1:26" x14ac:dyDescent="0.2">
      <c r="A6" s="472" t="s">
        <v>6</v>
      </c>
      <c r="B6" s="465"/>
      <c r="C6" s="128">
        <v>15</v>
      </c>
      <c r="D6" s="242"/>
    </row>
    <row r="7" spans="1:26" ht="25.5" x14ac:dyDescent="0.2">
      <c r="A7" s="473" t="s">
        <v>230</v>
      </c>
      <c r="B7" s="465"/>
      <c r="C7" s="129">
        <v>0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12</v>
      </c>
      <c r="D8" s="242"/>
    </row>
    <row r="9" spans="1:26" x14ac:dyDescent="0.2">
      <c r="A9" s="472" t="s">
        <v>9</v>
      </c>
      <c r="B9" s="465"/>
      <c r="C9" s="131">
        <v>12</v>
      </c>
      <c r="D9" s="242"/>
    </row>
    <row r="10" spans="1:26" x14ac:dyDescent="0.2">
      <c r="A10" s="473" t="s">
        <v>231</v>
      </c>
      <c r="B10" s="465"/>
      <c r="C10" s="253">
        <v>0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246</v>
      </c>
      <c r="D13" s="242"/>
    </row>
    <row r="14" spans="1:26" x14ac:dyDescent="0.2">
      <c r="A14" s="471" t="s">
        <v>14</v>
      </c>
      <c r="B14" s="465"/>
      <c r="C14" s="252" t="s">
        <v>241</v>
      </c>
      <c r="D14" s="257"/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262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2211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30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15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0.2</v>
      </c>
      <c r="D35" s="256"/>
    </row>
    <row r="36" spans="1:4" s="286" customFormat="1" x14ac:dyDescent="0.2">
      <c r="A36" s="287" t="s">
        <v>287</v>
      </c>
      <c r="B36" s="20"/>
      <c r="C36" s="288">
        <v>1.67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0</v>
      </c>
      <c r="D47" s="14"/>
    </row>
    <row r="48" spans="1:4" x14ac:dyDescent="0.2">
      <c r="A48" s="472" t="s">
        <v>36</v>
      </c>
      <c r="B48" s="465"/>
      <c r="C48" s="24">
        <f>C20/C45</f>
        <v>10.050000000000001</v>
      </c>
      <c r="D48" s="14"/>
    </row>
    <row r="49" spans="1:4" x14ac:dyDescent="0.2">
      <c r="A49" s="472" t="s">
        <v>37</v>
      </c>
      <c r="B49" s="465"/>
      <c r="C49" s="24">
        <f>C48*(1+B60+B59+B61)</f>
        <v>15.075000000000001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3.0150000000000006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12" t="s">
        <v>1</v>
      </c>
    </row>
    <row r="53" spans="1:4" x14ac:dyDescent="0.2">
      <c r="A53" s="489" t="s">
        <v>40</v>
      </c>
      <c r="B53" s="490"/>
      <c r="C53" s="491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2211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0</v>
      </c>
      <c r="D58" s="162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18" t="s">
        <v>94</v>
      </c>
    </row>
    <row r="61" spans="1:4" x14ac:dyDescent="0.2">
      <c r="A61" s="29" t="s">
        <v>91</v>
      </c>
      <c r="B61" s="30">
        <f>C35</f>
        <v>0.2</v>
      </c>
      <c r="C61" s="31">
        <f>C55*B61</f>
        <v>442.20000000000005</v>
      </c>
      <c r="D61" s="14"/>
    </row>
    <row r="62" spans="1:4" x14ac:dyDescent="0.2">
      <c r="A62" s="32" t="s">
        <v>47</v>
      </c>
      <c r="B62" s="30"/>
      <c r="C62" s="31">
        <f>TRUNC(ROUND((C56+C57+C58)*20%,2),2)</f>
        <v>0</v>
      </c>
      <c r="D62" s="179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293">
        <f>C36*C6</f>
        <v>25.049999999999997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289"/>
      <c r="D65" s="291"/>
    </row>
    <row r="66" spans="1:26" x14ac:dyDescent="0.2">
      <c r="A66" s="178" t="s">
        <v>240</v>
      </c>
      <c r="B66" s="30"/>
      <c r="C66" s="31">
        <f>IF(ISNUMBER(C14),C14,0)</f>
        <v>0</v>
      </c>
      <c r="D66" s="179"/>
    </row>
    <row r="67" spans="1:26" x14ac:dyDescent="0.2">
      <c r="A67" s="33" t="s">
        <v>48</v>
      </c>
      <c r="B67" s="30"/>
      <c r="C67" s="31">
        <f>SUM(C55:C66)</f>
        <v>3341.55</v>
      </c>
      <c r="D67" s="14"/>
    </row>
    <row r="68" spans="1:26" ht="13.5" thickBot="1" x14ac:dyDescent="0.25">
      <c r="A68" s="34" t="s">
        <v>49</v>
      </c>
      <c r="B68" s="35"/>
      <c r="C68" s="36">
        <f>C67</f>
        <v>3341.55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7.8825694662656553E-3</v>
      </c>
      <c r="C72" s="31">
        <f>TRUNC(ROUND(((C22*C24)-(C55*C23)),2),2)</f>
        <v>26.34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0.11850787808053148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0.12639044754679712</v>
      </c>
      <c r="C77" s="36">
        <f t="shared" si="1"/>
        <v>422.34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668.31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50.12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6.68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33.42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83.54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60.15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267.32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20.05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100.25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1289.8399999999997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2.7777528392512452E-2</v>
      </c>
      <c r="C97" s="73">
        <f>TRUNC(ROUND(($C$68/3)/12,2),2)</f>
        <v>92.82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278.35000000000002</v>
      </c>
      <c r="D98" s="243" t="s">
        <v>228</v>
      </c>
    </row>
    <row r="99" spans="1:26" x14ac:dyDescent="0.2">
      <c r="A99" s="33" t="s">
        <v>63</v>
      </c>
      <c r="B99" s="63">
        <f>B97+B98</f>
        <v>0.11107752839251245</v>
      </c>
      <c r="C99" s="246">
        <f>SUM(C97:C98)</f>
        <v>371.17</v>
      </c>
      <c r="D99" s="242"/>
    </row>
    <row r="100" spans="1:26" x14ac:dyDescent="0.2">
      <c r="A100" s="49" t="s">
        <v>129</v>
      </c>
      <c r="B100" s="30">
        <f>B99*B93</f>
        <v>4.2875925959509821E-2</v>
      </c>
      <c r="C100" s="73">
        <f>TRUNC(ROUND($C$68*B100,2),2)</f>
        <v>143.27000000000001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0.15395345435202226</v>
      </c>
      <c r="C101" s="247">
        <f>SUM(C99:C100)</f>
        <v>514.44000000000005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2.34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3.34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88.22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7.06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3.68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106.6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4.34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41.1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133.66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384.65999999999997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278.35000000000002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62.82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77.19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34.75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57.47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510.58000000000004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197.15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707.73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2.3940985470814441E-2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2.2567371429426462E-2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2.891173257919229E-2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1289.8399999999997</v>
      </c>
      <c r="D136" s="14"/>
    </row>
    <row r="137" spans="1:4" x14ac:dyDescent="0.2">
      <c r="A137" s="43" t="s">
        <v>115</v>
      </c>
      <c r="B137" s="30">
        <f>B101</f>
        <v>0.15395345435202226</v>
      </c>
      <c r="C137" s="31">
        <f>C101</f>
        <v>514.44000000000005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3.34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384.65999999999997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707.73</v>
      </c>
      <c r="D140" s="14"/>
    </row>
    <row r="141" spans="1:4" ht="13.5" thickBot="1" x14ac:dyDescent="0.25">
      <c r="A141" s="55" t="s">
        <v>61</v>
      </c>
      <c r="B141" s="56">
        <f>SUM(B133:B140)</f>
        <v>0.94328554383145558</v>
      </c>
      <c r="C141" s="57">
        <f>SUM(C133:C140)</f>
        <v>3152.0299999999997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6915.92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/n9DM8y/RiSJ62VakcoTLNC/luEkJI0fWg5AyfiEjKbECTpxhuwwO3eQTVrym+TAthL7HjzpXykmBMj1YBs8Mg==" saltValue="GSkOIjB92XL9EJho/bvxuQ==" spinCount="100000" sheet="1" objects="1" scenarios="1"/>
  <mergeCells count="52">
    <mergeCell ref="A120:C120"/>
    <mergeCell ref="A131:C131"/>
    <mergeCell ref="A52:C52"/>
    <mergeCell ref="A53:C53"/>
    <mergeCell ref="A70:C70"/>
    <mergeCell ref="A81:C81"/>
    <mergeCell ref="A82:C82"/>
    <mergeCell ref="A80:D80"/>
    <mergeCell ref="A95:C95"/>
    <mergeCell ref="A103:C103"/>
    <mergeCell ref="A109:C109"/>
    <mergeCell ref="A49:B49"/>
    <mergeCell ref="A50:B50"/>
    <mergeCell ref="A51:D51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D25:D26"/>
    <mergeCell ref="A26:B26"/>
    <mergeCell ref="A27:B27"/>
    <mergeCell ref="A28:B28"/>
    <mergeCell ref="A29:B29"/>
    <mergeCell ref="A30:B30"/>
    <mergeCell ref="A32:B32"/>
    <mergeCell ref="A33:B33"/>
    <mergeCell ref="A45:B45"/>
    <mergeCell ref="A46:B46"/>
    <mergeCell ref="A47:B47"/>
    <mergeCell ref="A48:B48"/>
    <mergeCell ref="A41:D41"/>
    <mergeCell ref="A42:D42"/>
    <mergeCell ref="A44:C44"/>
  </mergeCells>
  <hyperlinks>
    <hyperlink ref="A146" r:id="rId1" xr:uid="{93AF3279-389C-497A-994A-1EFDB38EEFB3}"/>
    <hyperlink ref="A147" r:id="rId2" xr:uid="{839C48D5-059C-4F76-AE35-606D450F98C8}"/>
    <hyperlink ref="A148" r:id="rId3" xr:uid="{879396ED-F881-4A1B-B3F3-DF28BF4EBC2A}"/>
    <hyperlink ref="A149" r:id="rId4" xr:uid="{D8A1E54D-BCAC-46E9-B7C8-4CC4BB38139C}"/>
    <hyperlink ref="D23" r:id="rId5" xr:uid="{E6955F6C-5424-4B59-AE16-0312A8421A43}"/>
    <hyperlink ref="D18" r:id="rId6" xr:uid="{B1D55364-A343-4816-A61F-BD65A6E8F6C6}"/>
  </hyperlinks>
  <pageMargins left="0.511811024" right="0.511811024" top="0.78740157499999996" bottom="0.78740157499999996" header="0" footer="0"/>
  <pageSetup paperSize="9" fitToHeight="0" orientation="portrait" r:id="rId7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ilha5">
    <tabColor rgb="FF244061"/>
  </sheetPr>
  <dimension ref="A1:Z151"/>
  <sheetViews>
    <sheetView showGridLines="0" workbookViewId="0">
      <selection activeCell="A133" sqref="A133:XFD13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235</v>
      </c>
      <c r="D2" s="255" t="s">
        <v>1</v>
      </c>
    </row>
    <row r="3" spans="1:26" x14ac:dyDescent="0.2">
      <c r="A3" s="471" t="s">
        <v>2</v>
      </c>
      <c r="B3" s="465"/>
      <c r="C3" s="127" t="s">
        <v>3</v>
      </c>
      <c r="D3" s="242"/>
    </row>
    <row r="4" spans="1:26" x14ac:dyDescent="0.2">
      <c r="A4" s="13" t="s">
        <v>4</v>
      </c>
      <c r="B4" s="15"/>
      <c r="C4" s="159" t="s">
        <v>229</v>
      </c>
      <c r="D4" s="242"/>
    </row>
    <row r="5" spans="1:26" x14ac:dyDescent="0.2">
      <c r="A5" s="471" t="s">
        <v>5</v>
      </c>
      <c r="B5" s="465"/>
      <c r="C5" s="160">
        <v>3.5</v>
      </c>
      <c r="D5" s="242"/>
    </row>
    <row r="6" spans="1:26" x14ac:dyDescent="0.2">
      <c r="A6" s="472" t="s">
        <v>6</v>
      </c>
      <c r="B6" s="465"/>
      <c r="C6" s="128">
        <v>15</v>
      </c>
      <c r="D6" s="242"/>
    </row>
    <row r="7" spans="1:26" ht="25.5" x14ac:dyDescent="0.2">
      <c r="A7" s="473" t="s">
        <v>230</v>
      </c>
      <c r="B7" s="465"/>
      <c r="C7" s="129">
        <v>0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12</v>
      </c>
      <c r="D8" s="242"/>
    </row>
    <row r="9" spans="1:26" x14ac:dyDescent="0.2">
      <c r="A9" s="472" t="s">
        <v>9</v>
      </c>
      <c r="B9" s="465"/>
      <c r="C9" s="131">
        <v>12</v>
      </c>
      <c r="D9" s="242"/>
    </row>
    <row r="10" spans="1:26" x14ac:dyDescent="0.2">
      <c r="A10" s="473" t="s">
        <v>231</v>
      </c>
      <c r="B10" s="465"/>
      <c r="C10" s="253">
        <v>0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244</v>
      </c>
      <c r="D13" s="242"/>
    </row>
    <row r="14" spans="1:26" x14ac:dyDescent="0.2">
      <c r="A14" s="471" t="s">
        <v>14</v>
      </c>
      <c r="B14" s="465"/>
      <c r="C14" s="252" t="s">
        <v>241</v>
      </c>
      <c r="D14" s="257"/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191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1938.2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30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15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0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0</v>
      </c>
      <c r="D47" s="14"/>
    </row>
    <row r="48" spans="1:4" x14ac:dyDescent="0.2">
      <c r="A48" s="472" t="s">
        <v>36</v>
      </c>
      <c r="B48" s="465"/>
      <c r="C48" s="24">
        <f>C20/C45</f>
        <v>8.81</v>
      </c>
      <c r="D48" s="14"/>
    </row>
    <row r="49" spans="1:4" x14ac:dyDescent="0.2">
      <c r="A49" s="472" t="s">
        <v>37</v>
      </c>
      <c r="B49" s="465"/>
      <c r="C49" s="24">
        <f>C48*(1+B60+B59+B61)</f>
        <v>11.453000000000001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2.2906000000000004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12" t="s">
        <v>1</v>
      </c>
    </row>
    <row r="53" spans="1:4" x14ac:dyDescent="0.2">
      <c r="A53" s="489" t="s">
        <v>40</v>
      </c>
      <c r="B53" s="490"/>
      <c r="C53" s="491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0</v>
      </c>
      <c r="D58" s="162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0</v>
      </c>
      <c r="D62" s="179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293">
        <f>C36*C6</f>
        <v>0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289"/>
      <c r="D65" s="291"/>
    </row>
    <row r="66" spans="1:26" x14ac:dyDescent="0.2">
      <c r="A66" s="178" t="s">
        <v>240</v>
      </c>
      <c r="B66" s="30"/>
      <c r="C66" s="31">
        <f>IF(ISNUMBER(C14),C14,0)</f>
        <v>0</v>
      </c>
      <c r="D66" s="179"/>
    </row>
    <row r="67" spans="1:26" x14ac:dyDescent="0.2">
      <c r="A67" s="33" t="s">
        <v>48</v>
      </c>
      <c r="B67" s="30"/>
      <c r="C67" s="31">
        <f>SUM(C55:C66)</f>
        <v>2519.66</v>
      </c>
      <c r="D67" s="14"/>
    </row>
    <row r="68" spans="1:26" ht="13.5" thickBot="1" x14ac:dyDescent="0.25">
      <c r="A68" s="34" t="s">
        <v>49</v>
      </c>
      <c r="B68" s="35"/>
      <c r="C68" s="36">
        <f>C67</f>
        <v>2519.66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1.6950699697578245E-2</v>
      </c>
      <c r="C72" s="31">
        <f>TRUNC(ROUND(((C22*C24)-(C55*C23)),2),2)</f>
        <v>42.71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0.15716406181786433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0.17411476151544258</v>
      </c>
      <c r="C77" s="36">
        <f t="shared" si="1"/>
        <v>438.71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503.93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37.79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5.04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25.2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62.99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45.35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201.57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15.12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75.59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972.58000000000015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2.7777557289475563E-2</v>
      </c>
      <c r="C97" s="73">
        <f>TRUNC(ROUND(($C$68/3)/12,2),2)</f>
        <v>69.989999999999995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209.89</v>
      </c>
      <c r="D98" s="243" t="s">
        <v>228</v>
      </c>
    </row>
    <row r="99" spans="1:26" x14ac:dyDescent="0.2">
      <c r="A99" s="33" t="s">
        <v>63</v>
      </c>
      <c r="B99" s="63">
        <f>B97+B98</f>
        <v>0.11107755728947556</v>
      </c>
      <c r="C99" s="246">
        <f>SUM(C97:C98)</f>
        <v>279.88</v>
      </c>
      <c r="D99" s="242"/>
    </row>
    <row r="100" spans="1:26" x14ac:dyDescent="0.2">
      <c r="A100" s="49" t="s">
        <v>129</v>
      </c>
      <c r="B100" s="30">
        <f>B99*B93</f>
        <v>4.2875937113737578E-2</v>
      </c>
      <c r="C100" s="73">
        <f>TRUNC(ROUND($C$68*B100,2),2)</f>
        <v>108.03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0.15395349440321315</v>
      </c>
      <c r="C101" s="247">
        <f>SUM(C99:C100)</f>
        <v>387.90999999999997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1.76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0.76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2.52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66.52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5.32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2.77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80.38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3.28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30.99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100.79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290.05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209.89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47.37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58.2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26.2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43.34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385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148.66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533.66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3.1750315518760466E-2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2.9928641165871586E-2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3.8342474778343114E-2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972.58000000000015</v>
      </c>
      <c r="D136" s="14"/>
    </row>
    <row r="137" spans="1:4" x14ac:dyDescent="0.2">
      <c r="A137" s="43" t="s">
        <v>115</v>
      </c>
      <c r="B137" s="30">
        <f>B101</f>
        <v>0.15395349440321315</v>
      </c>
      <c r="C137" s="31">
        <f>C101</f>
        <v>387.90999999999997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2.52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290.05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533.66</v>
      </c>
      <c r="D140" s="14"/>
    </row>
    <row r="141" spans="1:4" ht="13.5" thickBot="1" x14ac:dyDescent="0.25">
      <c r="A141" s="55" t="s">
        <v>61</v>
      </c>
      <c r="B141" s="56">
        <f>SUM(B133:B140)</f>
        <v>0.96788692586618841</v>
      </c>
      <c r="C141" s="57">
        <f>SUM(C133:C140)</f>
        <v>2438.7400000000002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5397.11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V7MWPBw2SCztCOfWdClzDL8lusaJsX7SutHZe+seeFyr3kTaN4HDNcNL6F/48Ih457IP4qrruKkhvCi8HWld7w==" saltValue="/DYksVZ5lLlHgZuGWzMh+A==" spinCount="100000" sheet="1" objects="1" scenarios="1"/>
  <mergeCells count="52">
    <mergeCell ref="A109:C109"/>
    <mergeCell ref="A120:C120"/>
    <mergeCell ref="A131:C131"/>
    <mergeCell ref="A42:D42"/>
    <mergeCell ref="A44:C44"/>
    <mergeCell ref="A50:B50"/>
    <mergeCell ref="A51:D51"/>
    <mergeCell ref="A53:C53"/>
    <mergeCell ref="A70:C70"/>
    <mergeCell ref="A80:D80"/>
    <mergeCell ref="A81:C81"/>
    <mergeCell ref="A82:C82"/>
    <mergeCell ref="A95:C95"/>
    <mergeCell ref="A103:C10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2:B22"/>
    <mergeCell ref="A23:B23"/>
    <mergeCell ref="A24:B24"/>
    <mergeCell ref="A25:B25"/>
    <mergeCell ref="D25:D26"/>
    <mergeCell ref="A26:B26"/>
    <mergeCell ref="A27:B27"/>
    <mergeCell ref="A28:B28"/>
    <mergeCell ref="A29:B29"/>
    <mergeCell ref="A30:B30"/>
    <mergeCell ref="A32:B32"/>
    <mergeCell ref="A33:B33"/>
    <mergeCell ref="A41:D41"/>
    <mergeCell ref="A52:C52"/>
    <mergeCell ref="A45:B45"/>
    <mergeCell ref="A46:B46"/>
    <mergeCell ref="A47:B47"/>
    <mergeCell ref="A48:B48"/>
    <mergeCell ref="A49:B49"/>
  </mergeCells>
  <hyperlinks>
    <hyperlink ref="A146" r:id="rId1" xr:uid="{5EDE8390-027E-446D-91B5-4496F812BE03}"/>
    <hyperlink ref="A147" r:id="rId2" xr:uid="{071DD854-1445-42C6-AD0E-435DA8FDD79E}"/>
    <hyperlink ref="A148" r:id="rId3" xr:uid="{5342BE9C-BF2C-4A7B-AE1B-9E251EAFE8FB}"/>
    <hyperlink ref="A149" r:id="rId4" xr:uid="{D3888403-4969-4BB1-AC72-5984BC6A6172}"/>
    <hyperlink ref="D23" r:id="rId5" xr:uid="{4F52B054-4BFC-4562-A4CA-CAD3B5655454}"/>
    <hyperlink ref="D18" r:id="rId6" xr:uid="{EA378D1B-E007-4A06-B371-4BBF04DD0EAC}"/>
  </hyperlinks>
  <printOptions horizontalCentered="1" verticalCentered="1"/>
  <pageMargins left="0.11811023622047245" right="0.11811023622047245" top="0.39370078740157483" bottom="0.39370078740157483" header="0" footer="0"/>
  <pageSetup paperSize="9" scale="80" orientation="portrait"/>
  <drawing r:id="rId7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FA1C91-79AA-4B4F-BB9F-82FE148A1E78}">
  <sheetPr codeName="Planilha6">
    <tabColor rgb="FF244061"/>
  </sheetPr>
  <dimension ref="A1:Z151"/>
  <sheetViews>
    <sheetView showGridLines="0" topLeftCell="A4" workbookViewId="0">
      <selection activeCell="C15" sqref="C15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236</v>
      </c>
      <c r="D2" s="255" t="s">
        <v>1</v>
      </c>
    </row>
    <row r="3" spans="1:26" x14ac:dyDescent="0.2">
      <c r="A3" s="471" t="s">
        <v>2</v>
      </c>
      <c r="B3" s="465"/>
      <c r="C3" s="127" t="s">
        <v>3</v>
      </c>
      <c r="D3" s="242"/>
    </row>
    <row r="4" spans="1:26" x14ac:dyDescent="0.2">
      <c r="A4" s="13" t="s">
        <v>4</v>
      </c>
      <c r="B4" s="15"/>
      <c r="C4" s="159" t="s">
        <v>229</v>
      </c>
      <c r="D4" s="242"/>
    </row>
    <row r="5" spans="1:26" x14ac:dyDescent="0.2">
      <c r="A5" s="471" t="s">
        <v>5</v>
      </c>
      <c r="B5" s="465"/>
      <c r="C5" s="160">
        <v>3.5</v>
      </c>
      <c r="D5" s="242"/>
    </row>
    <row r="6" spans="1:26" x14ac:dyDescent="0.2">
      <c r="A6" s="472" t="s">
        <v>6</v>
      </c>
      <c r="B6" s="465"/>
      <c r="C6" s="128">
        <v>15</v>
      </c>
      <c r="D6" s="242"/>
    </row>
    <row r="7" spans="1:26" ht="25.5" x14ac:dyDescent="0.2">
      <c r="A7" s="473" t="s">
        <v>230</v>
      </c>
      <c r="B7" s="465"/>
      <c r="C7" s="129">
        <v>7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12</v>
      </c>
      <c r="D8" s="242"/>
    </row>
    <row r="9" spans="1:26" x14ac:dyDescent="0.2">
      <c r="A9" s="472" t="s">
        <v>9</v>
      </c>
      <c r="B9" s="465"/>
      <c r="C9" s="131">
        <v>12</v>
      </c>
      <c r="D9" s="242"/>
    </row>
    <row r="10" spans="1:26" x14ac:dyDescent="0.2">
      <c r="A10" s="473" t="s">
        <v>231</v>
      </c>
      <c r="B10" s="465"/>
      <c r="C10" s="253">
        <v>0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243</v>
      </c>
      <c r="D13" s="242"/>
    </row>
    <row r="14" spans="1:26" ht="25.5" x14ac:dyDescent="0.2">
      <c r="A14" s="471" t="s">
        <v>14</v>
      </c>
      <c r="B14" s="465"/>
      <c r="C14" s="252">
        <v>206.1</v>
      </c>
      <c r="D14" s="257" t="s">
        <v>313</v>
      </c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191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1938.2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30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15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0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0</v>
      </c>
      <c r="D47" s="14"/>
    </row>
    <row r="48" spans="1:4" x14ac:dyDescent="0.2">
      <c r="A48" s="472" t="s">
        <v>36</v>
      </c>
      <c r="B48" s="465"/>
      <c r="C48" s="24">
        <f>C20/C45</f>
        <v>8.81</v>
      </c>
      <c r="D48" s="14"/>
    </row>
    <row r="49" spans="1:4" x14ac:dyDescent="0.2">
      <c r="A49" s="472" t="s">
        <v>37</v>
      </c>
      <c r="B49" s="465"/>
      <c r="C49" s="24">
        <f>C48*(1+B60+B59+B61)</f>
        <v>11.453000000000001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2.2906000000000004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12" t="s">
        <v>1</v>
      </c>
    </row>
    <row r="53" spans="1:4" x14ac:dyDescent="0.2">
      <c r="A53" s="489" t="s">
        <v>40</v>
      </c>
      <c r="B53" s="490"/>
      <c r="C53" s="491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0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240.51</v>
      </c>
      <c r="D57" s="1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206.15</v>
      </c>
      <c r="D58" s="162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89.33</v>
      </c>
      <c r="D62" s="179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293">
        <f>C36*C6</f>
        <v>0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289"/>
      <c r="D65" s="291"/>
    </row>
    <row r="66" spans="1:26" x14ac:dyDescent="0.2">
      <c r="A66" s="178" t="s">
        <v>240</v>
      </c>
      <c r="B66" s="30"/>
      <c r="C66" s="31">
        <f>IF(ISNUMBER(C14),C14,0)</f>
        <v>206.1</v>
      </c>
      <c r="D66" s="179"/>
    </row>
    <row r="67" spans="1:26" x14ac:dyDescent="0.2">
      <c r="A67" s="33" t="s">
        <v>48</v>
      </c>
      <c r="B67" s="30"/>
      <c r="C67" s="31">
        <f>SUM(C55:C66)</f>
        <v>3261.75</v>
      </c>
      <c r="D67" s="14"/>
    </row>
    <row r="68" spans="1:26" ht="13.5" thickBot="1" x14ac:dyDescent="0.25">
      <c r="A68" s="34" t="s">
        <v>49</v>
      </c>
      <c r="B68" s="35"/>
      <c r="C68" s="36">
        <f>C67</f>
        <v>3261.75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1.3094197899900361E-2</v>
      </c>
      <c r="C72" s="31">
        <f>TRUNC(ROUND(((C22*C24)-(C55*C23)),2),2)</f>
        <v>42.71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0.12140722005058634</v>
      </c>
      <c r="C73" s="45">
        <f>TRUNC(ROUND((C25*C27)*(100%-C26),2),2)</f>
        <v>396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0.1345014179504867</v>
      </c>
      <c r="C77" s="36">
        <f t="shared" si="1"/>
        <v>438.71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652.35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48.93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6.52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32.619999999999997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81.540000000000006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58.71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260.94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19.57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97.85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1259.0299999999997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2.7776500344906873E-2</v>
      </c>
      <c r="C97" s="73">
        <f>TRUNC(ROUND(($C$68/3)/12,2),2)</f>
        <v>90.6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271.7</v>
      </c>
      <c r="D98" s="243" t="s">
        <v>228</v>
      </c>
    </row>
    <row r="99" spans="1:26" x14ac:dyDescent="0.2">
      <c r="A99" s="33" t="s">
        <v>63</v>
      </c>
      <c r="B99" s="63">
        <f>B97+B98</f>
        <v>0.11107650034490688</v>
      </c>
      <c r="C99" s="246">
        <f>SUM(C97:C98)</f>
        <v>362.29999999999995</v>
      </c>
      <c r="D99" s="242"/>
    </row>
    <row r="100" spans="1:26" x14ac:dyDescent="0.2">
      <c r="A100" s="49" t="s">
        <v>129</v>
      </c>
      <c r="B100" s="30">
        <f>B99*B93</f>
        <v>4.2875529133134069E-2</v>
      </c>
      <c r="C100" s="73">
        <f>TRUNC(ROUND($C$68*B100,2),2)</f>
        <v>139.85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0.15395202947804093</v>
      </c>
      <c r="C101" s="247">
        <f>SUM(C99:C100)</f>
        <v>502.15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2.2799999999999998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0.98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3.26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86.11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6.89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3.59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104.05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4.24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40.119999999999997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130.47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375.47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271.7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61.32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75.349999999999994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33.92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56.1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498.39000000000004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192.44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690.83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2.4526711121330574E-2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2.3119491070744232E-2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2.9619069517896834E-2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1259.0299999999997</v>
      </c>
      <c r="D136" s="14"/>
    </row>
    <row r="137" spans="1:4" x14ac:dyDescent="0.2">
      <c r="A137" s="43" t="s">
        <v>115</v>
      </c>
      <c r="B137" s="30">
        <f>B101</f>
        <v>0.15395202947804093</v>
      </c>
      <c r="C137" s="31">
        <f>C101</f>
        <v>502.15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3.26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375.47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690.83</v>
      </c>
      <c r="D140" s="14"/>
    </row>
    <row r="141" spans="1:4" ht="13.5" thickBot="1" x14ac:dyDescent="0.25">
      <c r="A141" s="55" t="s">
        <v>61</v>
      </c>
      <c r="B141" s="56">
        <f>SUM(B133:B140)</f>
        <v>0.94512930118801264</v>
      </c>
      <c r="C141" s="57">
        <f>SUM(C133:C140)</f>
        <v>3082.7599999999998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6783.22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gGQzEV8aw3tFBSC0SegH8oXxHHuVh9imq3z0NJJkzORtS05tPaiXg+TREBOOBxyZipmf0YKAf1Et9KsKsY6S2w==" saltValue="LwetRTdcBUwp8ZohAE6u/Q==" spinCount="100000" sheet="1" objects="1" scenarios="1"/>
  <mergeCells count="52">
    <mergeCell ref="A120:C120"/>
    <mergeCell ref="A131:C131"/>
    <mergeCell ref="A53:C53"/>
    <mergeCell ref="A70:C70"/>
    <mergeCell ref="A80:D80"/>
    <mergeCell ref="A81:C81"/>
    <mergeCell ref="A82:C82"/>
    <mergeCell ref="A95:C95"/>
    <mergeCell ref="A103:C103"/>
    <mergeCell ref="A109:C109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9EEB9DD1-A077-4EC7-965D-85B040928365}"/>
    <hyperlink ref="A147" r:id="rId2" xr:uid="{ECE4328D-5C27-4815-AFBB-D7BED1689EDA}"/>
    <hyperlink ref="A148" r:id="rId3" xr:uid="{7EE7CBB5-EE3C-4649-B47C-DD6BAC1EE0B3}"/>
    <hyperlink ref="A149" r:id="rId4" xr:uid="{8AE658AA-8213-4B04-9D12-83749D84F0A0}"/>
    <hyperlink ref="D23" r:id="rId5" xr:uid="{86A20B6D-F2F1-45F7-85B4-27D06D684662}"/>
    <hyperlink ref="D18" r:id="rId6" xr:uid="{CFB3F4B0-BE5B-4AFA-8257-EBDA31092C43}"/>
  </hyperlinks>
  <pageMargins left="0.511811024" right="0.511811024" top="0.78740157499999996" bottom="0.78740157499999996" header="0.31496062000000002" footer="0.31496062000000002"/>
  <drawing r:id="rId7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60E331-6CB0-49B7-9650-29003D640C1A}">
  <sheetPr codeName="Planilha7">
    <tabColor rgb="FF244061"/>
  </sheetPr>
  <dimension ref="A1:Z151"/>
  <sheetViews>
    <sheetView showGridLines="0" workbookViewId="0">
      <selection activeCell="H8" sqref="H8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237</v>
      </c>
      <c r="D2" s="255" t="s">
        <v>1</v>
      </c>
    </row>
    <row r="3" spans="1:26" x14ac:dyDescent="0.2">
      <c r="A3" s="471" t="s">
        <v>2</v>
      </c>
      <c r="B3" s="465"/>
      <c r="C3" s="262" t="s">
        <v>3</v>
      </c>
      <c r="D3" s="242"/>
    </row>
    <row r="4" spans="1:26" x14ac:dyDescent="0.2">
      <c r="A4" s="13" t="s">
        <v>4</v>
      </c>
      <c r="B4" s="15"/>
      <c r="C4" s="159" t="s">
        <v>239</v>
      </c>
      <c r="D4" s="242"/>
    </row>
    <row r="5" spans="1:26" x14ac:dyDescent="0.2">
      <c r="A5" s="471" t="s">
        <v>5</v>
      </c>
      <c r="B5" s="465"/>
      <c r="C5" s="160">
        <v>5</v>
      </c>
      <c r="D5" s="242"/>
    </row>
    <row r="6" spans="1:26" x14ac:dyDescent="0.2">
      <c r="A6" s="472" t="s">
        <v>6</v>
      </c>
      <c r="B6" s="465"/>
      <c r="C6" s="128">
        <v>22</v>
      </c>
      <c r="D6" s="242"/>
    </row>
    <row r="7" spans="1:26" ht="25.5" x14ac:dyDescent="0.2">
      <c r="A7" s="473" t="s">
        <v>230</v>
      </c>
      <c r="B7" s="465"/>
      <c r="C7" s="129">
        <v>0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11</v>
      </c>
      <c r="D8" s="242"/>
    </row>
    <row r="9" spans="1:26" x14ac:dyDescent="0.2">
      <c r="A9" s="472" t="s">
        <v>9</v>
      </c>
      <c r="B9" s="465"/>
      <c r="C9" s="131">
        <v>11</v>
      </c>
      <c r="D9" s="242"/>
    </row>
    <row r="10" spans="1:26" x14ac:dyDescent="0.2">
      <c r="A10" s="473" t="s">
        <v>231</v>
      </c>
      <c r="B10" s="465"/>
      <c r="C10" s="253">
        <v>55</v>
      </c>
      <c r="D10" s="261" t="s">
        <v>242</v>
      </c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244</v>
      </c>
      <c r="D13" s="242"/>
    </row>
    <row r="14" spans="1:26" x14ac:dyDescent="0.2">
      <c r="A14" s="471" t="s">
        <v>14</v>
      </c>
      <c r="B14" s="465"/>
      <c r="C14" s="252" t="s">
        <v>241</v>
      </c>
      <c r="D14" s="257"/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191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1938.2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44</v>
      </c>
      <c r="D24" s="256"/>
    </row>
    <row r="25" spans="1:26" x14ac:dyDescent="0.2">
      <c r="A25" s="472" t="s">
        <v>25</v>
      </c>
      <c r="B25" s="465"/>
      <c r="C25" s="172">
        <v>33</v>
      </c>
      <c r="D25" s="474" t="s">
        <v>288</v>
      </c>
    </row>
    <row r="26" spans="1:26" x14ac:dyDescent="0.2">
      <c r="A26" s="475" t="s">
        <v>26</v>
      </c>
      <c r="B26" s="465"/>
      <c r="C26" s="173">
        <v>0.2</v>
      </c>
      <c r="D26" s="474"/>
    </row>
    <row r="27" spans="1:26" x14ac:dyDescent="0.2">
      <c r="A27" s="475" t="s">
        <v>27</v>
      </c>
      <c r="B27" s="465"/>
      <c r="C27" s="174">
        <f>C6</f>
        <v>22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0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55</v>
      </c>
      <c r="D47" s="14"/>
    </row>
    <row r="48" spans="1:4" x14ac:dyDescent="0.2">
      <c r="A48" s="472" t="s">
        <v>36</v>
      </c>
      <c r="B48" s="465"/>
      <c r="C48" s="24">
        <f>C20/C45</f>
        <v>8.81</v>
      </c>
      <c r="D48" s="14"/>
    </row>
    <row r="49" spans="1:4" x14ac:dyDescent="0.2">
      <c r="A49" s="472" t="s">
        <v>37</v>
      </c>
      <c r="B49" s="465"/>
      <c r="C49" s="24">
        <f>C48*(1+B60+B59+B61)</f>
        <v>11.453000000000001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2.2906000000000004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12" t="s">
        <v>1</v>
      </c>
    </row>
    <row r="53" spans="1:4" x14ac:dyDescent="0.2">
      <c r="A53" s="489" t="s">
        <v>40</v>
      </c>
      <c r="B53" s="490"/>
      <c r="C53" s="491"/>
      <c r="D53" s="14"/>
    </row>
    <row r="54" spans="1:4" x14ac:dyDescent="0.2">
      <c r="A54" s="26" t="s">
        <v>41</v>
      </c>
      <c r="B54" s="27" t="s">
        <v>42</v>
      </c>
      <c r="C54" s="28" t="s">
        <v>43</v>
      </c>
      <c r="D54" s="14"/>
    </row>
    <row r="55" spans="1:4" x14ac:dyDescent="0.2">
      <c r="A55" s="29" t="s">
        <v>44</v>
      </c>
      <c r="B55" s="30"/>
      <c r="C55" s="31">
        <f>IF(C46&lt;C45,(C48*C46),C20)</f>
        <v>1938.2</v>
      </c>
      <c r="D55" s="14"/>
    </row>
    <row r="56" spans="1:4" x14ac:dyDescent="0.2">
      <c r="A56" s="29" t="s">
        <v>31</v>
      </c>
      <c r="B56" s="30">
        <f>C31</f>
        <v>0.5</v>
      </c>
      <c r="C56" s="31">
        <f>C49*C47*(1+B56)</f>
        <v>944.87250000000017</v>
      </c>
      <c r="D56" s="14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1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0</v>
      </c>
      <c r="D58" s="162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1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581.46</v>
      </c>
      <c r="D60" s="1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14"/>
    </row>
    <row r="62" spans="1:4" x14ac:dyDescent="0.2">
      <c r="A62" s="32" t="s">
        <v>47</v>
      </c>
      <c r="B62" s="30"/>
      <c r="C62" s="31">
        <f>TRUNC(ROUND((C56+C57+C58)*20%,2),2)</f>
        <v>188.97</v>
      </c>
      <c r="D62" s="179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293">
        <f>C36*C6</f>
        <v>0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289"/>
      <c r="D65" s="291"/>
    </row>
    <row r="66" spans="1:26" x14ac:dyDescent="0.2">
      <c r="A66" s="178" t="s">
        <v>240</v>
      </c>
      <c r="B66" s="30"/>
      <c r="C66" s="31">
        <f>IF(ISNUMBER(C14),C14,0)</f>
        <v>0</v>
      </c>
      <c r="D66" s="179"/>
    </row>
    <row r="67" spans="1:26" x14ac:dyDescent="0.2">
      <c r="A67" s="33" t="s">
        <v>48</v>
      </c>
      <c r="B67" s="30"/>
      <c r="C67" s="31">
        <f>SUM(C55:C66)</f>
        <v>3653.5025000000001</v>
      </c>
      <c r="D67" s="14"/>
    </row>
    <row r="68" spans="1:26" ht="13.5" thickBot="1" x14ac:dyDescent="0.25">
      <c r="A68" s="34" t="s">
        <v>49</v>
      </c>
      <c r="B68" s="35"/>
      <c r="C68" s="36">
        <f>C67</f>
        <v>3653.5025000000001</v>
      </c>
      <c r="D68" s="21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3.1999430683296366E-2</v>
      </c>
      <c r="C72" s="31">
        <f>TRUNC(ROUND(((C22*C24)-(C55*C23)),2),2)</f>
        <v>116.91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0.1589707410902278</v>
      </c>
      <c r="C73" s="45">
        <f>TRUNC(ROUND((C25*C27)*(100%-C26),2),2)</f>
        <v>580.79999999999995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0.19097017177352416</v>
      </c>
      <c r="C77" s="36">
        <f t="shared" si="1"/>
        <v>697.70999999999992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730.7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54.8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7.31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36.54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91.34</v>
      </c>
      <c r="D88" s="243" t="s">
        <v>228</v>
      </c>
    </row>
    <row r="89" spans="1:4" x14ac:dyDescent="0.2">
      <c r="A89" s="175" t="s">
        <v>123</v>
      </c>
      <c r="B89" s="54">
        <f>C40</f>
        <v>1.7999999999999999E-2</v>
      </c>
      <c r="C89" s="73">
        <f t="shared" si="2"/>
        <v>65.760000000000005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292.27999999999997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21.92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109.61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1410.26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2.7778823197739701E-2</v>
      </c>
      <c r="C97" s="73">
        <f>TRUNC(ROUND(($C$68/3)/12,2),2)</f>
        <v>101.49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304.33999999999997</v>
      </c>
      <c r="D98" s="243" t="s">
        <v>228</v>
      </c>
    </row>
    <row r="99" spans="1:26" x14ac:dyDescent="0.2">
      <c r="A99" s="33" t="s">
        <v>63</v>
      </c>
      <c r="B99" s="63">
        <f>B97+B98</f>
        <v>0.11107882319773971</v>
      </c>
      <c r="C99" s="246">
        <f>SUM(C97:C98)</f>
        <v>405.83</v>
      </c>
      <c r="D99" s="242"/>
    </row>
    <row r="100" spans="1:26" x14ac:dyDescent="0.2">
      <c r="A100" s="49" t="s">
        <v>129</v>
      </c>
      <c r="B100" s="30">
        <f>B99*B93</f>
        <v>4.2876425754327541E-2</v>
      </c>
      <c r="C100" s="73">
        <f>TRUNC(ROUND($C$68*B100,2),2)</f>
        <v>156.65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0.15395524895206725</v>
      </c>
      <c r="C101" s="247">
        <f>SUM(C99:C100)</f>
        <v>562.48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2.56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1.1000000000000001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3.66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96.45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7.72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4.0199999999999996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116.55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4.75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44.94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146.13999999999999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420.57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304.33999999999997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68.69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84.4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38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62.84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558.27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215.56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773.82999999999993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2.1896796293419805E-2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2.0640467606084845E-2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2.6443118623841095E-2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1410.26</v>
      </c>
      <c r="D136" s="14"/>
    </row>
    <row r="137" spans="1:4" x14ac:dyDescent="0.2">
      <c r="A137" s="43" t="s">
        <v>115</v>
      </c>
      <c r="B137" s="30">
        <f>B101</f>
        <v>0.15395524895206725</v>
      </c>
      <c r="C137" s="31">
        <f>C101</f>
        <v>562.48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3.66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420.57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773.82999999999993</v>
      </c>
      <c r="D140" s="14"/>
    </row>
    <row r="141" spans="1:4" ht="13.5" thickBot="1" x14ac:dyDescent="0.25">
      <c r="A141" s="55" t="s">
        <v>61</v>
      </c>
      <c r="B141" s="56">
        <f>SUM(B133:B140)</f>
        <v>0.93684763147541306</v>
      </c>
      <c r="C141" s="57">
        <f>SUM(C133:C140)</f>
        <v>3422.82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7774.03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bn+6hxsPhrNhp5XFOQQ+/mnMQD6O1XW9ncpp46HEo/hX4QtU+7dMRRkKKfJhv6VlzWM8oUAA0BIELmcwVUbjrw==" saltValue="wXNy7akbI9PdGm3DBAUVKA==" spinCount="100000" sheet="1" objects="1" scenarios="1"/>
  <mergeCells count="52">
    <mergeCell ref="A95:C95"/>
    <mergeCell ref="A103:C103"/>
    <mergeCell ref="A109:C109"/>
    <mergeCell ref="A120:C120"/>
    <mergeCell ref="A131:C131"/>
    <mergeCell ref="A53:C53"/>
    <mergeCell ref="A70:C70"/>
    <mergeCell ref="A80:D80"/>
    <mergeCell ref="A81:C81"/>
    <mergeCell ref="A82:C82"/>
    <mergeCell ref="A52:C52"/>
    <mergeCell ref="A41:D41"/>
    <mergeCell ref="A42:D42"/>
    <mergeCell ref="A44:C44"/>
    <mergeCell ref="A45:B45"/>
    <mergeCell ref="A46:B46"/>
    <mergeCell ref="A47:B47"/>
    <mergeCell ref="A48:B48"/>
    <mergeCell ref="A49:B49"/>
    <mergeCell ref="A50:B50"/>
    <mergeCell ref="A51:D51"/>
    <mergeCell ref="A33:B33"/>
    <mergeCell ref="A20:B20"/>
    <mergeCell ref="A22:B22"/>
    <mergeCell ref="A23:B23"/>
    <mergeCell ref="A24:B24"/>
    <mergeCell ref="A25:B25"/>
    <mergeCell ref="A27:B27"/>
    <mergeCell ref="A28:B28"/>
    <mergeCell ref="A29:B29"/>
    <mergeCell ref="A30:B30"/>
    <mergeCell ref="A32:B32"/>
    <mergeCell ref="D25:D26"/>
    <mergeCell ref="A26:B26"/>
    <mergeCell ref="A14:B14"/>
    <mergeCell ref="A15:B15"/>
    <mergeCell ref="A16:B16"/>
    <mergeCell ref="A17:B17"/>
    <mergeCell ref="A18:B18"/>
    <mergeCell ref="A19:B19"/>
    <mergeCell ref="A13:B13"/>
    <mergeCell ref="A1:D1"/>
    <mergeCell ref="A2:B2"/>
    <mergeCell ref="A3:B3"/>
    <mergeCell ref="A5:B5"/>
    <mergeCell ref="A6:B6"/>
    <mergeCell ref="A7:B7"/>
    <mergeCell ref="A8:B8"/>
    <mergeCell ref="A9:B9"/>
    <mergeCell ref="A10:B10"/>
    <mergeCell ref="A11:B11"/>
    <mergeCell ref="A12:B12"/>
  </mergeCells>
  <hyperlinks>
    <hyperlink ref="A146" r:id="rId1" xr:uid="{96B181DA-DEF0-466D-8DA8-C3796B5D3BBF}"/>
    <hyperlink ref="A147" r:id="rId2" xr:uid="{5DFD57A7-1A83-4B32-BF15-F554863BA3AD}"/>
    <hyperlink ref="A148" r:id="rId3" xr:uid="{9D863CB3-4556-42DE-B3D6-6F3F2B9EC84C}"/>
    <hyperlink ref="A149" r:id="rId4" xr:uid="{E53A8A6C-D0FD-448A-8F14-64902DDEF27A}"/>
    <hyperlink ref="D23" r:id="rId5" xr:uid="{9D46ECD7-F178-414B-BB2D-6106D685DC21}"/>
    <hyperlink ref="D18" r:id="rId6" xr:uid="{5F681E7F-1178-4A91-A60F-940ACD6696AB}"/>
  </hyperlinks>
  <pageMargins left="0.511811024" right="0.511811024" top="0.78740157499999996" bottom="0.78740157499999996" header="0.31496062000000002" footer="0.31496062000000002"/>
  <drawing r:id="rId7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D40B7-2CDB-4E6B-80AC-93B362772546}">
  <sheetPr codeName="Planilha8">
    <tabColor rgb="FF244061"/>
  </sheetPr>
  <dimension ref="A1:Z151"/>
  <sheetViews>
    <sheetView showGridLines="0" topLeftCell="A3" workbookViewId="0">
      <selection activeCell="D144" sqref="D144"/>
    </sheetView>
  </sheetViews>
  <sheetFormatPr defaultColWidth="12.5703125" defaultRowHeight="12.75" x14ac:dyDescent="0.2"/>
  <cols>
    <col min="1" max="1" width="67" customWidth="1"/>
    <col min="2" max="2" width="15.7109375" customWidth="1"/>
    <col min="3" max="3" width="18.28515625" customWidth="1"/>
    <col min="4" max="4" width="78.42578125" customWidth="1"/>
  </cols>
  <sheetData>
    <row r="1" spans="1:26" s="119" customFormat="1" ht="45.75" customHeight="1" thickBot="1" x14ac:dyDescent="0.25">
      <c r="A1" s="466" t="str">
        <f>'GERAL-12D'!A1</f>
        <v>PROPOSTA_SPAC_VIGIL01</v>
      </c>
      <c r="B1" s="467"/>
      <c r="C1" s="467"/>
      <c r="D1" s="468"/>
    </row>
    <row r="2" spans="1:26" x14ac:dyDescent="0.2">
      <c r="A2" s="469" t="s">
        <v>0</v>
      </c>
      <c r="B2" s="470"/>
      <c r="C2" s="157" t="s">
        <v>238</v>
      </c>
      <c r="D2" s="255" t="s">
        <v>1</v>
      </c>
    </row>
    <row r="3" spans="1:26" x14ac:dyDescent="0.2">
      <c r="A3" s="471" t="s">
        <v>2</v>
      </c>
      <c r="B3" s="465"/>
      <c r="C3" s="262" t="s">
        <v>3</v>
      </c>
      <c r="D3" s="242"/>
    </row>
    <row r="4" spans="1:26" x14ac:dyDescent="0.2">
      <c r="A4" s="13" t="s">
        <v>4</v>
      </c>
      <c r="B4" s="15"/>
      <c r="C4" s="159" t="s">
        <v>239</v>
      </c>
      <c r="D4" s="242"/>
    </row>
    <row r="5" spans="1:26" x14ac:dyDescent="0.2">
      <c r="A5" s="471" t="s">
        <v>5</v>
      </c>
      <c r="B5" s="465"/>
      <c r="C5" s="160">
        <v>5</v>
      </c>
      <c r="D5" s="242"/>
    </row>
    <row r="6" spans="1:26" x14ac:dyDescent="0.2">
      <c r="A6" s="472" t="s">
        <v>6</v>
      </c>
      <c r="B6" s="465"/>
      <c r="C6" s="128">
        <v>22</v>
      </c>
      <c r="D6" s="242"/>
    </row>
    <row r="7" spans="1:26" ht="25.5" x14ac:dyDescent="0.2">
      <c r="A7" s="473" t="s">
        <v>230</v>
      </c>
      <c r="B7" s="465"/>
      <c r="C7" s="129">
        <v>0</v>
      </c>
      <c r="D7" s="256" t="s">
        <v>7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</row>
    <row r="8" spans="1:26" x14ac:dyDescent="0.2">
      <c r="A8" s="472" t="s">
        <v>8</v>
      </c>
      <c r="B8" s="465"/>
      <c r="C8" s="130">
        <v>11</v>
      </c>
      <c r="D8" s="242"/>
    </row>
    <row r="9" spans="1:26" x14ac:dyDescent="0.2">
      <c r="A9" s="472" t="s">
        <v>9</v>
      </c>
      <c r="B9" s="465"/>
      <c r="C9" s="131">
        <v>11</v>
      </c>
      <c r="D9" s="242"/>
    </row>
    <row r="10" spans="1:26" x14ac:dyDescent="0.2">
      <c r="A10" s="473" t="s">
        <v>231</v>
      </c>
      <c r="B10" s="465"/>
      <c r="C10" s="253">
        <v>55</v>
      </c>
      <c r="D10" s="260"/>
    </row>
    <row r="11" spans="1:26" x14ac:dyDescent="0.2">
      <c r="A11" s="473" t="s">
        <v>186</v>
      </c>
      <c r="B11" s="465"/>
      <c r="C11" s="254">
        <v>220</v>
      </c>
      <c r="D11" s="242" t="s">
        <v>173</v>
      </c>
    </row>
    <row r="12" spans="1:26" x14ac:dyDescent="0.2">
      <c r="A12" s="472" t="s">
        <v>11</v>
      </c>
      <c r="B12" s="465"/>
      <c r="C12" s="131">
        <v>220</v>
      </c>
      <c r="D12" s="242"/>
    </row>
    <row r="13" spans="1:26" x14ac:dyDescent="0.2">
      <c r="A13" s="464" t="s">
        <v>12</v>
      </c>
      <c r="B13" s="465"/>
      <c r="C13" s="161" t="s">
        <v>245</v>
      </c>
      <c r="D13" s="242"/>
    </row>
    <row r="14" spans="1:26" x14ac:dyDescent="0.2">
      <c r="A14" s="471" t="s">
        <v>14</v>
      </c>
      <c r="B14" s="465"/>
      <c r="C14" s="252" t="s">
        <v>241</v>
      </c>
      <c r="D14" s="257"/>
    </row>
    <row r="15" spans="1:26" x14ac:dyDescent="0.2">
      <c r="A15" s="471" t="s">
        <v>16</v>
      </c>
      <c r="B15" s="465"/>
      <c r="C15" s="133">
        <v>60</v>
      </c>
      <c r="D15" s="242"/>
    </row>
    <row r="16" spans="1:26" x14ac:dyDescent="0.2">
      <c r="A16" s="464" t="s">
        <v>17</v>
      </c>
      <c r="B16" s="465"/>
      <c r="C16" s="132" t="s">
        <v>176</v>
      </c>
      <c r="D16" s="242"/>
    </row>
    <row r="17" spans="1:26" x14ac:dyDescent="0.2">
      <c r="A17" s="471" t="s">
        <v>18</v>
      </c>
      <c r="B17" s="465"/>
      <c r="C17" s="165" t="s">
        <v>262</v>
      </c>
      <c r="D17" s="258" t="s">
        <v>190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</row>
    <row r="18" spans="1:26" x14ac:dyDescent="0.2">
      <c r="A18" s="471" t="s">
        <v>19</v>
      </c>
      <c r="B18" s="465"/>
      <c r="C18" s="166" t="s">
        <v>263</v>
      </c>
      <c r="D18" s="294" t="s">
        <v>20</v>
      </c>
    </row>
    <row r="19" spans="1:26" x14ac:dyDescent="0.2">
      <c r="A19" s="471" t="s">
        <v>21</v>
      </c>
      <c r="B19" s="465"/>
      <c r="C19" s="251" t="s">
        <v>265</v>
      </c>
      <c r="D19" s="259" t="s">
        <v>264</v>
      </c>
    </row>
    <row r="20" spans="1:26" x14ac:dyDescent="0.2">
      <c r="A20" s="471" t="s">
        <v>22</v>
      </c>
      <c r="B20" s="465"/>
      <c r="C20" s="167">
        <v>2211</v>
      </c>
      <c r="D20" s="242" t="s">
        <v>173</v>
      </c>
    </row>
    <row r="21" spans="1:26" x14ac:dyDescent="0.2">
      <c r="A21" s="13" t="s">
        <v>89</v>
      </c>
      <c r="B21" s="15"/>
      <c r="C21" s="168" t="s">
        <v>13</v>
      </c>
      <c r="D21" s="242"/>
    </row>
    <row r="22" spans="1:26" x14ac:dyDescent="0.2">
      <c r="A22" s="472" t="s">
        <v>23</v>
      </c>
      <c r="B22" s="465"/>
      <c r="C22" s="169">
        <v>5.3</v>
      </c>
      <c r="D22" s="256"/>
    </row>
    <row r="23" spans="1:26" x14ac:dyDescent="0.2">
      <c r="A23" s="476" t="s">
        <v>23</v>
      </c>
      <c r="B23" s="465"/>
      <c r="C23" s="170">
        <v>0.06</v>
      </c>
      <c r="D23" s="285" t="s">
        <v>174</v>
      </c>
    </row>
    <row r="24" spans="1:26" x14ac:dyDescent="0.2">
      <c r="A24" s="475" t="s">
        <v>24</v>
      </c>
      <c r="B24" s="465"/>
      <c r="C24" s="171">
        <f>C6*2</f>
        <v>44</v>
      </c>
      <c r="D24" s="256"/>
    </row>
    <row r="25" spans="1:26" x14ac:dyDescent="0.2">
      <c r="A25" s="472" t="s">
        <v>25</v>
      </c>
      <c r="B25" s="465"/>
      <c r="C25" s="172">
        <v>33</v>
      </c>
      <c r="D25" s="295" t="s">
        <v>288</v>
      </c>
    </row>
    <row r="26" spans="1:26" x14ac:dyDescent="0.2">
      <c r="A26" s="475" t="s">
        <v>26</v>
      </c>
      <c r="B26" s="465"/>
      <c r="C26" s="173">
        <v>0.2</v>
      </c>
      <c r="D26" s="295"/>
    </row>
    <row r="27" spans="1:26" x14ac:dyDescent="0.2">
      <c r="A27" s="475" t="s">
        <v>27</v>
      </c>
      <c r="B27" s="465"/>
      <c r="C27" s="174">
        <f>C6</f>
        <v>22</v>
      </c>
      <c r="D27" s="256"/>
    </row>
    <row r="28" spans="1:26" x14ac:dyDescent="0.2">
      <c r="A28" s="472" t="s">
        <v>28</v>
      </c>
      <c r="B28" s="465"/>
      <c r="C28" s="172">
        <v>0</v>
      </c>
      <c r="D28" s="256"/>
    </row>
    <row r="29" spans="1:26" x14ac:dyDescent="0.2">
      <c r="A29" s="472" t="s">
        <v>29</v>
      </c>
      <c r="B29" s="465"/>
      <c r="C29" s="172">
        <v>0</v>
      </c>
      <c r="D29" s="256"/>
    </row>
    <row r="30" spans="1:26" x14ac:dyDescent="0.2">
      <c r="A30" s="472" t="s">
        <v>30</v>
      </c>
      <c r="B30" s="465"/>
      <c r="C30" s="169">
        <v>0</v>
      </c>
      <c r="D30" s="256"/>
    </row>
    <row r="31" spans="1:26" x14ac:dyDescent="0.2">
      <c r="A31" s="16" t="s">
        <v>31</v>
      </c>
      <c r="B31" s="15"/>
      <c r="C31" s="134">
        <v>0.5</v>
      </c>
      <c r="D31" s="256"/>
    </row>
    <row r="32" spans="1:26" x14ac:dyDescent="0.2">
      <c r="A32" s="471" t="s">
        <v>32</v>
      </c>
      <c r="B32" s="465"/>
      <c r="C32" s="134">
        <v>0.2</v>
      </c>
      <c r="D32" s="256"/>
    </row>
    <row r="33" spans="1:4" x14ac:dyDescent="0.2">
      <c r="A33" s="471" t="s">
        <v>33</v>
      </c>
      <c r="B33" s="465"/>
      <c r="C33" s="134">
        <v>0</v>
      </c>
      <c r="D33" s="256"/>
    </row>
    <row r="34" spans="1:4" ht="76.5" x14ac:dyDescent="0.2">
      <c r="A34" s="19" t="s">
        <v>90</v>
      </c>
      <c r="B34" s="20"/>
      <c r="C34" s="135">
        <v>0.3</v>
      </c>
      <c r="D34" s="256" t="s">
        <v>175</v>
      </c>
    </row>
    <row r="35" spans="1:4" x14ac:dyDescent="0.2">
      <c r="A35" s="19" t="s">
        <v>91</v>
      </c>
      <c r="B35" s="20"/>
      <c r="C35" s="135">
        <v>0</v>
      </c>
      <c r="D35" s="256"/>
    </row>
    <row r="36" spans="1:4" s="286" customFormat="1" x14ac:dyDescent="0.2">
      <c r="A36" s="287" t="s">
        <v>287</v>
      </c>
      <c r="B36" s="20"/>
      <c r="C36" s="288">
        <v>1.67</v>
      </c>
      <c r="D36" s="256"/>
    </row>
    <row r="37" spans="1:4" s="286" customFormat="1" ht="51" x14ac:dyDescent="0.2">
      <c r="A37" s="287" t="s">
        <v>289</v>
      </c>
      <c r="B37" s="20"/>
      <c r="C37" s="288">
        <v>80</v>
      </c>
      <c r="D37" s="258" t="s">
        <v>291</v>
      </c>
    </row>
    <row r="38" spans="1:4" s="286" customFormat="1" x14ac:dyDescent="0.2">
      <c r="A38" s="287" t="s">
        <v>290</v>
      </c>
      <c r="B38" s="20"/>
      <c r="C38" s="288">
        <v>75.41</v>
      </c>
      <c r="D38" s="306" t="s">
        <v>294</v>
      </c>
    </row>
    <row r="39" spans="1:4" s="286" customFormat="1" x14ac:dyDescent="0.2">
      <c r="A39" s="287" t="s">
        <v>293</v>
      </c>
      <c r="B39" s="20"/>
      <c r="C39" s="288">
        <v>96.61</v>
      </c>
      <c r="D39" s="258" t="s">
        <v>292</v>
      </c>
    </row>
    <row r="40" spans="1:4" ht="13.5" thickBot="1" x14ac:dyDescent="0.25">
      <c r="A40" s="176" t="s">
        <v>123</v>
      </c>
      <c r="B40" s="158"/>
      <c r="C40" s="136">
        <v>1.7999999999999999E-2</v>
      </c>
      <c r="D40" s="248"/>
    </row>
    <row r="41" spans="1:4" x14ac:dyDescent="0.2">
      <c r="A41" s="477" t="s">
        <v>92</v>
      </c>
      <c r="B41" s="478"/>
      <c r="C41" s="478"/>
      <c r="D41" s="478"/>
    </row>
    <row r="42" spans="1:4" x14ac:dyDescent="0.2">
      <c r="A42" s="477"/>
      <c r="B42" s="478"/>
      <c r="C42" s="478"/>
      <c r="D42" s="478"/>
    </row>
    <row r="43" spans="1:4" ht="13.5" thickBot="1" x14ac:dyDescent="0.25">
      <c r="A43" s="22"/>
      <c r="B43" s="22"/>
      <c r="C43" s="22"/>
      <c r="D43" s="22"/>
    </row>
    <row r="44" spans="1:4" x14ac:dyDescent="0.2">
      <c r="A44" s="479" t="s">
        <v>34</v>
      </c>
      <c r="B44" s="480"/>
      <c r="C44" s="481"/>
      <c r="D44" s="12" t="s">
        <v>1</v>
      </c>
    </row>
    <row r="45" spans="1:4" x14ac:dyDescent="0.2">
      <c r="A45" s="472" t="s">
        <v>35</v>
      </c>
      <c r="B45" s="465"/>
      <c r="C45" s="23">
        <f>C11</f>
        <v>220</v>
      </c>
      <c r="D45" s="14"/>
    </row>
    <row r="46" spans="1:4" x14ac:dyDescent="0.2">
      <c r="A46" s="472" t="s">
        <v>11</v>
      </c>
      <c r="B46" s="465"/>
      <c r="C46" s="23">
        <f>C12</f>
        <v>220</v>
      </c>
      <c r="D46" s="14"/>
    </row>
    <row r="47" spans="1:4" x14ac:dyDescent="0.2">
      <c r="A47" s="472" t="s">
        <v>10</v>
      </c>
      <c r="B47" s="465"/>
      <c r="C47" s="23">
        <f>C10</f>
        <v>55</v>
      </c>
      <c r="D47" s="14"/>
    </row>
    <row r="48" spans="1:4" x14ac:dyDescent="0.2">
      <c r="A48" s="472" t="s">
        <v>36</v>
      </c>
      <c r="B48" s="465"/>
      <c r="C48" s="24">
        <f>C20/C45</f>
        <v>10.050000000000001</v>
      </c>
      <c r="D48" s="14"/>
    </row>
    <row r="49" spans="1:4" x14ac:dyDescent="0.2">
      <c r="A49" s="472" t="s">
        <v>37</v>
      </c>
      <c r="B49" s="465"/>
      <c r="C49" s="24">
        <f>C48*(1+B60+B59+B61)</f>
        <v>13.065000000000001</v>
      </c>
      <c r="D49" s="14"/>
    </row>
    <row r="50" spans="1:4" ht="13.5" thickBot="1" x14ac:dyDescent="0.25">
      <c r="A50" s="482" t="s">
        <v>38</v>
      </c>
      <c r="B50" s="483"/>
      <c r="C50" s="25">
        <f>C49*C32</f>
        <v>2.6130000000000004</v>
      </c>
      <c r="D50" s="21"/>
    </row>
    <row r="51" spans="1:4" ht="13.5" thickBot="1" x14ac:dyDescent="0.25">
      <c r="A51" s="485"/>
      <c r="B51" s="486"/>
      <c r="C51" s="486"/>
      <c r="D51" s="486"/>
    </row>
    <row r="52" spans="1:4" x14ac:dyDescent="0.2">
      <c r="A52" s="484" t="s">
        <v>39</v>
      </c>
      <c r="B52" s="480"/>
      <c r="C52" s="481"/>
      <c r="D52" s="296" t="s">
        <v>1</v>
      </c>
    </row>
    <row r="53" spans="1:4" x14ac:dyDescent="0.2">
      <c r="A53" s="489" t="s">
        <v>40</v>
      </c>
      <c r="B53" s="490"/>
      <c r="C53" s="491"/>
      <c r="D53" s="297"/>
    </row>
    <row r="54" spans="1:4" x14ac:dyDescent="0.2">
      <c r="A54" s="26" t="s">
        <v>41</v>
      </c>
      <c r="B54" s="27" t="s">
        <v>42</v>
      </c>
      <c r="C54" s="28" t="s">
        <v>43</v>
      </c>
      <c r="D54" s="297"/>
    </row>
    <row r="55" spans="1:4" x14ac:dyDescent="0.2">
      <c r="A55" s="29" t="s">
        <v>44</v>
      </c>
      <c r="B55" s="30"/>
      <c r="C55" s="31">
        <f>IF(C46&lt;C45,(C48*C46),C20)</f>
        <v>2211</v>
      </c>
      <c r="D55" s="297"/>
    </row>
    <row r="56" spans="1:4" x14ac:dyDescent="0.2">
      <c r="A56" s="29" t="s">
        <v>31</v>
      </c>
      <c r="B56" s="30">
        <f>C31</f>
        <v>0.5</v>
      </c>
      <c r="C56" s="31">
        <f>C49*C47*(1+B56)</f>
        <v>1077.8625000000002</v>
      </c>
      <c r="D56" s="297" t="s">
        <v>45</v>
      </c>
    </row>
    <row r="57" spans="1:4" ht="25.5" x14ac:dyDescent="0.2">
      <c r="A57" s="29" t="s">
        <v>32</v>
      </c>
      <c r="B57" s="30">
        <f>C32</f>
        <v>0.2</v>
      </c>
      <c r="C57" s="31">
        <f>ROUND(((C7*C6)*C50),2)</f>
        <v>0</v>
      </c>
      <c r="D57" s="298" t="s">
        <v>46</v>
      </c>
    </row>
    <row r="58" spans="1:4" ht="25.5" x14ac:dyDescent="0.2">
      <c r="A58" s="175" t="s">
        <v>194</v>
      </c>
      <c r="B58" s="30"/>
      <c r="C58" s="31">
        <f>TRUNC(ROUND((C7*C6)*((60/52.5)-1)*((C55+C59+C60)/C46)*1.2,2),2)</f>
        <v>0</v>
      </c>
      <c r="D58" s="299" t="s">
        <v>193</v>
      </c>
    </row>
    <row r="59" spans="1:4" ht="51" x14ac:dyDescent="0.2">
      <c r="A59" s="29" t="s">
        <v>33</v>
      </c>
      <c r="B59" s="30">
        <f>C33</f>
        <v>0</v>
      </c>
      <c r="C59" s="31">
        <f>C20*B59</f>
        <v>0</v>
      </c>
      <c r="D59" s="298" t="s">
        <v>93</v>
      </c>
    </row>
    <row r="60" spans="1:4" ht="38.25" x14ac:dyDescent="0.2">
      <c r="A60" s="29" t="s">
        <v>90</v>
      </c>
      <c r="B60" s="30">
        <f>C34</f>
        <v>0.3</v>
      </c>
      <c r="C60" s="31">
        <f>TRUNC(ROUND(B60*C55,2),2)</f>
        <v>663.3</v>
      </c>
      <c r="D60" s="298" t="s">
        <v>94</v>
      </c>
    </row>
    <row r="61" spans="1:4" x14ac:dyDescent="0.2">
      <c r="A61" s="29" t="s">
        <v>91</v>
      </c>
      <c r="B61" s="30">
        <f>C35</f>
        <v>0</v>
      </c>
      <c r="C61" s="31">
        <f>C55*B61</f>
        <v>0</v>
      </c>
      <c r="D61" s="297"/>
    </row>
    <row r="62" spans="1:4" x14ac:dyDescent="0.2">
      <c r="A62" s="32" t="s">
        <v>47</v>
      </c>
      <c r="B62" s="30"/>
      <c r="C62" s="31">
        <f>TRUNC(ROUND((C56+C57+C58)*20%,2),2)</f>
        <v>215.57</v>
      </c>
      <c r="D62" s="291" t="s">
        <v>195</v>
      </c>
    </row>
    <row r="63" spans="1:4" s="286" customFormat="1" x14ac:dyDescent="0.2">
      <c r="A63" s="32" t="str">
        <f>A36</f>
        <v>1.9. Adicional de troca de uniforme</v>
      </c>
      <c r="B63" s="290"/>
      <c r="C63" s="301">
        <f>C36*C6</f>
        <v>36.739999999999995</v>
      </c>
      <c r="D63" s="291"/>
    </row>
    <row r="64" spans="1:4" s="286" customFormat="1" hidden="1" x14ac:dyDescent="0.2">
      <c r="A64" s="32"/>
      <c r="B64" s="290"/>
      <c r="C64" s="301"/>
      <c r="D64" s="291"/>
    </row>
    <row r="65" spans="1:26" s="286" customFormat="1" hidden="1" x14ac:dyDescent="0.2">
      <c r="A65" s="32"/>
      <c r="B65" s="290"/>
      <c r="C65" s="303"/>
      <c r="D65" s="291"/>
    </row>
    <row r="66" spans="1:26" x14ac:dyDescent="0.2">
      <c r="A66" s="178" t="s">
        <v>240</v>
      </c>
      <c r="B66" s="30"/>
      <c r="C66" s="31">
        <f>IF(ISNUMBER(C14),C14,0)</f>
        <v>0</v>
      </c>
      <c r="D66" s="291"/>
    </row>
    <row r="67" spans="1:26" x14ac:dyDescent="0.2">
      <c r="A67" s="33" t="s">
        <v>48</v>
      </c>
      <c r="B67" s="30"/>
      <c r="C67" s="31">
        <f>SUM(C55:C66)</f>
        <v>4204.4724999999999</v>
      </c>
      <c r="D67" s="297"/>
    </row>
    <row r="68" spans="1:26" ht="13.5" thickBot="1" x14ac:dyDescent="0.25">
      <c r="A68" s="34" t="s">
        <v>49</v>
      </c>
      <c r="B68" s="35"/>
      <c r="C68" s="36">
        <f>C67</f>
        <v>4204.4724999999999</v>
      </c>
      <c r="D68" s="300"/>
    </row>
    <row r="69" spans="1:26" ht="13.5" thickBot="1" x14ac:dyDescent="0.25">
      <c r="A69" s="37"/>
      <c r="B69" s="38"/>
      <c r="C69" s="39"/>
    </row>
    <row r="70" spans="1:26" x14ac:dyDescent="0.2">
      <c r="A70" s="492" t="s">
        <v>50</v>
      </c>
      <c r="B70" s="480"/>
      <c r="C70" s="481"/>
      <c r="D70" s="40" t="s">
        <v>1</v>
      </c>
    </row>
    <row r="71" spans="1:26" ht="25.5" x14ac:dyDescent="0.2">
      <c r="A71" s="26" t="s">
        <v>51</v>
      </c>
      <c r="B71" s="41" t="s">
        <v>52</v>
      </c>
      <c r="C71" s="28" t="s">
        <v>43</v>
      </c>
      <c r="D71" s="14"/>
    </row>
    <row r="72" spans="1:26" ht="25.5" x14ac:dyDescent="0.2">
      <c r="A72" s="29" t="s">
        <v>53</v>
      </c>
      <c r="B72" s="30">
        <f>C72/C68</f>
        <v>2.3912631132680738E-2</v>
      </c>
      <c r="C72" s="31">
        <f>TRUNC(ROUND(((C22*C24)-(C55*C23)),2),2)</f>
        <v>100.54</v>
      </c>
      <c r="D72" s="42" t="s">
        <v>54</v>
      </c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</row>
    <row r="73" spans="1:26" x14ac:dyDescent="0.2">
      <c r="A73" s="43" t="s">
        <v>55</v>
      </c>
      <c r="B73" s="44">
        <f t="shared" ref="B73:B76" si="0">C73/C$68</f>
        <v>0.13813861310782743</v>
      </c>
      <c r="C73" s="45">
        <f>TRUNC(ROUND((C25*C27)*(100%-C26),2),2)</f>
        <v>580.79999999999995</v>
      </c>
      <c r="D73" s="46" t="s">
        <v>56</v>
      </c>
    </row>
    <row r="74" spans="1:26" x14ac:dyDescent="0.2">
      <c r="A74" s="47" t="s">
        <v>57</v>
      </c>
      <c r="B74" s="44">
        <f t="shared" si="0"/>
        <v>0</v>
      </c>
      <c r="C74" s="48">
        <f>C28/12</f>
        <v>0</v>
      </c>
      <c r="D74" s="46"/>
    </row>
    <row r="75" spans="1:26" x14ac:dyDescent="0.2">
      <c r="A75" s="47" t="s">
        <v>58</v>
      </c>
      <c r="B75" s="44">
        <f t="shared" si="0"/>
        <v>0</v>
      </c>
      <c r="C75" s="48">
        <f>C29</f>
        <v>0</v>
      </c>
      <c r="D75" s="46"/>
    </row>
    <row r="76" spans="1:26" x14ac:dyDescent="0.2">
      <c r="A76" s="49" t="s">
        <v>59</v>
      </c>
      <c r="B76" s="44">
        <f t="shared" si="0"/>
        <v>0</v>
      </c>
      <c r="C76" s="48">
        <f>C30/12</f>
        <v>0</v>
      </c>
      <c r="D76" s="46"/>
    </row>
    <row r="77" spans="1:26" ht="13.5" thickBot="1" x14ac:dyDescent="0.25">
      <c r="A77" s="34" t="s">
        <v>60</v>
      </c>
      <c r="B77" s="50">
        <f t="shared" ref="B77:C77" si="1">SUM(B72:B76)</f>
        <v>0.16205124424050818</v>
      </c>
      <c r="C77" s="36">
        <f t="shared" si="1"/>
        <v>681.33999999999992</v>
      </c>
      <c r="D77" s="21"/>
    </row>
    <row r="78" spans="1:26" x14ac:dyDescent="0.2">
      <c r="A78" s="51" t="s">
        <v>95</v>
      </c>
    </row>
    <row r="80" spans="1:26" ht="13.5" thickBot="1" x14ac:dyDescent="0.25">
      <c r="A80" s="485"/>
      <c r="B80" s="486"/>
      <c r="C80" s="486"/>
      <c r="D80" s="493"/>
    </row>
    <row r="81" spans="1:4" x14ac:dyDescent="0.2">
      <c r="A81" s="494" t="s">
        <v>103</v>
      </c>
      <c r="B81" s="480"/>
      <c r="C81" s="480"/>
      <c r="D81" s="250" t="s">
        <v>1</v>
      </c>
    </row>
    <row r="82" spans="1:4" x14ac:dyDescent="0.2">
      <c r="A82" s="495" t="s">
        <v>104</v>
      </c>
      <c r="B82" s="490"/>
      <c r="C82" s="490"/>
      <c r="D82" s="242"/>
    </row>
    <row r="83" spans="1:4" x14ac:dyDescent="0.2">
      <c r="A83" s="52" t="s">
        <v>62</v>
      </c>
      <c r="B83" s="53" t="s">
        <v>42</v>
      </c>
      <c r="C83" s="79" t="s">
        <v>43</v>
      </c>
      <c r="D83" s="242"/>
    </row>
    <row r="84" spans="1:4" x14ac:dyDescent="0.2">
      <c r="A84" s="29" t="s">
        <v>119</v>
      </c>
      <c r="B84" s="30">
        <v>0.2</v>
      </c>
      <c r="C84" s="73">
        <f t="shared" ref="C84:C92" si="2">TRUNC(ROUND($C$68*B84,2),2)</f>
        <v>840.89</v>
      </c>
      <c r="D84" s="243" t="s">
        <v>228</v>
      </c>
    </row>
    <row r="85" spans="1:4" x14ac:dyDescent="0.2">
      <c r="A85" s="29" t="s">
        <v>120</v>
      </c>
      <c r="B85" s="30">
        <v>1.4999999999999999E-2</v>
      </c>
      <c r="C85" s="73">
        <f t="shared" si="2"/>
        <v>63.07</v>
      </c>
      <c r="D85" s="243" t="s">
        <v>228</v>
      </c>
    </row>
    <row r="86" spans="1:4" x14ac:dyDescent="0.2">
      <c r="A86" s="29" t="s">
        <v>121</v>
      </c>
      <c r="B86" s="30">
        <v>2E-3</v>
      </c>
      <c r="C86" s="73">
        <f t="shared" si="2"/>
        <v>8.41</v>
      </c>
      <c r="D86" s="243" t="s">
        <v>228</v>
      </c>
    </row>
    <row r="87" spans="1:4" x14ac:dyDescent="0.2">
      <c r="A87" s="29" t="s">
        <v>126</v>
      </c>
      <c r="B87" s="30">
        <v>0.01</v>
      </c>
      <c r="C87" s="73">
        <f t="shared" si="2"/>
        <v>42.04</v>
      </c>
      <c r="D87" s="243" t="s">
        <v>228</v>
      </c>
    </row>
    <row r="88" spans="1:4" x14ac:dyDescent="0.2">
      <c r="A88" s="29" t="s">
        <v>122</v>
      </c>
      <c r="B88" s="30">
        <v>2.5000000000000001E-2</v>
      </c>
      <c r="C88" s="73">
        <f t="shared" si="2"/>
        <v>105.11</v>
      </c>
      <c r="D88" s="243" t="s">
        <v>228</v>
      </c>
    </row>
    <row r="89" spans="1:4" x14ac:dyDescent="0.2">
      <c r="A89" s="175" t="s">
        <v>261</v>
      </c>
      <c r="B89" s="54">
        <f>C40</f>
        <v>1.7999999999999999E-2</v>
      </c>
      <c r="C89" s="73">
        <f t="shared" si="2"/>
        <v>75.680000000000007</v>
      </c>
      <c r="D89" s="243" t="s">
        <v>228</v>
      </c>
    </row>
    <row r="90" spans="1:4" x14ac:dyDescent="0.2">
      <c r="A90" s="29" t="s">
        <v>124</v>
      </c>
      <c r="B90" s="30">
        <v>0.08</v>
      </c>
      <c r="C90" s="73">
        <f t="shared" si="2"/>
        <v>336.36</v>
      </c>
      <c r="D90" s="243" t="s">
        <v>228</v>
      </c>
    </row>
    <row r="91" spans="1:4" x14ac:dyDescent="0.2">
      <c r="A91" s="29" t="s">
        <v>125</v>
      </c>
      <c r="B91" s="30">
        <v>6.0000000000000001E-3</v>
      </c>
      <c r="C91" s="73">
        <f t="shared" si="2"/>
        <v>25.23</v>
      </c>
      <c r="D91" s="243" t="s">
        <v>228</v>
      </c>
    </row>
    <row r="92" spans="1:4" x14ac:dyDescent="0.2">
      <c r="A92" s="175" t="s">
        <v>226</v>
      </c>
      <c r="B92" s="30">
        <v>0.03</v>
      </c>
      <c r="C92" s="73">
        <f t="shared" si="2"/>
        <v>126.13</v>
      </c>
      <c r="D92" s="243" t="s">
        <v>228</v>
      </c>
    </row>
    <row r="93" spans="1:4" ht="13.5" thickBot="1" x14ac:dyDescent="0.25">
      <c r="A93" s="55" t="s">
        <v>111</v>
      </c>
      <c r="B93" s="56">
        <f t="shared" ref="B93:C93" si="3">SUM(B84:B92)</f>
        <v>0.38600000000000012</v>
      </c>
      <c r="C93" s="247">
        <f t="shared" si="3"/>
        <v>1622.92</v>
      </c>
      <c r="D93" s="248"/>
    </row>
    <row r="94" spans="1:4" ht="13.5" thickBot="1" x14ac:dyDescent="0.25">
      <c r="A94" s="37"/>
      <c r="B94" s="39"/>
      <c r="C94" s="39"/>
    </row>
    <row r="95" spans="1:4" x14ac:dyDescent="0.2">
      <c r="A95" s="496" t="s">
        <v>105</v>
      </c>
      <c r="B95" s="480"/>
      <c r="C95" s="480"/>
      <c r="D95" s="241" t="s">
        <v>1</v>
      </c>
    </row>
    <row r="96" spans="1:4" x14ac:dyDescent="0.2">
      <c r="A96" s="59" t="s">
        <v>62</v>
      </c>
      <c r="B96" s="60" t="s">
        <v>42</v>
      </c>
      <c r="C96" s="71" t="s">
        <v>43</v>
      </c>
      <c r="D96" s="242"/>
    </row>
    <row r="97" spans="1:26" x14ac:dyDescent="0.2">
      <c r="A97" s="29" t="s">
        <v>127</v>
      </c>
      <c r="B97" s="30">
        <f>C97/C68</f>
        <v>2.7777563059337412E-2</v>
      </c>
      <c r="C97" s="73">
        <f>TRUNC(ROUND(($C$68/3)/12,2),2)</f>
        <v>116.79</v>
      </c>
      <c r="D97" s="243" t="s">
        <v>228</v>
      </c>
    </row>
    <row r="98" spans="1:26" x14ac:dyDescent="0.2">
      <c r="A98" s="62" t="s">
        <v>128</v>
      </c>
      <c r="B98" s="30">
        <v>8.3299999999999999E-2</v>
      </c>
      <c r="C98" s="73">
        <f>TRUNC(ROUND($C$68*B98,2),2)</f>
        <v>350.23</v>
      </c>
      <c r="D98" s="243" t="s">
        <v>228</v>
      </c>
    </row>
    <row r="99" spans="1:26" x14ac:dyDescent="0.2">
      <c r="A99" s="33" t="s">
        <v>63</v>
      </c>
      <c r="B99" s="63">
        <f>B97+B98</f>
        <v>0.11107756305933741</v>
      </c>
      <c r="C99" s="246">
        <f>SUM(C97:C98)</f>
        <v>467.02000000000004</v>
      </c>
      <c r="D99" s="242"/>
    </row>
    <row r="100" spans="1:26" x14ac:dyDescent="0.2">
      <c r="A100" s="49" t="s">
        <v>129</v>
      </c>
      <c r="B100" s="30">
        <f>B99*B93</f>
        <v>4.2875939340904258E-2</v>
      </c>
      <c r="C100" s="73">
        <f>TRUNC(ROUND($C$68*B100,2),2)</f>
        <v>180.27</v>
      </c>
      <c r="D100" s="243" t="s">
        <v>228</v>
      </c>
    </row>
    <row r="101" spans="1:26" ht="13.5" thickBot="1" x14ac:dyDescent="0.25">
      <c r="A101" s="64" t="s">
        <v>110</v>
      </c>
      <c r="B101" s="56">
        <f>B99+B100</f>
        <v>0.15395350240024167</v>
      </c>
      <c r="C101" s="247">
        <f>SUM(C99:C100)</f>
        <v>647.29000000000008</v>
      </c>
      <c r="D101" s="248"/>
    </row>
    <row r="102" spans="1:26" ht="13.5" thickBot="1" x14ac:dyDescent="0.25">
      <c r="A102" s="65"/>
      <c r="B102" s="66"/>
      <c r="C102" s="66"/>
    </row>
    <row r="103" spans="1:26" x14ac:dyDescent="0.2">
      <c r="A103" s="496" t="s">
        <v>106</v>
      </c>
      <c r="B103" s="480"/>
      <c r="C103" s="481"/>
      <c r="D103" s="58" t="s">
        <v>1</v>
      </c>
    </row>
    <row r="104" spans="1:26" x14ac:dyDescent="0.2">
      <c r="A104" s="67" t="s">
        <v>62</v>
      </c>
      <c r="B104" s="60" t="s">
        <v>42</v>
      </c>
      <c r="C104" s="61" t="s">
        <v>43</v>
      </c>
      <c r="D104" s="14"/>
    </row>
    <row r="105" spans="1:26" x14ac:dyDescent="0.2">
      <c r="A105" s="43" t="s">
        <v>130</v>
      </c>
      <c r="B105" s="30">
        <v>6.9999999999999999E-4</v>
      </c>
      <c r="C105" s="31">
        <f t="shared" ref="C105:C106" si="4">TRUNC(ROUND($C$68*B105,2),2)</f>
        <v>2.94</v>
      </c>
      <c r="D105" s="243" t="s">
        <v>228</v>
      </c>
      <c r="E105" s="17"/>
      <c r="F105" s="17"/>
      <c r="G105" s="17"/>
      <c r="H105" s="17"/>
      <c r="I105" s="17"/>
      <c r="J105" s="17"/>
      <c r="K105" s="17"/>
      <c r="L105" s="17"/>
      <c r="M105" s="17"/>
      <c r="N105" s="17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</row>
    <row r="106" spans="1:26" x14ac:dyDescent="0.2">
      <c r="A106" s="32" t="s">
        <v>131</v>
      </c>
      <c r="B106" s="30">
        <v>2.9999999999999997E-4</v>
      </c>
      <c r="C106" s="31">
        <f t="shared" si="4"/>
        <v>1.26</v>
      </c>
      <c r="D106" s="243" t="s">
        <v>228</v>
      </c>
      <c r="E106" s="17"/>
      <c r="F106" s="17"/>
      <c r="G106" s="17"/>
      <c r="H106" s="17"/>
      <c r="I106" s="17"/>
      <c r="J106" s="17"/>
      <c r="K106" s="17"/>
      <c r="L106" s="17"/>
      <c r="M106" s="17"/>
      <c r="N106" s="17"/>
      <c r="O106" s="17"/>
      <c r="P106" s="17"/>
      <c r="Q106" s="17"/>
      <c r="R106" s="17"/>
      <c r="S106" s="17"/>
      <c r="T106" s="17"/>
      <c r="U106" s="17"/>
      <c r="V106" s="17"/>
      <c r="W106" s="17"/>
      <c r="X106" s="17"/>
      <c r="Y106" s="17"/>
      <c r="Z106" s="17"/>
    </row>
    <row r="107" spans="1:26" ht="13.5" thickBot="1" x14ac:dyDescent="0.25">
      <c r="A107" s="164" t="s">
        <v>109</v>
      </c>
      <c r="B107" s="56">
        <f>B105+B106</f>
        <v>1E-3</v>
      </c>
      <c r="C107" s="57">
        <f>SUM(C105:C106)</f>
        <v>4.2</v>
      </c>
      <c r="D107" s="21"/>
    </row>
    <row r="108" spans="1:26" ht="13.5" thickBot="1" x14ac:dyDescent="0.25">
      <c r="A108" s="68"/>
      <c r="B108" s="69"/>
      <c r="C108" s="69"/>
    </row>
    <row r="109" spans="1:26" x14ac:dyDescent="0.2">
      <c r="A109" s="496" t="s">
        <v>107</v>
      </c>
      <c r="B109" s="480"/>
      <c r="C109" s="480"/>
      <c r="D109" s="241" t="s">
        <v>1</v>
      </c>
    </row>
    <row r="110" spans="1:26" x14ac:dyDescent="0.2">
      <c r="A110" s="70" t="s">
        <v>62</v>
      </c>
      <c r="B110" s="60" t="s">
        <v>42</v>
      </c>
      <c r="C110" s="71" t="s">
        <v>43</v>
      </c>
      <c r="D110" s="242"/>
    </row>
    <row r="111" spans="1:26" x14ac:dyDescent="0.2">
      <c r="A111" s="72" t="s">
        <v>132</v>
      </c>
      <c r="B111" s="30">
        <v>2.64E-2</v>
      </c>
      <c r="C111" s="73">
        <f t="shared" ref="C111:C117" si="5">TRUNC(ROUND($C$68*B111,2),2)</f>
        <v>111</v>
      </c>
      <c r="D111" s="243" t="s">
        <v>228</v>
      </c>
      <c r="E111" s="17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7"/>
      <c r="X111" s="17"/>
      <c r="Y111" s="17"/>
      <c r="Z111" s="17"/>
    </row>
    <row r="112" spans="1:26" x14ac:dyDescent="0.2">
      <c r="A112" s="74" t="s">
        <v>133</v>
      </c>
      <c r="B112" s="30">
        <f>B111*B90</f>
        <v>2.1120000000000002E-3</v>
      </c>
      <c r="C112" s="73">
        <f t="shared" si="5"/>
        <v>8.8800000000000008</v>
      </c>
      <c r="D112" s="243" t="s">
        <v>228</v>
      </c>
    </row>
    <row r="113" spans="1:26" x14ac:dyDescent="0.2">
      <c r="A113" s="72" t="s">
        <v>134</v>
      </c>
      <c r="B113" s="30">
        <v>1.1000000000000001E-3</v>
      </c>
      <c r="C113" s="73">
        <f t="shared" si="5"/>
        <v>4.62</v>
      </c>
      <c r="D113" s="243" t="s">
        <v>228</v>
      </c>
    </row>
    <row r="114" spans="1:26" x14ac:dyDescent="0.2">
      <c r="A114" s="239" t="s">
        <v>135</v>
      </c>
      <c r="B114" s="30">
        <v>3.1899999999999998E-2</v>
      </c>
      <c r="C114" s="73">
        <f t="shared" si="5"/>
        <v>134.12</v>
      </c>
      <c r="D114" s="243" t="s">
        <v>228</v>
      </c>
      <c r="F114" s="75"/>
    </row>
    <row r="115" spans="1:26" x14ac:dyDescent="0.2">
      <c r="A115" s="240" t="s">
        <v>227</v>
      </c>
      <c r="B115" s="30">
        <v>1.2999999999999999E-3</v>
      </c>
      <c r="C115" s="73">
        <f t="shared" si="5"/>
        <v>5.47</v>
      </c>
      <c r="D115" s="243" t="s">
        <v>228</v>
      </c>
    </row>
    <row r="116" spans="1:26" x14ac:dyDescent="0.2">
      <c r="A116" s="72" t="s">
        <v>136</v>
      </c>
      <c r="B116" s="30">
        <v>1.23E-2</v>
      </c>
      <c r="C116" s="73">
        <f t="shared" si="5"/>
        <v>51.72</v>
      </c>
      <c r="D116" s="243" t="s">
        <v>228</v>
      </c>
    </row>
    <row r="117" spans="1:26" x14ac:dyDescent="0.2">
      <c r="A117" s="74" t="s">
        <v>137</v>
      </c>
      <c r="B117" s="30">
        <v>0.04</v>
      </c>
      <c r="C117" s="73">
        <f t="shared" si="5"/>
        <v>168.18</v>
      </c>
      <c r="D117" s="243" t="s">
        <v>228</v>
      </c>
    </row>
    <row r="118" spans="1:26" x14ac:dyDescent="0.2">
      <c r="A118" s="76" t="s">
        <v>108</v>
      </c>
      <c r="B118" s="77">
        <f>SUM(B111:B117)</f>
        <v>0.11511199999999999</v>
      </c>
      <c r="C118" s="78">
        <f>SUM(C111:C117)</f>
        <v>483.99000000000007</v>
      </c>
      <c r="D118" s="244"/>
    </row>
    <row r="119" spans="1:26" ht="13.5" thickBot="1" x14ac:dyDescent="0.25">
      <c r="A119" s="68"/>
      <c r="B119" s="69"/>
      <c r="C119" s="69"/>
      <c r="D119" s="245"/>
    </row>
    <row r="120" spans="1:26" x14ac:dyDescent="0.2">
      <c r="A120" s="487" t="s">
        <v>187</v>
      </c>
      <c r="B120" s="480"/>
      <c r="C120" s="480"/>
      <c r="D120" s="241" t="s">
        <v>1</v>
      </c>
    </row>
    <row r="121" spans="1:26" x14ac:dyDescent="0.2">
      <c r="A121" s="52" t="s">
        <v>62</v>
      </c>
      <c r="B121" s="53" t="s">
        <v>42</v>
      </c>
      <c r="C121" s="79" t="s">
        <v>43</v>
      </c>
      <c r="D121" s="249"/>
    </row>
    <row r="122" spans="1:26" x14ac:dyDescent="0.2">
      <c r="A122" s="47" t="s">
        <v>138</v>
      </c>
      <c r="B122" s="30">
        <v>8.3299999999999999E-2</v>
      </c>
      <c r="C122" s="73">
        <f t="shared" ref="C122:C126" si="6">TRUNC(ROUND($C$68*B122,2),2)</f>
        <v>350.23</v>
      </c>
      <c r="D122" s="243" t="s">
        <v>228</v>
      </c>
    </row>
    <row r="123" spans="1:26" x14ac:dyDescent="0.2">
      <c r="A123" s="29" t="s">
        <v>139</v>
      </c>
      <c r="B123" s="30">
        <v>1.8800000000000001E-2</v>
      </c>
      <c r="C123" s="73">
        <f t="shared" si="6"/>
        <v>79.040000000000006</v>
      </c>
      <c r="D123" s="243" t="s">
        <v>228</v>
      </c>
      <c r="E123" s="17"/>
      <c r="F123" s="17"/>
      <c r="G123" s="17"/>
      <c r="H123" s="17"/>
      <c r="I123" s="17"/>
      <c r="J123" s="17"/>
      <c r="K123" s="17"/>
      <c r="L123" s="17"/>
      <c r="M123" s="17"/>
      <c r="N123" s="17"/>
      <c r="O123" s="17"/>
      <c r="P123" s="17"/>
      <c r="Q123" s="17"/>
      <c r="R123" s="17"/>
      <c r="S123" s="17"/>
      <c r="T123" s="17"/>
      <c r="U123" s="17"/>
      <c r="V123" s="17"/>
      <c r="W123" s="17"/>
      <c r="X123" s="17"/>
      <c r="Y123" s="17"/>
      <c r="Z123" s="17"/>
    </row>
    <row r="124" spans="1:26" x14ac:dyDescent="0.2">
      <c r="A124" s="29" t="s">
        <v>140</v>
      </c>
      <c r="B124" s="30">
        <v>2.3099999999999999E-2</v>
      </c>
      <c r="C124" s="73">
        <f t="shared" si="6"/>
        <v>97.12</v>
      </c>
      <c r="D124" s="243" t="s">
        <v>228</v>
      </c>
      <c r="E124" s="17"/>
      <c r="F124" s="17"/>
      <c r="G124" s="17"/>
      <c r="H124" s="17"/>
      <c r="I124" s="17"/>
      <c r="J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</row>
    <row r="125" spans="1:26" x14ac:dyDescent="0.2">
      <c r="A125" s="29" t="s">
        <v>141</v>
      </c>
      <c r="B125" s="30">
        <v>1.04E-2</v>
      </c>
      <c r="C125" s="73">
        <f t="shared" si="6"/>
        <v>43.73</v>
      </c>
      <c r="D125" s="243" t="s">
        <v>228</v>
      </c>
    </row>
    <row r="126" spans="1:26" x14ac:dyDescent="0.2">
      <c r="A126" s="29" t="s">
        <v>142</v>
      </c>
      <c r="B126" s="30">
        <v>1.72E-2</v>
      </c>
      <c r="C126" s="73">
        <f t="shared" si="6"/>
        <v>72.319999999999993</v>
      </c>
      <c r="D126" s="243" t="s">
        <v>228</v>
      </c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</row>
    <row r="127" spans="1:26" x14ac:dyDescent="0.2">
      <c r="A127" s="80" t="s">
        <v>64</v>
      </c>
      <c r="B127" s="81">
        <f t="shared" ref="B127:C127" si="7">SUM(B122:B126)</f>
        <v>0.15279999999999999</v>
      </c>
      <c r="C127" s="246">
        <f t="shared" si="7"/>
        <v>642.44000000000005</v>
      </c>
      <c r="D127" s="242"/>
    </row>
    <row r="128" spans="1:26" x14ac:dyDescent="0.2">
      <c r="A128" s="49" t="s">
        <v>143</v>
      </c>
      <c r="B128" s="44">
        <v>5.8999999999999997E-2</v>
      </c>
      <c r="C128" s="73">
        <f>TRUNC(ROUND($C$68*B128,2),2)</f>
        <v>248.06</v>
      </c>
      <c r="D128" s="243" t="s">
        <v>228</v>
      </c>
    </row>
    <row r="129" spans="1:4" ht="13.5" thickBot="1" x14ac:dyDescent="0.25">
      <c r="A129" s="163" t="s">
        <v>188</v>
      </c>
      <c r="B129" s="82">
        <f t="shared" ref="B129:C129" si="8">B127+B128</f>
        <v>0.21179999999999999</v>
      </c>
      <c r="C129" s="247">
        <f t="shared" si="8"/>
        <v>890.5</v>
      </c>
      <c r="D129" s="248"/>
    </row>
    <row r="130" spans="1:4" ht="13.5" thickBot="1" x14ac:dyDescent="0.25">
      <c r="A130" s="65"/>
      <c r="B130" s="65"/>
      <c r="C130" s="65"/>
    </row>
    <row r="131" spans="1:4" x14ac:dyDescent="0.2">
      <c r="A131" s="488" t="s">
        <v>189</v>
      </c>
      <c r="B131" s="480"/>
      <c r="C131" s="481"/>
      <c r="D131" s="58" t="s">
        <v>1</v>
      </c>
    </row>
    <row r="132" spans="1:4" x14ac:dyDescent="0.2">
      <c r="A132" s="59" t="s">
        <v>112</v>
      </c>
      <c r="B132" s="60" t="s">
        <v>42</v>
      </c>
      <c r="C132" s="61" t="s">
        <v>43</v>
      </c>
      <c r="D132" s="14"/>
    </row>
    <row r="133" spans="1:4" s="286" customFormat="1" x14ac:dyDescent="0.2">
      <c r="A133" s="287" t="str">
        <f>A37</f>
        <v>1.91. Prêmio assiduidade</v>
      </c>
      <c r="B133" s="30">
        <f>C133/C$68</f>
        <v>1.9027357177386701E-2</v>
      </c>
      <c r="C133" s="31">
        <f>C37</f>
        <v>80</v>
      </c>
      <c r="D133" s="14"/>
    </row>
    <row r="134" spans="1:4" s="286" customFormat="1" x14ac:dyDescent="0.2">
      <c r="A134" s="287" t="str">
        <f>A38</f>
        <v>1.92. Reciclagem/formação continuada (Lei 14.967/24)</v>
      </c>
      <c r="B134" s="30">
        <f t="shared" ref="B134:B135" si="9">C134/C$68</f>
        <v>1.7935662559334136E-2</v>
      </c>
      <c r="C134" s="31">
        <v>75.41</v>
      </c>
      <c r="D134" s="14"/>
    </row>
    <row r="135" spans="1:4" s="286" customFormat="1" x14ac:dyDescent="0.2">
      <c r="A135" s="287" t="str">
        <f>A39</f>
        <v>1.93. Custeio da Aprendizagem</v>
      </c>
      <c r="B135" s="30">
        <f t="shared" si="9"/>
        <v>2.2977912211341614E-2</v>
      </c>
      <c r="C135" s="31">
        <f>C39</f>
        <v>96.61</v>
      </c>
      <c r="D135" s="14"/>
    </row>
    <row r="136" spans="1:4" x14ac:dyDescent="0.2">
      <c r="A136" s="29" t="s">
        <v>114</v>
      </c>
      <c r="B136" s="30">
        <f>B93</f>
        <v>0.38600000000000012</v>
      </c>
      <c r="C136" s="31">
        <f>C93</f>
        <v>1622.92</v>
      </c>
      <c r="D136" s="14"/>
    </row>
    <row r="137" spans="1:4" x14ac:dyDescent="0.2">
      <c r="A137" s="43" t="s">
        <v>115</v>
      </c>
      <c r="B137" s="30">
        <f>B101</f>
        <v>0.15395350240024167</v>
      </c>
      <c r="C137" s="31">
        <f>C101</f>
        <v>647.29000000000008</v>
      </c>
      <c r="D137" s="14"/>
    </row>
    <row r="138" spans="1:4" x14ac:dyDescent="0.2">
      <c r="A138" s="29" t="s">
        <v>116</v>
      </c>
      <c r="B138" s="30">
        <f>B107</f>
        <v>1E-3</v>
      </c>
      <c r="C138" s="31">
        <f>C107</f>
        <v>4.2</v>
      </c>
      <c r="D138" s="14"/>
    </row>
    <row r="139" spans="1:4" x14ac:dyDescent="0.2">
      <c r="A139" s="29" t="s">
        <v>117</v>
      </c>
      <c r="B139" s="30">
        <f t="shared" ref="B139:C139" si="10">B118</f>
        <v>0.11511199999999999</v>
      </c>
      <c r="C139" s="31">
        <f t="shared" si="10"/>
        <v>483.99000000000007</v>
      </c>
      <c r="D139" s="14"/>
    </row>
    <row r="140" spans="1:4" x14ac:dyDescent="0.2">
      <c r="A140" s="32" t="s">
        <v>118</v>
      </c>
      <c r="B140" s="30">
        <f t="shared" ref="B140:C140" si="11">B129</f>
        <v>0.21179999999999999</v>
      </c>
      <c r="C140" s="31">
        <f t="shared" si="11"/>
        <v>890.5</v>
      </c>
      <c r="D140" s="14"/>
    </row>
    <row r="141" spans="1:4" ht="13.5" thickBot="1" x14ac:dyDescent="0.25">
      <c r="A141" s="55" t="s">
        <v>61</v>
      </c>
      <c r="B141" s="56">
        <f>SUM(B133:B140)</f>
        <v>0.92780643434830423</v>
      </c>
      <c r="C141" s="57">
        <f>SUM(C133:C140)</f>
        <v>3900.92</v>
      </c>
      <c r="D141" s="21"/>
    </row>
    <row r="142" spans="1:4" x14ac:dyDescent="0.2">
      <c r="A142" s="65"/>
      <c r="B142" s="83"/>
      <c r="C142" s="83"/>
    </row>
    <row r="143" spans="1:4" ht="25.5" x14ac:dyDescent="0.2">
      <c r="A143" s="84" t="s">
        <v>65</v>
      </c>
      <c r="B143" s="85" t="s">
        <v>113</v>
      </c>
      <c r="C143" s="86">
        <f>TRUNC(ROUND(C68+C77+C141,2),2)</f>
        <v>8786.73</v>
      </c>
    </row>
    <row r="145" spans="1:3" x14ac:dyDescent="0.2">
      <c r="A145" s="51" t="s">
        <v>66</v>
      </c>
    </row>
    <row r="146" spans="1:3" x14ac:dyDescent="0.2">
      <c r="A146" s="87" t="s">
        <v>67</v>
      </c>
    </row>
    <row r="147" spans="1:3" x14ac:dyDescent="0.2">
      <c r="A147" s="87" t="s">
        <v>68</v>
      </c>
      <c r="B147" s="87"/>
      <c r="C147" s="87"/>
    </row>
    <row r="148" spans="1:3" x14ac:dyDescent="0.2">
      <c r="A148" s="87" t="s">
        <v>69</v>
      </c>
    </row>
    <row r="149" spans="1:3" x14ac:dyDescent="0.2">
      <c r="A149" s="87" t="s">
        <v>70</v>
      </c>
    </row>
    <row r="151" spans="1:3" x14ac:dyDescent="0.2">
      <c r="A151" s="87"/>
    </row>
  </sheetData>
  <sheetProtection algorithmName="SHA-512" hashValue="vqtuzoUlmurUV52QxzEqozpSyM5c1nqux3nCPXAO2zKh5Qx8CrKHfCtijbW0dl4zhjBUYRUTcluJgLErPzCVfA==" saltValue="LIVZE4gsJfe2J6kENKNW7A==" spinCount="100000" sheet="1" objects="1" scenarios="1"/>
  <mergeCells count="51">
    <mergeCell ref="A131:C131"/>
    <mergeCell ref="A51:D51"/>
    <mergeCell ref="A52:C52"/>
    <mergeCell ref="A53:C53"/>
    <mergeCell ref="A70:C70"/>
    <mergeCell ref="A80:D80"/>
    <mergeCell ref="A81:C81"/>
    <mergeCell ref="A82:C82"/>
    <mergeCell ref="A120:C120"/>
    <mergeCell ref="A95:C95"/>
    <mergeCell ref="A103:C103"/>
    <mergeCell ref="A109:C109"/>
    <mergeCell ref="A50:B50"/>
    <mergeCell ref="A32:B32"/>
    <mergeCell ref="A33:B33"/>
    <mergeCell ref="A41:D41"/>
    <mergeCell ref="A42:D42"/>
    <mergeCell ref="A44:C44"/>
    <mergeCell ref="A45:B45"/>
    <mergeCell ref="A46:B46"/>
    <mergeCell ref="A47:B47"/>
    <mergeCell ref="A48:B48"/>
    <mergeCell ref="A49:B49"/>
    <mergeCell ref="A30:B30"/>
    <mergeCell ref="A19:B19"/>
    <mergeCell ref="A20:B20"/>
    <mergeCell ref="A22:B22"/>
    <mergeCell ref="A23:B23"/>
    <mergeCell ref="A24:B24"/>
    <mergeCell ref="A25:B25"/>
    <mergeCell ref="A26:B26"/>
    <mergeCell ref="A27:B27"/>
    <mergeCell ref="A28:B28"/>
    <mergeCell ref="A29:B29"/>
    <mergeCell ref="A18:B18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7:B7"/>
    <mergeCell ref="A1:D1"/>
    <mergeCell ref="A2:B2"/>
    <mergeCell ref="A3:B3"/>
    <mergeCell ref="A5:B5"/>
    <mergeCell ref="A6:B6"/>
  </mergeCells>
  <hyperlinks>
    <hyperlink ref="A146" r:id="rId1" xr:uid="{758FD287-2208-4EBA-9B7A-5754391C50C1}"/>
    <hyperlink ref="A147" r:id="rId2" xr:uid="{39FBDDFC-159D-440C-BC38-6F2E62C4735A}"/>
    <hyperlink ref="A148" r:id="rId3" xr:uid="{3B1ADA17-4E53-463F-A188-1D71ADD0EF31}"/>
    <hyperlink ref="A149" r:id="rId4" xr:uid="{D321DCE4-BF93-4B57-9061-366EE02DB83F}"/>
    <hyperlink ref="D23" r:id="rId5" xr:uid="{7E352145-2697-4A0E-AE48-7C4BAC9F2E58}"/>
    <hyperlink ref="D18" r:id="rId6" xr:uid="{A5C68B09-4D58-4ADA-979D-266A0EF497F8}"/>
  </hyperlinks>
  <pageMargins left="0.511811024" right="0.511811024" top="0.78740157499999996" bottom="0.78740157499999996" header="0.31496062000000002" footer="0.31496062000000002"/>
  <pageSetup paperSize="9" orientation="portrait" r:id="rId7"/>
  <drawing r:id="rId8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ilha9">
    <tabColor rgb="FFE36C09"/>
  </sheetPr>
  <dimension ref="A1:M29"/>
  <sheetViews>
    <sheetView showGridLines="0" topLeftCell="A19" workbookViewId="0">
      <selection activeCell="M5" sqref="M5"/>
    </sheetView>
  </sheetViews>
  <sheetFormatPr defaultColWidth="9.140625" defaultRowHeight="15" customHeight="1" x14ac:dyDescent="0.2"/>
  <cols>
    <col min="1" max="1" width="53.28515625" style="153" customWidth="1"/>
    <col min="2" max="2" width="12.140625" style="154" bestFit="1" customWidth="1"/>
    <col min="3" max="3" width="13.7109375" style="155" bestFit="1" customWidth="1"/>
    <col min="4" max="4" width="14.140625" style="154" customWidth="1"/>
    <col min="5" max="5" width="20.42578125" style="154" customWidth="1"/>
    <col min="6" max="6" width="7.42578125" style="154" customWidth="1"/>
    <col min="7" max="7" width="9.140625" style="153"/>
    <col min="8" max="8" width="26.42578125" style="153" bestFit="1" customWidth="1"/>
    <col min="9" max="9" width="14.140625" style="153" customWidth="1"/>
    <col min="10" max="11" width="15.85546875" style="153" customWidth="1"/>
    <col min="12" max="12" width="10.140625" style="153" bestFit="1" customWidth="1"/>
    <col min="13" max="13" width="37.7109375" style="153" bestFit="1" customWidth="1"/>
    <col min="14" max="16384" width="9.140625" style="153"/>
  </cols>
  <sheetData>
    <row r="1" spans="1:13" s="141" customFormat="1" ht="38.25" x14ac:dyDescent="0.2">
      <c r="A1" s="308" t="s">
        <v>147</v>
      </c>
      <c r="B1" s="308" t="s">
        <v>148</v>
      </c>
      <c r="C1" s="308" t="s">
        <v>149</v>
      </c>
      <c r="D1" s="308" t="s">
        <v>150</v>
      </c>
      <c r="E1" s="308" t="s">
        <v>151</v>
      </c>
      <c r="F1" s="308" t="s">
        <v>255</v>
      </c>
      <c r="H1" s="338" t="s">
        <v>250</v>
      </c>
      <c r="I1" s="339" t="s">
        <v>253</v>
      </c>
      <c r="J1" s="339" t="s">
        <v>78</v>
      </c>
      <c r="K1" s="340" t="s">
        <v>77</v>
      </c>
    </row>
    <row r="2" spans="1:13" s="141" customFormat="1" ht="25.5" x14ac:dyDescent="0.2">
      <c r="A2" s="142" t="s">
        <v>152</v>
      </c>
      <c r="B2" s="143">
        <v>12</v>
      </c>
      <c r="C2" s="144">
        <v>2</v>
      </c>
      <c r="D2" s="177">
        <v>142.12</v>
      </c>
      <c r="E2" s="145">
        <f>C2*TRUNC(ROUND(D2/B2,2),2)</f>
        <v>23.68</v>
      </c>
      <c r="F2" s="501" t="s">
        <v>267</v>
      </c>
      <c r="H2" s="341"/>
      <c r="I2" s="265"/>
      <c r="J2" s="264"/>
      <c r="K2" s="342"/>
    </row>
    <row r="3" spans="1:13" s="141" customFormat="1" ht="25.5" x14ac:dyDescent="0.2">
      <c r="A3" s="146" t="s">
        <v>153</v>
      </c>
      <c r="B3" s="143">
        <v>12</v>
      </c>
      <c r="C3" s="144">
        <v>2</v>
      </c>
      <c r="D3" s="177">
        <v>147.6</v>
      </c>
      <c r="E3" s="145">
        <f t="shared" ref="E3:E11" si="0">C3*TRUNC(ROUND(D3/B3,2),2)</f>
        <v>24.6</v>
      </c>
      <c r="F3" s="502"/>
      <c r="H3" s="341" t="s">
        <v>251</v>
      </c>
      <c r="I3" s="284">
        <f>J15</f>
        <v>9604</v>
      </c>
      <c r="J3" s="264"/>
      <c r="K3" s="342"/>
    </row>
    <row r="4" spans="1:13" s="141" customFormat="1" ht="25.5" x14ac:dyDescent="0.2">
      <c r="A4" s="146" t="s">
        <v>154</v>
      </c>
      <c r="B4" s="143">
        <v>12</v>
      </c>
      <c r="C4" s="144">
        <v>2</v>
      </c>
      <c r="D4" s="177">
        <v>138.51</v>
      </c>
      <c r="E4" s="145">
        <f t="shared" si="0"/>
        <v>23.08</v>
      </c>
      <c r="F4" s="502"/>
      <c r="H4" s="341" t="s">
        <v>252</v>
      </c>
      <c r="I4" s="265">
        <v>0.2</v>
      </c>
      <c r="J4" s="266">
        <f>I4*I3</f>
        <v>1920.8000000000002</v>
      </c>
      <c r="K4" s="343">
        <f>ROUND(J4/12,2)</f>
        <v>160.07</v>
      </c>
    </row>
    <row r="5" spans="1:13" s="141" customFormat="1" ht="25.5" x14ac:dyDescent="0.2">
      <c r="A5" s="142" t="s">
        <v>155</v>
      </c>
      <c r="B5" s="143">
        <v>24</v>
      </c>
      <c r="C5" s="144">
        <v>1</v>
      </c>
      <c r="D5" s="177">
        <v>251.09</v>
      </c>
      <c r="E5" s="145">
        <f t="shared" si="0"/>
        <v>10.46</v>
      </c>
      <c r="F5" s="502"/>
      <c r="H5" s="341" t="s">
        <v>254</v>
      </c>
      <c r="I5" s="267">
        <v>0.15</v>
      </c>
      <c r="J5" s="266">
        <f>I3*I5</f>
        <v>1440.6</v>
      </c>
      <c r="K5" s="343">
        <f>ROUND(J5/12,2)</f>
        <v>120.05</v>
      </c>
    </row>
    <row r="6" spans="1:13" s="141" customFormat="1" ht="39" thickBot="1" x14ac:dyDescent="0.25">
      <c r="A6" s="142" t="s">
        <v>156</v>
      </c>
      <c r="B6" s="143">
        <v>24</v>
      </c>
      <c r="C6" s="144">
        <v>1</v>
      </c>
      <c r="D6" s="177">
        <v>157.28</v>
      </c>
      <c r="E6" s="145">
        <f t="shared" si="0"/>
        <v>6.55</v>
      </c>
      <c r="F6" s="502"/>
      <c r="H6" s="344" t="s">
        <v>256</v>
      </c>
      <c r="I6" s="345"/>
      <c r="J6" s="346">
        <f>SUM(J4:J5)</f>
        <v>3361.4</v>
      </c>
      <c r="K6" s="347">
        <f>ROUND(SUM(K2:K5),2)</f>
        <v>280.12</v>
      </c>
      <c r="M6" s="263"/>
    </row>
    <row r="7" spans="1:13" s="141" customFormat="1" ht="12.75" x14ac:dyDescent="0.2">
      <c r="A7" s="142" t="s">
        <v>157</v>
      </c>
      <c r="B7" s="143">
        <v>12</v>
      </c>
      <c r="C7" s="144">
        <v>1</v>
      </c>
      <c r="D7" s="177">
        <v>224.28</v>
      </c>
      <c r="E7" s="145">
        <f t="shared" si="0"/>
        <v>18.690000000000001</v>
      </c>
      <c r="F7" s="502"/>
    </row>
    <row r="8" spans="1:13" s="141" customFormat="1" ht="13.5" thickBot="1" x14ac:dyDescent="0.25">
      <c r="A8" s="142" t="s">
        <v>158</v>
      </c>
      <c r="B8" s="143">
        <v>12</v>
      </c>
      <c r="C8" s="144">
        <v>3</v>
      </c>
      <c r="D8" s="177">
        <v>15.11</v>
      </c>
      <c r="E8" s="145">
        <f t="shared" si="0"/>
        <v>3.7800000000000002</v>
      </c>
      <c r="F8" s="502"/>
    </row>
    <row r="9" spans="1:13" s="141" customFormat="1" ht="25.5" customHeight="1" x14ac:dyDescent="0.2">
      <c r="A9" s="142" t="s">
        <v>159</v>
      </c>
      <c r="B9" s="143">
        <v>12</v>
      </c>
      <c r="C9" s="144">
        <v>1</v>
      </c>
      <c r="D9" s="177">
        <v>167.42</v>
      </c>
      <c r="E9" s="145">
        <f t="shared" si="0"/>
        <v>13.95</v>
      </c>
      <c r="F9" s="502"/>
      <c r="H9" s="510" t="s">
        <v>266</v>
      </c>
      <c r="I9" s="511"/>
      <c r="J9" s="331" t="s">
        <v>253</v>
      </c>
      <c r="K9" s="331" t="s">
        <v>267</v>
      </c>
      <c r="L9" s="331" t="s">
        <v>270</v>
      </c>
      <c r="M9" s="332" t="s">
        <v>269</v>
      </c>
    </row>
    <row r="10" spans="1:13" s="141" customFormat="1" ht="12.75" x14ac:dyDescent="0.2">
      <c r="A10" s="142" t="s">
        <v>160</v>
      </c>
      <c r="B10" s="143">
        <v>12</v>
      </c>
      <c r="C10" s="144">
        <v>1</v>
      </c>
      <c r="D10" s="177">
        <v>35.31</v>
      </c>
      <c r="E10" s="145">
        <f t="shared" si="0"/>
        <v>2.94</v>
      </c>
      <c r="F10" s="502"/>
      <c r="H10" s="512" t="s">
        <v>268</v>
      </c>
      <c r="I10" s="513"/>
      <c r="J10" s="271">
        <v>10100</v>
      </c>
      <c r="K10" s="272" t="s">
        <v>267</v>
      </c>
      <c r="L10" s="273">
        <v>45776</v>
      </c>
      <c r="M10" s="333" t="s">
        <v>271</v>
      </c>
    </row>
    <row r="11" spans="1:13" s="141" customFormat="1" ht="38.25" customHeight="1" x14ac:dyDescent="0.2">
      <c r="A11" s="142" t="s">
        <v>161</v>
      </c>
      <c r="B11" s="143">
        <v>12</v>
      </c>
      <c r="C11" s="144">
        <v>2</v>
      </c>
      <c r="D11" s="177">
        <v>42.41</v>
      </c>
      <c r="E11" s="145">
        <f t="shared" si="0"/>
        <v>7.06</v>
      </c>
      <c r="F11" s="503"/>
      <c r="H11" s="508" t="s">
        <v>273</v>
      </c>
      <c r="I11" s="509"/>
      <c r="J11" s="271">
        <v>8950</v>
      </c>
      <c r="K11" s="272" t="s">
        <v>267</v>
      </c>
      <c r="L11" s="273">
        <v>46149</v>
      </c>
      <c r="M11" s="333" t="s">
        <v>272</v>
      </c>
    </row>
    <row r="12" spans="1:13" s="141" customFormat="1" ht="12.75" x14ac:dyDescent="0.2">
      <c r="B12" s="147"/>
      <c r="C12" s="504" t="s">
        <v>162</v>
      </c>
      <c r="D12" s="504"/>
      <c r="E12" s="309">
        <f>SUM(E2:E11)</f>
        <v>134.79</v>
      </c>
      <c r="F12" s="309"/>
      <c r="H12" s="512" t="s">
        <v>274</v>
      </c>
      <c r="I12" s="513"/>
      <c r="J12" s="271">
        <v>9990</v>
      </c>
      <c r="K12" s="272" t="s">
        <v>267</v>
      </c>
      <c r="L12" s="273">
        <v>46197</v>
      </c>
      <c r="M12" s="333" t="s">
        <v>275</v>
      </c>
    </row>
    <row r="13" spans="1:13" s="141" customFormat="1" ht="12.75" x14ac:dyDescent="0.2">
      <c r="B13" s="147"/>
      <c r="C13" s="148"/>
      <c r="D13" s="147"/>
      <c r="E13" s="147"/>
      <c r="F13" s="147"/>
      <c r="H13" s="512" t="s">
        <v>276</v>
      </c>
      <c r="I13" s="513"/>
      <c r="J13" s="274">
        <v>9990</v>
      </c>
      <c r="K13" s="272" t="s">
        <v>267</v>
      </c>
      <c r="L13" s="273">
        <v>46197</v>
      </c>
      <c r="M13" s="333" t="s">
        <v>277</v>
      </c>
    </row>
    <row r="14" spans="1:13" s="141" customFormat="1" ht="38.25" x14ac:dyDescent="0.2">
      <c r="A14" s="308" t="s">
        <v>147</v>
      </c>
      <c r="B14" s="308" t="s">
        <v>148</v>
      </c>
      <c r="C14" s="308" t="s">
        <v>149</v>
      </c>
      <c r="D14" s="308" t="s">
        <v>163</v>
      </c>
      <c r="E14" s="308" t="s">
        <v>164</v>
      </c>
      <c r="F14" s="308"/>
      <c r="H14" s="506" t="s">
        <v>278</v>
      </c>
      <c r="I14" s="507"/>
      <c r="J14" s="271">
        <v>8990</v>
      </c>
      <c r="K14" s="272" t="s">
        <v>267</v>
      </c>
      <c r="L14" s="275">
        <v>46197</v>
      </c>
      <c r="M14" s="333" t="s">
        <v>277</v>
      </c>
    </row>
    <row r="15" spans="1:13" s="141" customFormat="1" ht="26.25" thickBot="1" x14ac:dyDescent="0.25">
      <c r="A15" s="283" t="s">
        <v>165</v>
      </c>
      <c r="B15" s="143">
        <v>36</v>
      </c>
      <c r="C15" s="144">
        <v>0.5</v>
      </c>
      <c r="D15" s="177">
        <v>2339.5500000000002</v>
      </c>
      <c r="E15" s="145">
        <f>C15*ROUND(D15/B15,2)</f>
        <v>32.494999999999997</v>
      </c>
      <c r="F15" s="145"/>
      <c r="H15" s="334" t="s">
        <v>279</v>
      </c>
      <c r="I15" s="335"/>
      <c r="J15" s="336">
        <f>AVERAGE(J10:J14)</f>
        <v>9604</v>
      </c>
      <c r="K15" s="335"/>
      <c r="L15" s="335"/>
      <c r="M15" s="337"/>
    </row>
    <row r="16" spans="1:13" s="141" customFormat="1" ht="12.75" x14ac:dyDescent="0.2">
      <c r="A16" s="283" t="s">
        <v>281</v>
      </c>
      <c r="B16" s="143">
        <v>36</v>
      </c>
      <c r="C16" s="144">
        <v>0.5</v>
      </c>
      <c r="D16" s="177">
        <v>261.33</v>
      </c>
      <c r="E16" s="145">
        <f>ROUND(D16/B16*C16,2)</f>
        <v>3.63</v>
      </c>
      <c r="F16" s="145"/>
      <c r="H16" s="311"/>
      <c r="I16" s="311"/>
      <c r="J16" s="312"/>
      <c r="K16" s="311"/>
      <c r="L16" s="311"/>
      <c r="M16" s="311"/>
    </row>
    <row r="17" spans="1:13" s="141" customFormat="1" ht="13.5" thickBot="1" x14ac:dyDescent="0.25">
      <c r="A17" s="142" t="s">
        <v>166</v>
      </c>
      <c r="B17" s="143">
        <v>36</v>
      </c>
      <c r="C17" s="144">
        <v>1</v>
      </c>
      <c r="D17" s="177">
        <v>29.85</v>
      </c>
      <c r="E17" s="145">
        <f t="shared" ref="E17:E22" si="1">TRUNC(ROUND(C17*D17/B17,2),2)</f>
        <v>0.83</v>
      </c>
      <c r="F17" s="145"/>
    </row>
    <row r="18" spans="1:13" s="141" customFormat="1" ht="35.25" x14ac:dyDescent="0.5">
      <c r="A18" s="142" t="s">
        <v>167</v>
      </c>
      <c r="B18" s="143">
        <v>36</v>
      </c>
      <c r="C18" s="144">
        <v>1</v>
      </c>
      <c r="D18" s="177">
        <v>34.08</v>
      </c>
      <c r="E18" s="145">
        <f t="shared" si="1"/>
        <v>0.95</v>
      </c>
      <c r="F18" s="145"/>
      <c r="H18" s="498" t="s">
        <v>296</v>
      </c>
      <c r="I18" s="499"/>
      <c r="J18" s="499"/>
      <c r="K18" s="499"/>
      <c r="L18" s="499"/>
      <c r="M18" s="500"/>
    </row>
    <row r="19" spans="1:13" s="141" customFormat="1" ht="12.75" x14ac:dyDescent="0.2">
      <c r="A19" s="283" t="s">
        <v>280</v>
      </c>
      <c r="B19" s="143">
        <v>6</v>
      </c>
      <c r="C19" s="144">
        <v>1</v>
      </c>
      <c r="D19" s="177">
        <v>124.23</v>
      </c>
      <c r="E19" s="145">
        <f t="shared" si="1"/>
        <v>20.71</v>
      </c>
      <c r="F19" s="145"/>
      <c r="H19" s="313"/>
      <c r="I19" s="314"/>
      <c r="J19" s="314"/>
      <c r="K19" s="314"/>
      <c r="L19" s="314"/>
      <c r="M19" s="315"/>
    </row>
    <row r="20" spans="1:13" s="141" customFormat="1" ht="12.75" x14ac:dyDescent="0.2">
      <c r="A20" s="142" t="s">
        <v>168</v>
      </c>
      <c r="B20" s="143">
        <v>24</v>
      </c>
      <c r="C20" s="144">
        <v>1</v>
      </c>
      <c r="D20" s="177">
        <v>13.49</v>
      </c>
      <c r="E20" s="145">
        <f t="shared" si="1"/>
        <v>0.56000000000000005</v>
      </c>
      <c r="F20" s="145"/>
      <c r="H20" s="313"/>
      <c r="I20" s="314"/>
      <c r="J20" s="314"/>
      <c r="K20" s="314"/>
      <c r="L20" s="314"/>
      <c r="M20" s="315"/>
    </row>
    <row r="21" spans="1:13" s="141" customFormat="1" ht="12.75" x14ac:dyDescent="0.2">
      <c r="A21" s="142" t="s">
        <v>169</v>
      </c>
      <c r="B21" s="143">
        <v>24</v>
      </c>
      <c r="C21" s="144">
        <v>1</v>
      </c>
      <c r="D21" s="177">
        <v>38.590000000000003</v>
      </c>
      <c r="E21" s="145">
        <f t="shared" si="1"/>
        <v>1.61</v>
      </c>
      <c r="F21" s="145"/>
      <c r="H21" s="313"/>
      <c r="I21" s="314"/>
      <c r="J21" s="314"/>
      <c r="K21" s="314"/>
      <c r="L21" s="314"/>
      <c r="M21" s="315"/>
    </row>
    <row r="22" spans="1:13" s="141" customFormat="1" ht="12.75" x14ac:dyDescent="0.2">
      <c r="A22" s="142" t="s">
        <v>170</v>
      </c>
      <c r="B22" s="149">
        <v>12</v>
      </c>
      <c r="C22" s="144">
        <v>1</v>
      </c>
      <c r="D22" s="177">
        <v>23.15</v>
      </c>
      <c r="E22" s="145">
        <f t="shared" si="1"/>
        <v>1.93</v>
      </c>
      <c r="F22" s="145"/>
      <c r="H22" s="313"/>
      <c r="I22" s="314"/>
      <c r="J22" s="314"/>
      <c r="K22" s="314"/>
      <c r="L22" s="314"/>
      <c r="M22" s="315"/>
    </row>
    <row r="23" spans="1:13" s="141" customFormat="1" ht="12.75" x14ac:dyDescent="0.2">
      <c r="B23" s="150"/>
      <c r="C23" s="504" t="s">
        <v>171</v>
      </c>
      <c r="D23" s="504"/>
      <c r="E23" s="309">
        <f>SUM(E15:E22)</f>
        <v>62.715000000000003</v>
      </c>
      <c r="F23" s="309"/>
      <c r="H23" s="313"/>
      <c r="I23" s="316"/>
      <c r="J23" s="317"/>
      <c r="K23" s="317"/>
      <c r="L23" s="314"/>
      <c r="M23" s="315"/>
    </row>
    <row r="24" spans="1:13" s="151" customFormat="1" ht="72.75" customHeight="1" x14ac:dyDescent="0.25">
      <c r="B24" s="152"/>
      <c r="C24" s="505" t="s">
        <v>172</v>
      </c>
      <c r="D24" s="505"/>
      <c r="E24" s="310">
        <f>E23+E12</f>
        <v>197.505</v>
      </c>
      <c r="F24" s="310"/>
      <c r="H24" s="318"/>
      <c r="I24" s="319"/>
      <c r="J24" s="320"/>
      <c r="K24" s="321"/>
      <c r="L24" s="320"/>
      <c r="M24" s="322"/>
    </row>
    <row r="25" spans="1:13" ht="15" customHeight="1" x14ac:dyDescent="0.2">
      <c r="H25" s="323"/>
      <c r="I25" s="324"/>
      <c r="J25" s="325"/>
      <c r="K25" s="325"/>
      <c r="L25" s="325"/>
      <c r="M25" s="326"/>
    </row>
    <row r="26" spans="1:13" ht="15" customHeight="1" x14ac:dyDescent="0.2">
      <c r="H26" s="323"/>
      <c r="I26" s="324"/>
      <c r="J26" s="325"/>
      <c r="K26" s="325"/>
      <c r="L26" s="325"/>
      <c r="M26" s="326"/>
    </row>
    <row r="27" spans="1:13" ht="28.15" customHeight="1" x14ac:dyDescent="0.2">
      <c r="A27" s="497" t="s">
        <v>283</v>
      </c>
      <c r="B27" s="497"/>
      <c r="C27" s="497"/>
      <c r="D27" s="497"/>
      <c r="E27" s="497"/>
      <c r="F27" s="497"/>
      <c r="H27" s="323"/>
      <c r="I27" s="325"/>
      <c r="J27" s="325"/>
      <c r="K27" s="321"/>
      <c r="L27" s="325"/>
      <c r="M27" s="326"/>
    </row>
    <row r="28" spans="1:13" ht="15" customHeight="1" x14ac:dyDescent="0.2">
      <c r="A28" s="497" t="s">
        <v>282</v>
      </c>
      <c r="B28" s="497"/>
      <c r="C28" s="497"/>
      <c r="D28" s="497"/>
      <c r="E28" s="497"/>
      <c r="H28" s="323"/>
      <c r="I28" s="325"/>
      <c r="J28" s="325"/>
      <c r="K28" s="325"/>
      <c r="L28" s="325"/>
      <c r="M28" s="326"/>
    </row>
    <row r="29" spans="1:13" ht="15" customHeight="1" thickBot="1" x14ac:dyDescent="0.25">
      <c r="C29" s="282"/>
      <c r="H29" s="327"/>
      <c r="I29" s="328"/>
      <c r="J29" s="328"/>
      <c r="K29" s="329"/>
      <c r="L29" s="328"/>
      <c r="M29" s="330"/>
    </row>
  </sheetData>
  <sheetProtection algorithmName="SHA-512" hashValue="4yt+WmSjzq0xgxXJUh8jb52VpxVCH6j37coPf3fyEolLO1RydJCP9YAZzdWg9WFH31DXqUWEHIOrV/FDQ+juUQ==" saltValue="29vjGM6TjCixfKsA3UwtRQ==" spinCount="100000" sheet="1" objects="1" scenarios="1"/>
  <mergeCells count="13">
    <mergeCell ref="A28:E28"/>
    <mergeCell ref="H18:M18"/>
    <mergeCell ref="F2:F11"/>
    <mergeCell ref="C23:D23"/>
    <mergeCell ref="C24:D24"/>
    <mergeCell ref="C12:D12"/>
    <mergeCell ref="A27:F27"/>
    <mergeCell ref="H14:I14"/>
    <mergeCell ref="H11:I11"/>
    <mergeCell ref="H9:I9"/>
    <mergeCell ref="H10:I10"/>
    <mergeCell ref="H12:I12"/>
    <mergeCell ref="H13:I13"/>
  </mergeCells>
  <hyperlinks>
    <hyperlink ref="K10" r:id="rId1" xr:uid="{A953D850-D181-45F0-B829-42C6F4EAE1A9}"/>
    <hyperlink ref="K11" r:id="rId2" xr:uid="{7A4985B3-8C61-49FB-AF64-C576CF3B3D68}"/>
    <hyperlink ref="K12" r:id="rId3" xr:uid="{2032F750-4D35-4F62-B845-48E24609B51D}"/>
    <hyperlink ref="K13" r:id="rId4" xr:uid="{4C4E3A43-35ED-4EEE-B8A0-1B96EE10237C}"/>
    <hyperlink ref="K14" r:id="rId5" xr:uid="{975FAE3F-2DFB-4B64-BB7A-48CA5F1A0D57}"/>
    <hyperlink ref="F2" r:id="rId6" xr:uid="{492C7002-2F27-4432-BD59-48F464D3568F}"/>
    <hyperlink ref="A15" r:id="rId7" xr:uid="{FB9B7600-7F34-4E43-9E8A-640DAFB19736}"/>
    <hyperlink ref="A16" r:id="rId8" xr:uid="{DFC98D5C-38E1-4AE0-AC28-569C341A96ED}"/>
    <hyperlink ref="A19" r:id="rId9" xr:uid="{8E86DC3F-AEA6-4ECD-8E71-73BCE5EA6ABB}"/>
  </hyperlinks>
  <pageMargins left="0.511811024" right="0.511811024" top="0.78740157499999996" bottom="0.78740157499999996" header="0" footer="0"/>
  <pageSetup orientation="landscape" r:id="rId10"/>
  <drawing r:id="rId1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ilha10">
    <tabColor rgb="FF953734"/>
  </sheetPr>
  <dimension ref="A1:Z1011"/>
  <sheetViews>
    <sheetView showGridLines="0" tabSelected="1" topLeftCell="A43" workbookViewId="0">
      <selection activeCell="A41" sqref="A41"/>
    </sheetView>
  </sheetViews>
  <sheetFormatPr defaultColWidth="12.5703125" defaultRowHeight="15" customHeight="1" x14ac:dyDescent="0.2"/>
  <cols>
    <col min="1" max="1" width="23.7109375" customWidth="1"/>
    <col min="2" max="3" width="15.28515625" customWidth="1"/>
    <col min="4" max="4" width="22.7109375" customWidth="1"/>
    <col min="5" max="5" width="23.85546875" customWidth="1"/>
    <col min="6" max="6" width="23" customWidth="1"/>
    <col min="7" max="7" width="25.28515625" customWidth="1"/>
    <col min="8" max="8" width="11.7109375" customWidth="1"/>
    <col min="9" max="9" width="15.85546875" customWidth="1"/>
    <col min="10" max="10" width="9.140625" customWidth="1"/>
    <col min="11" max="26" width="8.5703125" customWidth="1"/>
  </cols>
  <sheetData>
    <row r="1" spans="1:26" ht="36.75" customHeight="1" x14ac:dyDescent="0.2">
      <c r="A1" s="535" t="str">
        <f>'GERAL-12D'!A1</f>
        <v>PROPOSTA_SPAC_VIGIL01</v>
      </c>
      <c r="B1" s="536"/>
      <c r="C1" s="536"/>
      <c r="D1" s="536"/>
      <c r="E1" s="536"/>
      <c r="F1" s="536"/>
      <c r="G1" s="536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">
      <c r="A2" s="537" t="s">
        <v>192</v>
      </c>
      <c r="B2" s="538"/>
      <c r="C2" s="538"/>
      <c r="D2" s="538"/>
      <c r="E2" s="538"/>
      <c r="F2" s="538"/>
      <c r="G2" s="538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s="119" customFormat="1" ht="24.95" customHeight="1" x14ac:dyDescent="0.2">
      <c r="A3" s="539" t="s">
        <v>71</v>
      </c>
      <c r="B3" s="540"/>
      <c r="C3" s="540"/>
      <c r="D3" s="540"/>
      <c r="E3" s="540"/>
      <c r="F3" s="540"/>
      <c r="G3" s="540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49.5" customHeight="1" x14ac:dyDescent="0.2">
      <c r="A4" s="116" t="s">
        <v>72</v>
      </c>
      <c r="B4" s="117" t="s">
        <v>73</v>
      </c>
      <c r="C4" s="118" t="s">
        <v>74</v>
      </c>
      <c r="D4" s="117" t="s">
        <v>75</v>
      </c>
      <c r="E4" s="117" t="s">
        <v>76</v>
      </c>
      <c r="F4" s="117" t="s">
        <v>77</v>
      </c>
      <c r="G4" s="117" t="s">
        <v>78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5" customHeight="1" x14ac:dyDescent="0.2">
      <c r="A5" s="112" t="str">
        <f>'GERAL-12D'!$C$2</f>
        <v>GERAL 12D</v>
      </c>
      <c r="B5" s="113">
        <f>SUM('GERAL-12D'!B59:B61)</f>
        <v>0.3</v>
      </c>
      <c r="C5" s="114">
        <f>'GERAL-12D'!$C$46/5</f>
        <v>44</v>
      </c>
      <c r="D5" s="137">
        <v>6</v>
      </c>
      <c r="E5" s="115">
        <f>'GERAL-12D'!$C$143</f>
        <v>6456.14</v>
      </c>
      <c r="F5" s="115">
        <f t="shared" ref="F5:F6" si="0">D5*E5</f>
        <v>38736.840000000004</v>
      </c>
      <c r="G5" s="115">
        <f t="shared" ref="G5:G13" si="1">F5*12</f>
        <v>464842.08000000007</v>
      </c>
      <c r="H5" s="4"/>
      <c r="I5" s="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5" customHeight="1" x14ac:dyDescent="0.2">
      <c r="A6" s="99" t="str">
        <f>'GERAL-12N'!$C$2</f>
        <v>GERAL 12N</v>
      </c>
      <c r="B6" s="100">
        <f>SUM('GERAL-12N'!B59:B61)</f>
        <v>0.3</v>
      </c>
      <c r="C6" s="114">
        <f>'GERAL-12N'!$C$46/5</f>
        <v>44</v>
      </c>
      <c r="D6" s="138">
        <v>4</v>
      </c>
      <c r="E6" s="115">
        <f>'GERAL-12N'!$C$143</f>
        <v>7671.38</v>
      </c>
      <c r="F6" s="102">
        <f t="shared" si="0"/>
        <v>30685.52</v>
      </c>
      <c r="G6" s="102">
        <f t="shared" si="1"/>
        <v>368226.24</v>
      </c>
      <c r="H6" s="4"/>
      <c r="I6" s="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5" customHeight="1" x14ac:dyDescent="0.2">
      <c r="A7" s="112" t="str">
        <f>'LÍDER-12D'!$C$2</f>
        <v>LIDER 12D</v>
      </c>
      <c r="B7" s="113">
        <f>SUM('LÍDER-12D'!B59:B61)</f>
        <v>0.5</v>
      </c>
      <c r="C7" s="114">
        <f>'LÍDER-12D'!$C$46/5</f>
        <v>44</v>
      </c>
      <c r="D7" s="137">
        <v>2</v>
      </c>
      <c r="E7" s="115">
        <f>'LÍDER-12D'!$C$143</f>
        <v>6915.92</v>
      </c>
      <c r="F7" s="115">
        <f t="shared" ref="F7:F8" si="2">D7*E7</f>
        <v>13831.84</v>
      </c>
      <c r="G7" s="115">
        <f t="shared" ref="G7:G8" si="3">F7*12</f>
        <v>165982.08000000002</v>
      </c>
      <c r="H7" s="4"/>
      <c r="I7" s="4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5" customHeight="1" x14ac:dyDescent="0.2">
      <c r="A8" s="99" t="str">
        <f>'MONITOR-12D'!$C$2</f>
        <v>MONITOR 12D</v>
      </c>
      <c r="B8" s="100">
        <f>SUM('MONITOR-12D'!B59:B61)</f>
        <v>0.3</v>
      </c>
      <c r="C8" s="101">
        <f>'MONITOR-12D'!$C$46/5</f>
        <v>44</v>
      </c>
      <c r="D8" s="138">
        <v>2</v>
      </c>
      <c r="E8" s="102">
        <f>'MONITOR-12D'!$C$143</f>
        <v>5397.11</v>
      </c>
      <c r="F8" s="102">
        <f t="shared" si="2"/>
        <v>10794.22</v>
      </c>
      <c r="G8" s="102">
        <f t="shared" si="3"/>
        <v>129530.63999999998</v>
      </c>
      <c r="H8" s="4"/>
      <c r="I8" s="4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5" customHeight="1" x14ac:dyDescent="0.2">
      <c r="A9" s="99" t="str">
        <f>'MONITOR-12N'!$C$2</f>
        <v>MONITOR 12N</v>
      </c>
      <c r="B9" s="100">
        <f>SUM('MONITOR-12N'!B59:B61)</f>
        <v>0.3</v>
      </c>
      <c r="C9" s="114">
        <f>'MONITOR-12N'!$C$46/5</f>
        <v>44</v>
      </c>
      <c r="D9" s="138">
        <v>2</v>
      </c>
      <c r="E9" s="115">
        <f>'MONITOR-12N'!$C$143</f>
        <v>6783.22</v>
      </c>
      <c r="F9" s="102">
        <f t="shared" ref="F9:F11" si="4">D9*E9</f>
        <v>13566.44</v>
      </c>
      <c r="G9" s="102">
        <f t="shared" ref="G9:G11" si="5">F9*12</f>
        <v>162797.28</v>
      </c>
      <c r="H9" s="156"/>
      <c r="I9" s="156"/>
      <c r="J9" s="90"/>
      <c r="K9" s="90"/>
      <c r="L9" s="90"/>
      <c r="M9" s="90"/>
      <c r="N9" s="90"/>
      <c r="O9" s="90"/>
      <c r="P9" s="90"/>
      <c r="Q9" s="90"/>
      <c r="R9" s="90"/>
      <c r="S9" s="90"/>
      <c r="T9" s="90"/>
      <c r="U9" s="90"/>
      <c r="V9" s="90"/>
      <c r="W9" s="90"/>
      <c r="X9" s="90"/>
      <c r="Y9" s="90"/>
      <c r="Z9" s="90"/>
    </row>
    <row r="10" spans="1:26" ht="15" customHeight="1" x14ac:dyDescent="0.2">
      <c r="A10" s="99" t="str">
        <f>'MONITOR-11D'!$C$2</f>
        <v>MONITOR 11D</v>
      </c>
      <c r="B10" s="100">
        <f>SUM('MONITOR-11D'!B59:B61)</f>
        <v>0.3</v>
      </c>
      <c r="C10" s="114" t="s">
        <v>298</v>
      </c>
      <c r="D10" s="138">
        <v>1</v>
      </c>
      <c r="E10" s="115">
        <f>'MONITOR-11D'!$C$143</f>
        <v>7774.03</v>
      </c>
      <c r="F10" s="102">
        <f t="shared" si="4"/>
        <v>7774.03</v>
      </c>
      <c r="G10" s="102">
        <f t="shared" si="5"/>
        <v>93288.36</v>
      </c>
      <c r="H10" s="156"/>
      <c r="I10" s="156"/>
      <c r="J10" s="90"/>
      <c r="K10" s="90"/>
      <c r="L10" s="90"/>
      <c r="M10" s="90"/>
      <c r="N10" s="90"/>
      <c r="O10" s="90"/>
      <c r="P10" s="90"/>
      <c r="Q10" s="90"/>
      <c r="R10" s="90"/>
      <c r="S10" s="90"/>
      <c r="T10" s="90"/>
      <c r="U10" s="90"/>
      <c r="V10" s="90"/>
      <c r="W10" s="90"/>
      <c r="X10" s="90"/>
      <c r="Y10" s="90"/>
      <c r="Z10" s="90"/>
    </row>
    <row r="11" spans="1:26" ht="15" customHeight="1" x14ac:dyDescent="0.2">
      <c r="A11" s="99" t="str">
        <f>'GERAL-11D'!$C$2</f>
        <v>GERAL 11D</v>
      </c>
      <c r="B11" s="100">
        <f>SUM('GERAL-11D'!B59:B61)</f>
        <v>0.3</v>
      </c>
      <c r="C11" s="114" t="s">
        <v>299</v>
      </c>
      <c r="D11" s="138">
        <v>3</v>
      </c>
      <c r="E11" s="115">
        <f>'GERAL-11D'!$C$143</f>
        <v>8786.73</v>
      </c>
      <c r="F11" s="102">
        <f t="shared" si="4"/>
        <v>26360.19</v>
      </c>
      <c r="G11" s="102">
        <f t="shared" si="5"/>
        <v>316322.27999999997</v>
      </c>
      <c r="H11" s="4"/>
      <c r="I11" s="4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5" customHeight="1" x14ac:dyDescent="0.2">
      <c r="A12" s="99"/>
      <c r="B12" s="100"/>
      <c r="C12" s="101"/>
      <c r="D12" s="138"/>
      <c r="E12" s="102"/>
      <c r="F12" s="102"/>
      <c r="G12" s="102"/>
      <c r="H12" s="4"/>
      <c r="I12" s="4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s="119" customFormat="1" ht="24.95" customHeight="1" x14ac:dyDescent="0.2">
      <c r="A13" s="523" t="s">
        <v>79</v>
      </c>
      <c r="B13" s="524"/>
      <c r="C13" s="524"/>
      <c r="D13" s="103">
        <f>SUM(D5:D12)</f>
        <v>20</v>
      </c>
      <c r="E13" s="103"/>
      <c r="F13" s="104">
        <f>SUM(F5:F12)</f>
        <v>141749.07999999999</v>
      </c>
      <c r="G13" s="104">
        <f t="shared" si="1"/>
        <v>1700988.96</v>
      </c>
      <c r="H13" s="125"/>
      <c r="I13" s="125"/>
      <c r="J13" s="125"/>
      <c r="K13" s="125"/>
      <c r="L13" s="125"/>
      <c r="M13" s="125"/>
      <c r="N13" s="125"/>
      <c r="O13" s="125"/>
      <c r="P13" s="125"/>
      <c r="Q13" s="125"/>
      <c r="R13" s="125"/>
      <c r="S13" s="125"/>
      <c r="T13" s="125"/>
      <c r="U13" s="125"/>
      <c r="V13" s="125"/>
      <c r="W13" s="125"/>
      <c r="X13" s="125"/>
      <c r="Y13" s="125"/>
      <c r="Z13" s="125"/>
    </row>
    <row r="14" spans="1:26" ht="24.95" customHeight="1" x14ac:dyDescent="0.2">
      <c r="A14" s="88"/>
      <c r="B14" s="88"/>
      <c r="C14" s="88"/>
      <c r="D14" s="541" t="s">
        <v>145</v>
      </c>
      <c r="E14" s="520"/>
      <c r="F14" s="520"/>
      <c r="G14" s="532"/>
      <c r="H14" s="514"/>
      <c r="I14" s="515"/>
      <c r="J14" s="516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4.95" customHeight="1" x14ac:dyDescent="0.2">
      <c r="A15" s="5"/>
      <c r="B15" s="5"/>
      <c r="C15" s="5"/>
      <c r="D15" s="91" t="s">
        <v>144</v>
      </c>
      <c r="E15" s="91" t="s">
        <v>98</v>
      </c>
      <c r="F15" s="91" t="s">
        <v>96</v>
      </c>
      <c r="G15" s="91" t="s">
        <v>97</v>
      </c>
      <c r="H15" s="6"/>
      <c r="I15" s="6"/>
      <c r="J15" s="6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5" customHeight="1" x14ac:dyDescent="0.2">
      <c r="A16" s="5"/>
      <c r="B16" s="5"/>
      <c r="C16" s="5"/>
      <c r="D16" s="112" t="str">
        <f>D5 &amp;" - "&amp; 'GERAL-12D'!$C$2</f>
        <v>6 - GERAL 12D</v>
      </c>
      <c r="E16" s="92">
        <f>MATERIAIS!$E$24</f>
        <v>197.505</v>
      </c>
      <c r="F16" s="93">
        <f>E16*D5</f>
        <v>1185.03</v>
      </c>
      <c r="G16" s="94">
        <f>F16*12</f>
        <v>14220.36</v>
      </c>
      <c r="H16" s="6"/>
      <c r="I16" s="6"/>
      <c r="J16" s="6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5" customHeight="1" x14ac:dyDescent="0.2">
      <c r="A17" s="5"/>
      <c r="B17" s="5"/>
      <c r="C17" s="5"/>
      <c r="D17" s="99" t="str">
        <f>D6 &amp;" - "&amp;'GERAL-12N'!$C$2</f>
        <v>4 - GERAL 12N</v>
      </c>
      <c r="E17" s="92">
        <f>MATERIAIS!$E$24</f>
        <v>197.505</v>
      </c>
      <c r="F17" s="93">
        <f>E17*D6</f>
        <v>790.02</v>
      </c>
      <c r="G17" s="94">
        <f>F17*12</f>
        <v>9480.24</v>
      </c>
      <c r="H17" s="6"/>
      <c r="I17" s="6"/>
      <c r="J17" s="6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5" customHeight="1" x14ac:dyDescent="0.2">
      <c r="A18" s="88"/>
      <c r="B18" s="88"/>
      <c r="C18" s="88"/>
      <c r="D18" s="112" t="str">
        <f>D7 &amp;" - "&amp;'LÍDER-12D'!$C$2</f>
        <v>2 - LIDER 12D</v>
      </c>
      <c r="E18" s="92">
        <f>MATERIAIS!$E$24</f>
        <v>197.505</v>
      </c>
      <c r="F18" s="93">
        <f t="shared" ref="F18:F22" si="6">E18*D7</f>
        <v>395.01</v>
      </c>
      <c r="G18" s="94">
        <f t="shared" ref="G18:G22" si="7">F18*12</f>
        <v>4740.12</v>
      </c>
      <c r="H18" s="89"/>
      <c r="I18" s="89"/>
      <c r="J18" s="89"/>
      <c r="K18" s="90"/>
      <c r="L18" s="90"/>
      <c r="M18" s="90"/>
      <c r="N18" s="90"/>
      <c r="O18" s="90"/>
      <c r="P18" s="90"/>
      <c r="Q18" s="90"/>
      <c r="R18" s="90"/>
      <c r="S18" s="90"/>
      <c r="T18" s="90"/>
      <c r="U18" s="90"/>
      <c r="V18" s="90"/>
      <c r="W18" s="90"/>
      <c r="X18" s="90"/>
      <c r="Y18" s="90"/>
      <c r="Z18" s="90"/>
    </row>
    <row r="19" spans="1:26" ht="15" customHeight="1" x14ac:dyDescent="0.2">
      <c r="A19" s="88"/>
      <c r="B19" s="88"/>
      <c r="C19" s="88"/>
      <c r="D19" s="99" t="str">
        <f>D8 &amp;" - "&amp;'MONITOR-12D'!$C$2</f>
        <v>2 - MONITOR 12D</v>
      </c>
      <c r="E19" s="92">
        <f>MATERIAIS!$E$24</f>
        <v>197.505</v>
      </c>
      <c r="F19" s="93">
        <f t="shared" si="6"/>
        <v>395.01</v>
      </c>
      <c r="G19" s="94">
        <f t="shared" si="7"/>
        <v>4740.12</v>
      </c>
      <c r="H19" s="89"/>
      <c r="I19" s="89"/>
      <c r="J19" s="89"/>
      <c r="K19" s="90"/>
      <c r="L19" s="90"/>
      <c r="M19" s="90"/>
      <c r="N19" s="90"/>
      <c r="O19" s="90"/>
      <c r="P19" s="90"/>
      <c r="Q19" s="90"/>
      <c r="R19" s="90"/>
      <c r="S19" s="90"/>
      <c r="T19" s="90"/>
      <c r="U19" s="90"/>
      <c r="V19" s="90"/>
      <c r="W19" s="90"/>
      <c r="X19" s="90"/>
      <c r="Y19" s="90"/>
      <c r="Z19" s="90"/>
    </row>
    <row r="20" spans="1:26" ht="15" customHeight="1" x14ac:dyDescent="0.2">
      <c r="A20" s="88"/>
      <c r="B20" s="88"/>
      <c r="C20" s="88"/>
      <c r="D20" s="99" t="str">
        <f>D9 &amp;" - "&amp;'MONITOR-12N'!$C$2</f>
        <v>2 - MONITOR 12N</v>
      </c>
      <c r="E20" s="92">
        <f>MATERIAIS!$E$24</f>
        <v>197.505</v>
      </c>
      <c r="F20" s="93">
        <f t="shared" si="6"/>
        <v>395.01</v>
      </c>
      <c r="G20" s="94">
        <f t="shared" si="7"/>
        <v>4740.12</v>
      </c>
      <c r="H20" s="89"/>
      <c r="I20" s="89"/>
      <c r="J20" s="89"/>
      <c r="K20" s="90"/>
      <c r="L20" s="90"/>
      <c r="M20" s="90"/>
      <c r="N20" s="90"/>
      <c r="O20" s="90"/>
      <c r="P20" s="90"/>
      <c r="Q20" s="90"/>
      <c r="R20" s="90"/>
      <c r="S20" s="90"/>
      <c r="T20" s="90"/>
      <c r="U20" s="90"/>
      <c r="V20" s="90"/>
      <c r="W20" s="90"/>
      <c r="X20" s="90"/>
      <c r="Y20" s="90"/>
      <c r="Z20" s="90"/>
    </row>
    <row r="21" spans="1:26" ht="15" customHeight="1" x14ac:dyDescent="0.2">
      <c r="A21" s="5"/>
      <c r="B21" s="5"/>
      <c r="C21" s="5"/>
      <c r="D21" s="99" t="str">
        <f>D10 &amp;" - "&amp;'MONITOR-11D'!$C$2</f>
        <v>1 - MONITOR 11D</v>
      </c>
      <c r="E21" s="92">
        <f>MATERIAIS!$E$24</f>
        <v>197.505</v>
      </c>
      <c r="F21" s="93">
        <f t="shared" si="6"/>
        <v>197.505</v>
      </c>
      <c r="G21" s="94">
        <f t="shared" si="7"/>
        <v>2370.06</v>
      </c>
      <c r="H21" s="6"/>
      <c r="I21" s="6"/>
      <c r="J21" s="6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5" customHeight="1" x14ac:dyDescent="0.2">
      <c r="A22" s="5"/>
      <c r="B22" s="5"/>
      <c r="C22" s="5"/>
      <c r="D22" s="99" t="str">
        <f>D11 &amp;" - "&amp; 'GERAL-11D'!$C$2</f>
        <v>3 - GERAL 11D</v>
      </c>
      <c r="E22" s="92">
        <f>MATERIAIS!$E$24</f>
        <v>197.505</v>
      </c>
      <c r="F22" s="93">
        <f t="shared" si="6"/>
        <v>592.51499999999999</v>
      </c>
      <c r="G22" s="94">
        <f t="shared" si="7"/>
        <v>7110.18</v>
      </c>
      <c r="H22" s="6"/>
      <c r="I22" s="6"/>
      <c r="J22" s="6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5" customHeight="1" x14ac:dyDescent="0.2">
      <c r="A23" s="5"/>
      <c r="B23" s="5"/>
      <c r="C23" s="5"/>
      <c r="D23" s="526" t="s">
        <v>100</v>
      </c>
      <c r="E23" s="526"/>
      <c r="F23" s="97">
        <f>SUM(F16:F22)</f>
        <v>3950.1</v>
      </c>
      <c r="G23" s="97">
        <f>SUM(G16:G22)</f>
        <v>47401.2</v>
      </c>
      <c r="H23" s="6"/>
      <c r="I23" s="6"/>
      <c r="J23" s="6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4.95" customHeight="1" x14ac:dyDescent="0.2">
      <c r="A24" s="88"/>
      <c r="B24" s="88"/>
      <c r="C24" s="88"/>
      <c r="D24" s="525" t="s">
        <v>99</v>
      </c>
      <c r="E24" s="525"/>
      <c r="F24" s="91" t="s">
        <v>77</v>
      </c>
      <c r="G24" s="91" t="s">
        <v>78</v>
      </c>
      <c r="H24" s="89"/>
      <c r="I24" s="89"/>
      <c r="J24" s="89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</row>
    <row r="25" spans="1:26" ht="15" customHeight="1" x14ac:dyDescent="0.2">
      <c r="A25" s="88"/>
      <c r="B25" s="88"/>
      <c r="C25" s="88"/>
      <c r="D25" s="527" t="s">
        <v>257</v>
      </c>
      <c r="E25" s="528"/>
      <c r="F25" s="93">
        <f>MATERIAIS!K6</f>
        <v>280.12</v>
      </c>
      <c r="G25" s="94">
        <f t="shared" ref="G25" si="8">F25*12</f>
        <v>3361.44</v>
      </c>
      <c r="H25" s="89"/>
      <c r="I25" s="89"/>
      <c r="J25" s="89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</row>
    <row r="26" spans="1:26" ht="15" customHeight="1" x14ac:dyDescent="0.2">
      <c r="A26" s="5"/>
      <c r="B26" s="5"/>
      <c r="C26" s="5"/>
      <c r="D26" s="529"/>
      <c r="E26" s="530"/>
      <c r="F26" s="95"/>
      <c r="G26" s="96"/>
      <c r="H26" s="6"/>
      <c r="I26" s="6"/>
      <c r="J26" s="6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5" customHeight="1" x14ac:dyDescent="0.2">
      <c r="A27" s="5"/>
      <c r="B27" s="5"/>
      <c r="C27" s="5"/>
      <c r="D27" s="526" t="s">
        <v>101</v>
      </c>
      <c r="E27" s="526"/>
      <c r="F27" s="97">
        <f>SUM(F25:F26)</f>
        <v>280.12</v>
      </c>
      <c r="G27" s="97">
        <f>SUM(G25:G26)</f>
        <v>3361.44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s="119" customFormat="1" ht="24.95" customHeight="1" x14ac:dyDescent="0.2">
      <c r="A28" s="124"/>
      <c r="B28" s="124"/>
      <c r="C28" s="124"/>
      <c r="D28" s="517" t="s">
        <v>80</v>
      </c>
      <c r="E28" s="517"/>
      <c r="F28" s="98">
        <f>F27+F23</f>
        <v>4230.22</v>
      </c>
      <c r="G28" s="98">
        <f>G27+G23</f>
        <v>50762.64</v>
      </c>
      <c r="H28" s="125"/>
      <c r="I28" s="125"/>
      <c r="J28" s="125"/>
      <c r="K28" s="125"/>
      <c r="L28" s="125"/>
      <c r="M28" s="125"/>
      <c r="N28" s="125"/>
      <c r="O28" s="125"/>
      <c r="P28" s="125"/>
      <c r="Q28" s="125"/>
      <c r="R28" s="125"/>
      <c r="S28" s="125"/>
      <c r="T28" s="125"/>
      <c r="U28" s="125"/>
      <c r="V28" s="125"/>
      <c r="W28" s="125"/>
      <c r="X28" s="125"/>
      <c r="Y28" s="125"/>
      <c r="Z28" s="125"/>
    </row>
    <row r="29" spans="1:26" ht="24.95" customHeight="1" x14ac:dyDescent="0.2">
      <c r="A29" s="7"/>
      <c r="B29" s="7"/>
      <c r="C29" s="7"/>
      <c r="D29" s="531" t="s">
        <v>146</v>
      </c>
      <c r="E29" s="520"/>
      <c r="F29" s="520"/>
      <c r="G29" s="53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5" customHeight="1" x14ac:dyDescent="0.2">
      <c r="A30" s="8"/>
      <c r="B30" s="9"/>
      <c r="C30" s="105"/>
      <c r="D30" s="106"/>
      <c r="E30" s="107" t="s">
        <v>42</v>
      </c>
      <c r="F30" s="108" t="s">
        <v>81</v>
      </c>
      <c r="G30" s="108" t="s">
        <v>78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5" customHeight="1" x14ac:dyDescent="0.2">
      <c r="A31" s="518"/>
      <c r="B31" s="519"/>
      <c r="C31" s="520"/>
      <c r="D31" s="109" t="s">
        <v>82</v>
      </c>
      <c r="E31" s="139">
        <v>0.05</v>
      </c>
      <c r="F31" s="110">
        <f>TRUNC(ROUND((F13+F28)*E31,2),2)</f>
        <v>7298.97</v>
      </c>
      <c r="G31" s="111">
        <f t="shared" ref="G31:G36" si="9">F31*12</f>
        <v>87587.64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5" customHeight="1" x14ac:dyDescent="0.2">
      <c r="A32" s="521"/>
      <c r="B32" s="478"/>
      <c r="C32" s="520"/>
      <c r="D32" s="109" t="s">
        <v>83</v>
      </c>
      <c r="E32" s="140">
        <v>0.05</v>
      </c>
      <c r="F32" s="110">
        <f>TRUNC(ROUND((F13+F28+F31)*E32,2),2)</f>
        <v>7663.91</v>
      </c>
      <c r="G32" s="111">
        <f t="shared" si="9"/>
        <v>91966.92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5" customHeight="1" x14ac:dyDescent="0.2">
      <c r="A33" s="521"/>
      <c r="B33" s="478"/>
      <c r="C33" s="520"/>
      <c r="D33" s="126" t="s">
        <v>102</v>
      </c>
      <c r="E33" s="139">
        <v>2.5000000000000001E-2</v>
      </c>
      <c r="F33" s="110">
        <f>TRUNC(ROUND((F13+F28+F31+F32)/(100%-SUM(E33:E35))*E33,2),2)</f>
        <v>4559.2700000000004</v>
      </c>
      <c r="G33" s="111">
        <f t="shared" si="9"/>
        <v>54711.240000000005</v>
      </c>
      <c r="H33" s="548" t="s">
        <v>316</v>
      </c>
      <c r="I33" s="549"/>
      <c r="J33" s="549"/>
      <c r="K33" s="549"/>
      <c r="L33" s="549"/>
      <c r="M33" s="549"/>
      <c r="N33" s="549"/>
      <c r="O33" s="549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5" customHeight="1" x14ac:dyDescent="0.2">
      <c r="A34" s="521"/>
      <c r="B34" s="478"/>
      <c r="C34" s="520"/>
      <c r="D34" s="109" t="s">
        <v>84</v>
      </c>
      <c r="E34" s="140">
        <v>7.5999999999999998E-2</v>
      </c>
      <c r="F34" s="110">
        <f>TRUNC(ROUND((F13+F28+F31+F32)/(100%-SUM(E33:E35))*E34,2),2)</f>
        <v>13860.18</v>
      </c>
      <c r="G34" s="111">
        <f t="shared" si="9"/>
        <v>166322.16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5" customHeight="1" x14ac:dyDescent="0.2">
      <c r="A35" s="521"/>
      <c r="B35" s="478"/>
      <c r="C35" s="520"/>
      <c r="D35" s="109" t="s">
        <v>85</v>
      </c>
      <c r="E35" s="140">
        <v>1.6500000000000001E-2</v>
      </c>
      <c r="F35" s="110">
        <f>TRUNC(ROUND((F13+F28+F31+F32)/(100%-SUM(E33:E35))*E35,2),2)</f>
        <v>3009.12</v>
      </c>
      <c r="G35" s="111">
        <f t="shared" si="9"/>
        <v>36109.440000000002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s="119" customFormat="1" ht="24.95" customHeight="1" x14ac:dyDescent="0.2">
      <c r="A36" s="522"/>
      <c r="B36" s="520"/>
      <c r="C36" s="520"/>
      <c r="D36" s="523" t="s">
        <v>86</v>
      </c>
      <c r="E36" s="524"/>
      <c r="F36" s="104">
        <f>SUM(F31:F35)</f>
        <v>36391.450000000004</v>
      </c>
      <c r="G36" s="104">
        <f t="shared" si="9"/>
        <v>436697.4</v>
      </c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">
      <c r="A37" s="2"/>
      <c r="B37" s="2"/>
      <c r="C37" s="2"/>
      <c r="D37" s="2"/>
      <c r="E37" s="2"/>
      <c r="F37" s="10"/>
      <c r="G37" s="1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2.75" customHeight="1" x14ac:dyDescent="0.2">
      <c r="A38" s="2"/>
      <c r="B38" s="2"/>
      <c r="C38" s="2"/>
      <c r="D38" s="4"/>
      <c r="E38" s="2"/>
      <c r="F38" s="4"/>
      <c r="G38" s="11"/>
      <c r="H38" s="4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s="119" customFormat="1" ht="24.95" customHeight="1" x14ac:dyDescent="0.2">
      <c r="A39" s="1"/>
      <c r="B39" s="1"/>
      <c r="C39" s="1"/>
      <c r="D39" s="546" t="s">
        <v>87</v>
      </c>
      <c r="E39" s="121" t="s">
        <v>77</v>
      </c>
      <c r="F39" s="121" t="s">
        <v>88</v>
      </c>
      <c r="G39" s="122"/>
      <c r="H39" s="123"/>
      <c r="I39" s="122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s="119" customFormat="1" ht="24.95" customHeight="1" x14ac:dyDescent="0.2">
      <c r="A40" s="1"/>
      <c r="B40" s="1"/>
      <c r="C40" s="1"/>
      <c r="D40" s="547"/>
      <c r="E40" s="120">
        <f>F13+F28+F36</f>
        <v>182370.75</v>
      </c>
      <c r="F40" s="120">
        <f>SUM(G36,G28,G13)</f>
        <v>2188449</v>
      </c>
      <c r="G40" s="122"/>
      <c r="H40" s="123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42" customHeight="1" x14ac:dyDescent="0.2">
      <c r="A41" s="2"/>
      <c r="B41" s="2"/>
      <c r="C41" s="2"/>
      <c r="D41" s="2"/>
      <c r="E41" s="11"/>
      <c r="F41" s="4"/>
      <c r="G41" s="11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s="366" customFormat="1" ht="7.5" customHeight="1" x14ac:dyDescent="0.2">
      <c r="A42" s="363"/>
      <c r="B42" s="363"/>
      <c r="C42" s="363"/>
      <c r="D42" s="363"/>
      <c r="E42" s="364"/>
      <c r="F42" s="365"/>
      <c r="G42" s="364"/>
      <c r="H42" s="363"/>
      <c r="I42" s="363"/>
      <c r="J42" s="363"/>
      <c r="K42" s="363"/>
      <c r="L42" s="363"/>
      <c r="M42" s="363"/>
      <c r="N42" s="363"/>
      <c r="O42" s="363"/>
      <c r="P42" s="363"/>
      <c r="Q42" s="363"/>
      <c r="R42" s="363"/>
      <c r="S42" s="363"/>
      <c r="T42" s="363"/>
      <c r="U42" s="363"/>
      <c r="V42" s="363"/>
      <c r="W42" s="363"/>
      <c r="X42" s="363"/>
      <c r="Y42" s="363"/>
      <c r="Z42" s="363"/>
    </row>
    <row r="43" spans="1:26" ht="4.5" customHeight="1" x14ac:dyDescent="0.2">
      <c r="A43" s="2"/>
      <c r="B43" s="2"/>
      <c r="C43" s="2"/>
      <c r="D43" s="4"/>
      <c r="E43" s="2"/>
      <c r="F43" s="2"/>
      <c r="G43" s="1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30.75" customHeight="1" thickBot="1" x14ac:dyDescent="0.25">
      <c r="A44" s="2"/>
      <c r="B44" s="2"/>
      <c r="C44" s="2"/>
      <c r="D44" s="542" t="s">
        <v>309</v>
      </c>
      <c r="E44" s="542"/>
      <c r="F44" s="542"/>
      <c r="G44" s="542"/>
      <c r="H44" s="542"/>
      <c r="I44" s="54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43.5" customHeight="1" thickBot="1" x14ac:dyDescent="0.25">
      <c r="A45" s="2"/>
      <c r="B45" s="2"/>
      <c r="C45" s="2"/>
      <c r="D45" s="355" t="s">
        <v>300</v>
      </c>
      <c r="E45" s="356" t="s">
        <v>310</v>
      </c>
      <c r="F45" s="367" t="str">
        <f>"Hora-base (R$) Valor VIGIA GERAL 12D = R$ "&amp;  E5 &amp; "/220 =  "&amp;TEXT(E5/220,"0,00")&amp;" /hora"</f>
        <v>Hora-base (R$) Valor VIGIA GERAL 12D = R$ 6456,14/220 =  29,35 /hora</v>
      </c>
      <c r="G45" s="357" t="s">
        <v>301</v>
      </c>
      <c r="H45" s="356" t="s">
        <v>302</v>
      </c>
      <c r="I45" s="356" t="s">
        <v>311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30.75" customHeight="1" thickBot="1" x14ac:dyDescent="0.25">
      <c r="A46" s="2"/>
      <c r="B46" s="2"/>
      <c r="C46" s="2"/>
      <c r="D46" s="348" t="s">
        <v>303</v>
      </c>
      <c r="E46" s="349">
        <v>1500</v>
      </c>
      <c r="F46" s="350">
        <f>ROUND(E$5/220,2)</f>
        <v>29.35</v>
      </c>
      <c r="G46" s="351">
        <v>1</v>
      </c>
      <c r="H46" s="352">
        <f>ROUND(G46*F46,2)</f>
        <v>29.35</v>
      </c>
      <c r="I46" s="353">
        <f>H46*E46</f>
        <v>44025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30.75" customHeight="1" thickBot="1" x14ac:dyDescent="0.25">
      <c r="A47" s="2"/>
      <c r="B47" s="2"/>
      <c r="C47" s="2"/>
      <c r="D47" s="348" t="s">
        <v>304</v>
      </c>
      <c r="E47" s="354">
        <v>200</v>
      </c>
      <c r="F47" s="350">
        <f t="shared" ref="F47:F49" si="10">ROUND(E$5/220,2)</f>
        <v>29.35</v>
      </c>
      <c r="G47" s="351">
        <v>1.5</v>
      </c>
      <c r="H47" s="352">
        <f t="shared" ref="H47:H49" si="11">ROUND(G47*F47,2)</f>
        <v>44.03</v>
      </c>
      <c r="I47" s="353">
        <f t="shared" ref="I47:I49" si="12">H47*E47</f>
        <v>8806</v>
      </c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30.75" customHeight="1" thickBot="1" x14ac:dyDescent="0.25">
      <c r="A48" s="2"/>
      <c r="B48" s="2"/>
      <c r="C48" s="2"/>
      <c r="D48" s="348" t="s">
        <v>305</v>
      </c>
      <c r="E48" s="354">
        <v>100</v>
      </c>
      <c r="F48" s="350">
        <f t="shared" si="10"/>
        <v>29.35</v>
      </c>
      <c r="G48" s="351">
        <v>2</v>
      </c>
      <c r="H48" s="352">
        <f t="shared" si="11"/>
        <v>58.7</v>
      </c>
      <c r="I48" s="353">
        <f t="shared" si="12"/>
        <v>5870</v>
      </c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30.75" customHeight="1" thickBot="1" x14ac:dyDescent="0.25">
      <c r="A49" s="2"/>
      <c r="B49" s="2"/>
      <c r="C49" s="2"/>
      <c r="D49" s="348" t="s">
        <v>306</v>
      </c>
      <c r="E49" s="354">
        <v>200</v>
      </c>
      <c r="F49" s="350">
        <f t="shared" si="10"/>
        <v>29.35</v>
      </c>
      <c r="G49" s="351">
        <v>1.2</v>
      </c>
      <c r="H49" s="352">
        <f t="shared" si="11"/>
        <v>35.22</v>
      </c>
      <c r="I49" s="353">
        <f t="shared" si="12"/>
        <v>7044</v>
      </c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30.75" customHeight="1" thickBot="1" x14ac:dyDescent="0.25">
      <c r="A50" s="2"/>
      <c r="B50" s="2"/>
      <c r="C50" s="2"/>
      <c r="D50" s="362" t="s">
        <v>307</v>
      </c>
      <c r="E50" s="358">
        <v>2000</v>
      </c>
      <c r="F50" s="359" t="s">
        <v>308</v>
      </c>
      <c r="G50" s="360" t="s">
        <v>308</v>
      </c>
      <c r="H50" s="359" t="s">
        <v>308</v>
      </c>
      <c r="I50" s="361">
        <f>SUM(I46:I49)</f>
        <v>65745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30" customHeight="1" x14ac:dyDescent="0.2">
      <c r="A51" s="2"/>
      <c r="B51" s="2"/>
      <c r="C51" s="2"/>
      <c r="D51" s="543" t="s">
        <v>146</v>
      </c>
      <c r="E51" s="544"/>
      <c r="F51" s="544"/>
      <c r="G51" s="545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2.75" customHeight="1" x14ac:dyDescent="0.2">
      <c r="A52" s="2"/>
      <c r="B52" s="2"/>
      <c r="C52" s="2"/>
      <c r="D52" s="106"/>
      <c r="E52" s="107" t="s">
        <v>42</v>
      </c>
      <c r="F52" s="108" t="s">
        <v>78</v>
      </c>
      <c r="G52" s="108" t="s">
        <v>77</v>
      </c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2.75" customHeight="1" x14ac:dyDescent="0.2">
      <c r="A53" s="2"/>
      <c r="B53" s="2"/>
      <c r="C53" s="2"/>
      <c r="D53" s="109" t="s">
        <v>82</v>
      </c>
      <c r="E53" s="139">
        <v>0.05</v>
      </c>
      <c r="F53" s="110">
        <f>TRUNC(ROUND(($I$50)*$E$53,2),2)</f>
        <v>3287.25</v>
      </c>
      <c r="G53" s="110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2.75" customHeight="1" x14ac:dyDescent="0.2">
      <c r="A54" s="2"/>
      <c r="B54" s="2"/>
      <c r="C54" s="2"/>
      <c r="D54" s="109" t="s">
        <v>83</v>
      </c>
      <c r="E54" s="140">
        <v>0.05</v>
      </c>
      <c r="F54" s="110">
        <f>TRUNC(ROUND(($I$50+F$53)*$E$54,2),2)</f>
        <v>3451.61</v>
      </c>
      <c r="G54" s="110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2.75" customHeight="1" x14ac:dyDescent="0.2">
      <c r="A55" s="2"/>
      <c r="B55" s="2"/>
      <c r="C55" s="2"/>
      <c r="D55" s="126" t="s">
        <v>102</v>
      </c>
      <c r="E55" s="139">
        <v>2.5000000000000001E-2</v>
      </c>
      <c r="F55" s="110">
        <f>TRUNC(ROUND(($I$50+F$53+F$54)/(100%-SUM($E$55:$E$57))*$E$55,2),2)</f>
        <v>2053.37</v>
      </c>
      <c r="G55" s="110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2.75" customHeight="1" x14ac:dyDescent="0.2">
      <c r="A56" s="2"/>
      <c r="B56" s="2"/>
      <c r="C56" s="2"/>
      <c r="D56" s="109" t="s">
        <v>84</v>
      </c>
      <c r="E56" s="140">
        <v>7.5999999999999998E-2</v>
      </c>
      <c r="F56" s="110">
        <f>TRUNC(ROUND(($I$50+F$53+F$54)/(100%-SUM($E$55:$E$57))*$E$56,2),2)</f>
        <v>6242.24</v>
      </c>
      <c r="G56" s="110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2.75" customHeight="1" x14ac:dyDescent="0.2">
      <c r="A57" s="2"/>
      <c r="B57" s="2"/>
      <c r="C57" s="2"/>
      <c r="D57" s="109" t="s">
        <v>85</v>
      </c>
      <c r="E57" s="140">
        <v>1.6500000000000001E-2</v>
      </c>
      <c r="F57" s="110">
        <f>TRUNC(ROUND(($I$50+F$53+F$54)/(100%-SUM($E$55:$E$57))*$E$57,2),2)</f>
        <v>1355.22</v>
      </c>
      <c r="G57" s="110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2.5" customHeight="1" x14ac:dyDescent="0.2">
      <c r="A58" s="2"/>
      <c r="B58" s="2"/>
      <c r="C58" s="2"/>
      <c r="D58" s="523" t="s">
        <v>86</v>
      </c>
      <c r="E58" s="524"/>
      <c r="F58" s="104">
        <f>SUM(F53:F57)</f>
        <v>16389.689999999999</v>
      </c>
      <c r="G58" s="104">
        <f>F58/12</f>
        <v>1365.8074999999999</v>
      </c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2.75" customHeight="1" x14ac:dyDescent="0.2">
      <c r="A59" s="2"/>
      <c r="B59" s="2"/>
      <c r="C59" s="2"/>
      <c r="D59" s="2"/>
      <c r="E59" s="2"/>
      <c r="F59" s="2"/>
      <c r="G59" s="1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2.75" customHeight="1" x14ac:dyDescent="0.2">
      <c r="A60" s="2"/>
      <c r="B60" s="2"/>
      <c r="C60" s="2"/>
      <c r="D60" s="2"/>
      <c r="E60" s="2"/>
      <c r="F60" s="2"/>
      <c r="G60" s="1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s="119" customFormat="1" ht="24.95" customHeight="1" x14ac:dyDescent="0.2">
      <c r="A61" s="1"/>
      <c r="B61" s="1"/>
      <c r="C61" s="1"/>
      <c r="D61" s="533" t="s">
        <v>315</v>
      </c>
      <c r="E61" s="121" t="s">
        <v>77</v>
      </c>
      <c r="F61" s="121" t="s">
        <v>88</v>
      </c>
      <c r="G61" s="122"/>
      <c r="H61" s="123"/>
      <c r="I61" s="122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119" customFormat="1" ht="24.95" customHeight="1" x14ac:dyDescent="0.2">
      <c r="A62" s="1"/>
      <c r="B62" s="1"/>
      <c r="C62" s="1"/>
      <c r="D62" s="534"/>
      <c r="E62" s="120">
        <f>ROUND(G58+I50/12,2)</f>
        <v>6844.56</v>
      </c>
      <c r="F62" s="120">
        <f>I50+F58</f>
        <v>82134.69</v>
      </c>
      <c r="G62" s="122"/>
      <c r="H62" s="123"/>
      <c r="I62" s="368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2.75" customHeight="1" x14ac:dyDescent="0.2">
      <c r="A63" s="2"/>
      <c r="B63" s="2"/>
      <c r="C63" s="2"/>
      <c r="D63" s="2"/>
      <c r="E63" s="2"/>
      <c r="F63" s="2"/>
      <c r="G63" s="1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2.75" customHeight="1" x14ac:dyDescent="0.2">
      <c r="A64" s="2"/>
      <c r="B64" s="2"/>
      <c r="C64" s="2"/>
      <c r="D64" s="2"/>
      <c r="E64" s="2"/>
      <c r="F64" s="2"/>
      <c r="G64" s="1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2.75" customHeight="1" x14ac:dyDescent="0.2">
      <c r="A65" s="2"/>
      <c r="B65" s="2"/>
      <c r="C65" s="2"/>
      <c r="D65" s="2"/>
      <c r="E65" s="2"/>
      <c r="F65" s="2"/>
      <c r="G65" s="11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2.75" customHeight="1" x14ac:dyDescent="0.2">
      <c r="A66" s="2"/>
      <c r="B66" s="2"/>
      <c r="C66" s="2"/>
      <c r="D66" s="2"/>
      <c r="E66" s="2"/>
      <c r="F66" s="2"/>
      <c r="G66" s="1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2.75" customHeight="1" x14ac:dyDescent="0.2">
      <c r="A67" s="2"/>
      <c r="B67" s="2"/>
      <c r="C67" s="2"/>
      <c r="D67" s="2"/>
      <c r="E67" s="2"/>
      <c r="F67" s="2"/>
      <c r="G67" s="1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2.75" customHeight="1" x14ac:dyDescent="0.2">
      <c r="A68" s="2"/>
      <c r="B68" s="2"/>
      <c r="C68" s="2"/>
      <c r="D68" s="2"/>
      <c r="E68" s="2"/>
      <c r="F68" s="2"/>
      <c r="G68" s="1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2.75" customHeight="1" x14ac:dyDescent="0.2">
      <c r="A69" s="2"/>
      <c r="B69" s="2"/>
      <c r="C69" s="2"/>
      <c r="D69" s="2"/>
      <c r="E69" s="2"/>
      <c r="F69" s="2"/>
      <c r="G69" s="1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2.75" customHeight="1" x14ac:dyDescent="0.2">
      <c r="A70" s="2"/>
      <c r="B70" s="2"/>
      <c r="C70" s="2"/>
      <c r="D70" s="2"/>
      <c r="E70" s="2"/>
      <c r="F70" s="2"/>
      <c r="G70" s="1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2.75" customHeight="1" x14ac:dyDescent="0.2">
      <c r="A71" s="2"/>
      <c r="B71" s="2"/>
      <c r="C71" s="2"/>
      <c r="D71" s="2"/>
      <c r="E71" s="2"/>
      <c r="F71" s="2"/>
      <c r="G71" s="1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2.75" customHeight="1" x14ac:dyDescent="0.2">
      <c r="A72" s="2"/>
      <c r="B72" s="2"/>
      <c r="C72" s="2"/>
      <c r="D72" s="2"/>
      <c r="E72" s="2"/>
      <c r="F72" s="2"/>
      <c r="G72" s="1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2.75" customHeight="1" x14ac:dyDescent="0.2">
      <c r="A73" s="2"/>
      <c r="B73" s="2"/>
      <c r="C73" s="2"/>
      <c r="D73" s="2"/>
      <c r="E73" s="2"/>
      <c r="F73" s="2"/>
      <c r="G73" s="1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2.75" customHeight="1" x14ac:dyDescent="0.2">
      <c r="A74" s="2"/>
      <c r="B74" s="2"/>
      <c r="C74" s="2"/>
      <c r="D74" s="2"/>
      <c r="E74" s="2"/>
      <c r="F74" s="2"/>
      <c r="G74" s="11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2.75" customHeight="1" x14ac:dyDescent="0.2">
      <c r="A75" s="2"/>
      <c r="B75" s="2"/>
      <c r="C75" s="2"/>
      <c r="D75" s="2"/>
      <c r="E75" s="2"/>
      <c r="F75" s="2"/>
      <c r="G75" s="1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2.75" customHeight="1" x14ac:dyDescent="0.2">
      <c r="A76" s="2"/>
      <c r="B76" s="2"/>
      <c r="C76" s="2"/>
      <c r="D76" s="2"/>
      <c r="E76" s="2"/>
      <c r="F76" s="2"/>
      <c r="G76" s="1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2.75" customHeight="1" x14ac:dyDescent="0.2">
      <c r="A77" s="2"/>
      <c r="B77" s="2"/>
      <c r="C77" s="2"/>
      <c r="D77" s="2"/>
      <c r="E77" s="2"/>
      <c r="F77" s="2"/>
      <c r="G77" s="11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2.75" customHeight="1" x14ac:dyDescent="0.2">
      <c r="A78" s="2"/>
      <c r="B78" s="2"/>
      <c r="C78" s="2"/>
      <c r="D78" s="2"/>
      <c r="E78" s="2"/>
      <c r="F78" s="2"/>
      <c r="G78" s="1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2.75" customHeight="1" x14ac:dyDescent="0.2">
      <c r="A79" s="2"/>
      <c r="B79" s="2"/>
      <c r="C79" s="2"/>
      <c r="D79" s="2"/>
      <c r="E79" s="2"/>
      <c r="F79" s="2"/>
      <c r="G79" s="11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2.75" customHeight="1" x14ac:dyDescent="0.2">
      <c r="A80" s="2"/>
      <c r="B80" s="2"/>
      <c r="C80" s="2"/>
      <c r="D80" s="2"/>
      <c r="E80" s="2"/>
      <c r="F80" s="2"/>
      <c r="G80" s="1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2.75" customHeight="1" x14ac:dyDescent="0.2">
      <c r="A81" s="2"/>
      <c r="B81" s="2"/>
      <c r="C81" s="2"/>
      <c r="D81" s="2"/>
      <c r="E81" s="2"/>
      <c r="F81" s="2"/>
      <c r="G81" s="1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2.75" customHeight="1" x14ac:dyDescent="0.2">
      <c r="A82" s="2"/>
      <c r="B82" s="2"/>
      <c r="C82" s="2"/>
      <c r="D82" s="2"/>
      <c r="E82" s="2"/>
      <c r="F82" s="2"/>
      <c r="G82" s="1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2.75" customHeight="1" x14ac:dyDescent="0.2">
      <c r="A83" s="2"/>
      <c r="B83" s="2"/>
      <c r="C83" s="2"/>
      <c r="D83" s="2"/>
      <c r="E83" s="2"/>
      <c r="F83" s="2"/>
      <c r="G83" s="1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2.75" customHeight="1" x14ac:dyDescent="0.2">
      <c r="A84" s="2"/>
      <c r="B84" s="2"/>
      <c r="C84" s="2"/>
      <c r="D84" s="2"/>
      <c r="E84" s="2"/>
      <c r="F84" s="2"/>
      <c r="G84" s="11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2.75" customHeight="1" x14ac:dyDescent="0.2">
      <c r="A85" s="2"/>
      <c r="B85" s="2"/>
      <c r="C85" s="2"/>
      <c r="D85" s="2"/>
      <c r="E85" s="2"/>
      <c r="F85" s="2"/>
      <c r="G85" s="1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2.75" customHeight="1" x14ac:dyDescent="0.2">
      <c r="A86" s="2"/>
      <c r="B86" s="2"/>
      <c r="C86" s="2"/>
      <c r="D86" s="2"/>
      <c r="E86" s="2"/>
      <c r="F86" s="2"/>
      <c r="G86" s="1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2.75" customHeight="1" x14ac:dyDescent="0.2">
      <c r="A87" s="2"/>
      <c r="B87" s="2"/>
      <c r="C87" s="2"/>
      <c r="D87" s="2"/>
      <c r="E87" s="2"/>
      <c r="F87" s="2"/>
      <c r="G87" s="1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2.75" customHeight="1" x14ac:dyDescent="0.2">
      <c r="A88" s="2"/>
      <c r="B88" s="2"/>
      <c r="C88" s="2"/>
      <c r="D88" s="2"/>
      <c r="E88" s="2"/>
      <c r="F88" s="2"/>
      <c r="G88" s="11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2.75" customHeight="1" x14ac:dyDescent="0.2">
      <c r="A89" s="2"/>
      <c r="B89" s="2"/>
      <c r="C89" s="2"/>
      <c r="D89" s="2"/>
      <c r="E89" s="2"/>
      <c r="F89" s="2"/>
      <c r="G89" s="11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2.75" customHeight="1" x14ac:dyDescent="0.2">
      <c r="A90" s="2"/>
      <c r="B90" s="2"/>
      <c r="C90" s="2"/>
      <c r="D90" s="2"/>
      <c r="E90" s="2"/>
      <c r="F90" s="2"/>
      <c r="G90" s="1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2.75" customHeight="1" x14ac:dyDescent="0.2">
      <c r="A91" s="2"/>
      <c r="B91" s="2"/>
      <c r="C91" s="2"/>
      <c r="D91" s="2"/>
      <c r="E91" s="2"/>
      <c r="F91" s="2"/>
      <c r="G91" s="1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2.75" customHeight="1" x14ac:dyDescent="0.2">
      <c r="A92" s="2"/>
      <c r="B92" s="2"/>
      <c r="C92" s="2"/>
      <c r="D92" s="2"/>
      <c r="E92" s="2"/>
      <c r="F92" s="2"/>
      <c r="G92" s="1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2.75" customHeight="1" x14ac:dyDescent="0.2">
      <c r="A93" s="2"/>
      <c r="B93" s="2"/>
      <c r="C93" s="2"/>
      <c r="D93" s="2"/>
      <c r="E93" s="2"/>
      <c r="F93" s="2"/>
      <c r="G93" s="1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2.75" customHeight="1" x14ac:dyDescent="0.2">
      <c r="A94" s="2"/>
      <c r="B94" s="2"/>
      <c r="C94" s="2"/>
      <c r="D94" s="2"/>
      <c r="E94" s="2"/>
      <c r="F94" s="2"/>
      <c r="G94" s="1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2.75" customHeight="1" x14ac:dyDescent="0.2">
      <c r="A95" s="2"/>
      <c r="B95" s="2"/>
      <c r="C95" s="2"/>
      <c r="D95" s="2"/>
      <c r="E95" s="2"/>
      <c r="F95" s="2"/>
      <c r="G95" s="1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2.75" customHeight="1" x14ac:dyDescent="0.2">
      <c r="A96" s="2"/>
      <c r="B96" s="2"/>
      <c r="C96" s="2"/>
      <c r="D96" s="2"/>
      <c r="E96" s="2"/>
      <c r="F96" s="2"/>
      <c r="G96" s="1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2.75" customHeight="1" x14ac:dyDescent="0.2">
      <c r="A97" s="2"/>
      <c r="B97" s="2"/>
      <c r="C97" s="2"/>
      <c r="D97" s="2"/>
      <c r="E97" s="2"/>
      <c r="F97" s="2"/>
      <c r="G97" s="1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2.75" customHeight="1" x14ac:dyDescent="0.2">
      <c r="A98" s="2"/>
      <c r="B98" s="2"/>
      <c r="C98" s="2"/>
      <c r="D98" s="2"/>
      <c r="E98" s="2"/>
      <c r="F98" s="2"/>
      <c r="G98" s="11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2.75" customHeight="1" x14ac:dyDescent="0.2">
      <c r="A99" s="2"/>
      <c r="B99" s="2"/>
      <c r="C99" s="2"/>
      <c r="D99" s="2"/>
      <c r="E99" s="2"/>
      <c r="F99" s="2"/>
      <c r="G99" s="1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2.75" customHeight="1" x14ac:dyDescent="0.2">
      <c r="A100" s="2"/>
      <c r="B100" s="2"/>
      <c r="C100" s="2"/>
      <c r="D100" s="2"/>
      <c r="E100" s="2"/>
      <c r="F100" s="2"/>
      <c r="G100" s="1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2.75" customHeight="1" x14ac:dyDescent="0.2">
      <c r="A101" s="2"/>
      <c r="B101" s="2"/>
      <c r="C101" s="2"/>
      <c r="D101" s="2"/>
      <c r="E101" s="2"/>
      <c r="F101" s="2"/>
      <c r="G101" s="1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2.75" customHeight="1" x14ac:dyDescent="0.2">
      <c r="A102" s="2"/>
      <c r="B102" s="2"/>
      <c r="C102" s="2"/>
      <c r="D102" s="2"/>
      <c r="E102" s="2"/>
      <c r="F102" s="2"/>
      <c r="G102" s="1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2.75" customHeight="1" x14ac:dyDescent="0.2">
      <c r="A103" s="2"/>
      <c r="B103" s="2"/>
      <c r="C103" s="2"/>
      <c r="D103" s="2"/>
      <c r="E103" s="2"/>
      <c r="F103" s="2"/>
      <c r="G103" s="1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2.75" customHeight="1" x14ac:dyDescent="0.2">
      <c r="A104" s="2"/>
      <c r="B104" s="2"/>
      <c r="C104" s="2"/>
      <c r="D104" s="2"/>
      <c r="E104" s="2"/>
      <c r="F104" s="2"/>
      <c r="G104" s="1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2.75" customHeight="1" x14ac:dyDescent="0.2">
      <c r="A105" s="2"/>
      <c r="B105" s="2"/>
      <c r="C105" s="2"/>
      <c r="D105" s="2"/>
      <c r="E105" s="2"/>
      <c r="F105" s="2"/>
      <c r="G105" s="11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2.75" customHeight="1" x14ac:dyDescent="0.2">
      <c r="A106" s="2"/>
      <c r="B106" s="2"/>
      <c r="C106" s="2"/>
      <c r="D106" s="2"/>
      <c r="E106" s="2"/>
      <c r="F106" s="2"/>
      <c r="G106" s="1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2.75" customHeight="1" x14ac:dyDescent="0.2">
      <c r="A107" s="2"/>
      <c r="B107" s="2"/>
      <c r="C107" s="2"/>
      <c r="D107" s="2"/>
      <c r="E107" s="2"/>
      <c r="F107" s="2"/>
      <c r="G107" s="1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2.75" customHeight="1" x14ac:dyDescent="0.2">
      <c r="A108" s="2"/>
      <c r="B108" s="2"/>
      <c r="C108" s="2"/>
      <c r="D108" s="2"/>
      <c r="E108" s="2"/>
      <c r="F108" s="2"/>
      <c r="G108" s="1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2.75" customHeight="1" x14ac:dyDescent="0.2">
      <c r="A109" s="2"/>
      <c r="B109" s="2"/>
      <c r="C109" s="2"/>
      <c r="D109" s="2"/>
      <c r="E109" s="2"/>
      <c r="F109" s="2"/>
      <c r="G109" s="1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2.75" customHeight="1" x14ac:dyDescent="0.2">
      <c r="A110" s="2"/>
      <c r="B110" s="2"/>
      <c r="C110" s="2"/>
      <c r="D110" s="2"/>
      <c r="E110" s="2"/>
      <c r="F110" s="2"/>
      <c r="G110" s="1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2.75" customHeight="1" x14ac:dyDescent="0.2">
      <c r="A111" s="2"/>
      <c r="B111" s="2"/>
      <c r="C111" s="2"/>
      <c r="D111" s="2"/>
      <c r="E111" s="2"/>
      <c r="F111" s="2"/>
      <c r="G111" s="1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2.75" customHeight="1" x14ac:dyDescent="0.2">
      <c r="A112" s="2"/>
      <c r="B112" s="2"/>
      <c r="C112" s="2"/>
      <c r="D112" s="2"/>
      <c r="E112" s="2"/>
      <c r="F112" s="2"/>
      <c r="G112" s="1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2.75" customHeight="1" x14ac:dyDescent="0.2">
      <c r="A113" s="2"/>
      <c r="B113" s="2"/>
      <c r="C113" s="2"/>
      <c r="D113" s="2"/>
      <c r="E113" s="2"/>
      <c r="F113" s="2"/>
      <c r="G113" s="11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2.75" customHeight="1" x14ac:dyDescent="0.2">
      <c r="A114" s="2"/>
      <c r="B114" s="2"/>
      <c r="C114" s="2"/>
      <c r="D114" s="2"/>
      <c r="E114" s="2"/>
      <c r="F114" s="2"/>
      <c r="G114" s="1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2.75" customHeight="1" x14ac:dyDescent="0.2">
      <c r="A115" s="2"/>
      <c r="B115" s="2"/>
      <c r="C115" s="2"/>
      <c r="D115" s="2"/>
      <c r="E115" s="2"/>
      <c r="F115" s="2"/>
      <c r="G115" s="1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2.75" customHeight="1" x14ac:dyDescent="0.2">
      <c r="A116" s="2"/>
      <c r="B116" s="2"/>
      <c r="C116" s="2"/>
      <c r="D116" s="2"/>
      <c r="E116" s="2"/>
      <c r="F116" s="2"/>
      <c r="G116" s="1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2.75" customHeight="1" x14ac:dyDescent="0.2">
      <c r="A117" s="2"/>
      <c r="B117" s="2"/>
      <c r="C117" s="2"/>
      <c r="D117" s="2"/>
      <c r="E117" s="2"/>
      <c r="F117" s="2"/>
      <c r="G117" s="1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2.75" customHeight="1" x14ac:dyDescent="0.2">
      <c r="A118" s="2"/>
      <c r="B118" s="2"/>
      <c r="C118" s="2"/>
      <c r="D118" s="2"/>
      <c r="E118" s="2"/>
      <c r="F118" s="2"/>
      <c r="G118" s="1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2.75" customHeight="1" x14ac:dyDescent="0.2">
      <c r="A119" s="2"/>
      <c r="B119" s="2"/>
      <c r="C119" s="2"/>
      <c r="D119" s="2"/>
      <c r="E119" s="2"/>
      <c r="F119" s="2"/>
      <c r="G119" s="1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2.75" customHeight="1" x14ac:dyDescent="0.2">
      <c r="A120" s="2"/>
      <c r="B120" s="2"/>
      <c r="C120" s="2"/>
      <c r="D120" s="2"/>
      <c r="E120" s="2"/>
      <c r="F120" s="2"/>
      <c r="G120" s="1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2.75" customHeight="1" x14ac:dyDescent="0.2">
      <c r="A121" s="2"/>
      <c r="B121" s="2"/>
      <c r="C121" s="2"/>
      <c r="D121" s="2"/>
      <c r="E121" s="2"/>
      <c r="F121" s="2"/>
      <c r="G121" s="1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2.75" customHeight="1" x14ac:dyDescent="0.2">
      <c r="A122" s="2"/>
      <c r="B122" s="2"/>
      <c r="C122" s="2"/>
      <c r="D122" s="2"/>
      <c r="E122" s="2"/>
      <c r="F122" s="2"/>
      <c r="G122" s="1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2.75" customHeight="1" x14ac:dyDescent="0.2">
      <c r="A123" s="2"/>
      <c r="B123" s="2"/>
      <c r="C123" s="2"/>
      <c r="D123" s="2"/>
      <c r="E123" s="2"/>
      <c r="F123" s="2"/>
      <c r="G123" s="1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2.75" customHeight="1" x14ac:dyDescent="0.2">
      <c r="A124" s="2"/>
      <c r="B124" s="2"/>
      <c r="C124" s="2"/>
      <c r="D124" s="2"/>
      <c r="E124" s="2"/>
      <c r="F124" s="2"/>
      <c r="G124" s="1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2.75" customHeight="1" x14ac:dyDescent="0.2">
      <c r="A125" s="2"/>
      <c r="B125" s="2"/>
      <c r="C125" s="2"/>
      <c r="D125" s="2"/>
      <c r="E125" s="2"/>
      <c r="F125" s="2"/>
      <c r="G125" s="1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2.75" customHeight="1" x14ac:dyDescent="0.2">
      <c r="A126" s="2"/>
      <c r="B126" s="2"/>
      <c r="C126" s="2"/>
      <c r="D126" s="2"/>
      <c r="E126" s="2"/>
      <c r="F126" s="2"/>
      <c r="G126" s="1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2.75" customHeight="1" x14ac:dyDescent="0.2">
      <c r="A127" s="2"/>
      <c r="B127" s="2"/>
      <c r="C127" s="2"/>
      <c r="D127" s="2"/>
      <c r="E127" s="2"/>
      <c r="F127" s="2"/>
      <c r="G127" s="1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2.75" customHeight="1" x14ac:dyDescent="0.2">
      <c r="A128" s="2"/>
      <c r="B128" s="2"/>
      <c r="C128" s="2"/>
      <c r="D128" s="2"/>
      <c r="E128" s="2"/>
      <c r="F128" s="2"/>
      <c r="G128" s="1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2.75" customHeight="1" x14ac:dyDescent="0.2">
      <c r="A129" s="2"/>
      <c r="B129" s="2"/>
      <c r="C129" s="2"/>
      <c r="D129" s="2"/>
      <c r="E129" s="2"/>
      <c r="F129" s="2"/>
      <c r="G129" s="1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2.75" customHeight="1" x14ac:dyDescent="0.2">
      <c r="A130" s="2"/>
      <c r="B130" s="2"/>
      <c r="C130" s="2"/>
      <c r="D130" s="2"/>
      <c r="E130" s="2"/>
      <c r="F130" s="2"/>
      <c r="G130" s="1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2.75" customHeight="1" x14ac:dyDescent="0.2">
      <c r="A131" s="2"/>
      <c r="B131" s="2"/>
      <c r="C131" s="2"/>
      <c r="D131" s="2"/>
      <c r="E131" s="2"/>
      <c r="F131" s="2"/>
      <c r="G131" s="1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2.75" customHeight="1" x14ac:dyDescent="0.2">
      <c r="A132" s="2"/>
      <c r="B132" s="2"/>
      <c r="C132" s="2"/>
      <c r="D132" s="2"/>
      <c r="E132" s="2"/>
      <c r="F132" s="2"/>
      <c r="G132" s="1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2.75" customHeight="1" x14ac:dyDescent="0.2">
      <c r="A133" s="2"/>
      <c r="B133" s="2"/>
      <c r="C133" s="2"/>
      <c r="D133" s="2"/>
      <c r="E133" s="2"/>
      <c r="F133" s="2"/>
      <c r="G133" s="1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2.75" customHeight="1" x14ac:dyDescent="0.2">
      <c r="A134" s="2"/>
      <c r="B134" s="2"/>
      <c r="C134" s="2"/>
      <c r="D134" s="2"/>
      <c r="E134" s="2"/>
      <c r="F134" s="2"/>
      <c r="G134" s="1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2.75" customHeight="1" x14ac:dyDescent="0.2">
      <c r="A135" s="2"/>
      <c r="B135" s="2"/>
      <c r="C135" s="2"/>
      <c r="D135" s="2"/>
      <c r="E135" s="2"/>
      <c r="F135" s="2"/>
      <c r="G135" s="1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2.75" customHeight="1" x14ac:dyDescent="0.2">
      <c r="A136" s="2"/>
      <c r="B136" s="2"/>
      <c r="C136" s="2"/>
      <c r="D136" s="2"/>
      <c r="E136" s="2"/>
      <c r="F136" s="2"/>
      <c r="G136" s="1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2.75" customHeight="1" x14ac:dyDescent="0.2">
      <c r="A137" s="2"/>
      <c r="B137" s="2"/>
      <c r="C137" s="2"/>
      <c r="D137" s="2"/>
      <c r="E137" s="2"/>
      <c r="F137" s="2"/>
      <c r="G137" s="1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2.75" customHeight="1" x14ac:dyDescent="0.2">
      <c r="A138" s="2"/>
      <c r="B138" s="2"/>
      <c r="C138" s="2"/>
      <c r="D138" s="2"/>
      <c r="E138" s="2"/>
      <c r="F138" s="2"/>
      <c r="G138" s="1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2.75" customHeight="1" x14ac:dyDescent="0.2">
      <c r="A139" s="2"/>
      <c r="B139" s="2"/>
      <c r="C139" s="2"/>
      <c r="D139" s="2"/>
      <c r="E139" s="2"/>
      <c r="F139" s="2"/>
      <c r="G139" s="1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2.75" customHeight="1" x14ac:dyDescent="0.2">
      <c r="A140" s="2"/>
      <c r="B140" s="2"/>
      <c r="C140" s="2"/>
      <c r="D140" s="2"/>
      <c r="E140" s="2"/>
      <c r="F140" s="2"/>
      <c r="G140" s="1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2.75" customHeight="1" x14ac:dyDescent="0.2">
      <c r="A141" s="2"/>
      <c r="B141" s="2"/>
      <c r="C141" s="2"/>
      <c r="D141" s="2"/>
      <c r="E141" s="2"/>
      <c r="F141" s="2"/>
      <c r="G141" s="1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2.75" customHeight="1" x14ac:dyDescent="0.2">
      <c r="A142" s="2"/>
      <c r="B142" s="2"/>
      <c r="C142" s="2"/>
      <c r="D142" s="2"/>
      <c r="E142" s="2"/>
      <c r="F142" s="2"/>
      <c r="G142" s="1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2.75" customHeight="1" x14ac:dyDescent="0.2">
      <c r="A143" s="2"/>
      <c r="B143" s="2"/>
      <c r="C143" s="2"/>
      <c r="D143" s="2"/>
      <c r="E143" s="2"/>
      <c r="F143" s="2"/>
      <c r="G143" s="1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2.75" customHeight="1" x14ac:dyDescent="0.2">
      <c r="A144" s="2"/>
      <c r="B144" s="2"/>
      <c r="C144" s="2"/>
      <c r="D144" s="2"/>
      <c r="E144" s="2"/>
      <c r="F144" s="2"/>
      <c r="G144" s="1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2.75" customHeight="1" x14ac:dyDescent="0.2">
      <c r="A145" s="2"/>
      <c r="B145" s="2"/>
      <c r="C145" s="2"/>
      <c r="D145" s="2"/>
      <c r="E145" s="2"/>
      <c r="F145" s="2"/>
      <c r="G145" s="1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2.75" customHeight="1" x14ac:dyDescent="0.2">
      <c r="A146" s="2"/>
      <c r="B146" s="2"/>
      <c r="C146" s="2"/>
      <c r="D146" s="2"/>
      <c r="E146" s="2"/>
      <c r="F146" s="2"/>
      <c r="G146" s="1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2.75" customHeight="1" x14ac:dyDescent="0.2">
      <c r="A147" s="2"/>
      <c r="B147" s="2"/>
      <c r="C147" s="2"/>
      <c r="D147" s="2"/>
      <c r="E147" s="2"/>
      <c r="F147" s="2"/>
      <c r="G147" s="1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2.75" customHeight="1" x14ac:dyDescent="0.2">
      <c r="A148" s="2"/>
      <c r="B148" s="2"/>
      <c r="C148" s="2"/>
      <c r="D148" s="2"/>
      <c r="E148" s="2"/>
      <c r="F148" s="2"/>
      <c r="G148" s="1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2.75" customHeight="1" x14ac:dyDescent="0.2">
      <c r="A149" s="2"/>
      <c r="B149" s="2"/>
      <c r="C149" s="2"/>
      <c r="D149" s="2"/>
      <c r="E149" s="2"/>
      <c r="F149" s="2"/>
      <c r="G149" s="1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2.75" customHeight="1" x14ac:dyDescent="0.2">
      <c r="A150" s="2"/>
      <c r="B150" s="2"/>
      <c r="C150" s="2"/>
      <c r="D150" s="2"/>
      <c r="E150" s="2"/>
      <c r="F150" s="2"/>
      <c r="G150" s="1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2.75" customHeight="1" x14ac:dyDescent="0.2">
      <c r="A151" s="2"/>
      <c r="B151" s="2"/>
      <c r="C151" s="2"/>
      <c r="D151" s="2"/>
      <c r="E151" s="2"/>
      <c r="F151" s="2"/>
      <c r="G151" s="1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2.75" customHeight="1" x14ac:dyDescent="0.2">
      <c r="A152" s="2"/>
      <c r="B152" s="2"/>
      <c r="C152" s="2"/>
      <c r="D152" s="2"/>
      <c r="E152" s="2"/>
      <c r="F152" s="2"/>
      <c r="G152" s="1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2.75" customHeight="1" x14ac:dyDescent="0.2">
      <c r="A153" s="2"/>
      <c r="B153" s="2"/>
      <c r="C153" s="2"/>
      <c r="D153" s="2"/>
      <c r="E153" s="2"/>
      <c r="F153" s="2"/>
      <c r="G153" s="1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2.75" customHeight="1" x14ac:dyDescent="0.2">
      <c r="A154" s="2"/>
      <c r="B154" s="2"/>
      <c r="C154" s="2"/>
      <c r="D154" s="2"/>
      <c r="E154" s="2"/>
      <c r="F154" s="2"/>
      <c r="G154" s="1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2.75" customHeight="1" x14ac:dyDescent="0.2">
      <c r="A155" s="2"/>
      <c r="B155" s="2"/>
      <c r="C155" s="2"/>
      <c r="D155" s="2"/>
      <c r="E155" s="2"/>
      <c r="F155" s="2"/>
      <c r="G155" s="1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2.75" customHeight="1" x14ac:dyDescent="0.2">
      <c r="A156" s="2"/>
      <c r="B156" s="2"/>
      <c r="C156" s="2"/>
      <c r="D156" s="2"/>
      <c r="E156" s="2"/>
      <c r="F156" s="2"/>
      <c r="G156" s="1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2.75" customHeight="1" x14ac:dyDescent="0.2">
      <c r="A157" s="2"/>
      <c r="B157" s="2"/>
      <c r="C157" s="2"/>
      <c r="D157" s="2"/>
      <c r="E157" s="2"/>
      <c r="F157" s="2"/>
      <c r="G157" s="1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2.75" customHeight="1" x14ac:dyDescent="0.2">
      <c r="A158" s="2"/>
      <c r="B158" s="2"/>
      <c r="C158" s="2"/>
      <c r="D158" s="2"/>
      <c r="E158" s="2"/>
      <c r="F158" s="2"/>
      <c r="G158" s="1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2.75" customHeight="1" x14ac:dyDescent="0.2">
      <c r="A159" s="2"/>
      <c r="B159" s="2"/>
      <c r="C159" s="2"/>
      <c r="D159" s="2"/>
      <c r="E159" s="2"/>
      <c r="F159" s="2"/>
      <c r="G159" s="1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2.75" customHeight="1" x14ac:dyDescent="0.2">
      <c r="A160" s="2"/>
      <c r="B160" s="2"/>
      <c r="C160" s="2"/>
      <c r="D160" s="2"/>
      <c r="E160" s="2"/>
      <c r="F160" s="2"/>
      <c r="G160" s="1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2.75" customHeight="1" x14ac:dyDescent="0.2">
      <c r="A161" s="2"/>
      <c r="B161" s="2"/>
      <c r="C161" s="2"/>
      <c r="D161" s="2"/>
      <c r="E161" s="2"/>
      <c r="F161" s="2"/>
      <c r="G161" s="1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2.75" customHeight="1" x14ac:dyDescent="0.2">
      <c r="A162" s="2"/>
      <c r="B162" s="2"/>
      <c r="C162" s="2"/>
      <c r="D162" s="2"/>
      <c r="E162" s="2"/>
      <c r="F162" s="2"/>
      <c r="G162" s="1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2.75" customHeight="1" x14ac:dyDescent="0.2">
      <c r="A163" s="2"/>
      <c r="B163" s="2"/>
      <c r="C163" s="2"/>
      <c r="D163" s="2"/>
      <c r="E163" s="2"/>
      <c r="F163" s="2"/>
      <c r="G163" s="1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2.75" customHeight="1" x14ac:dyDescent="0.2">
      <c r="A164" s="2"/>
      <c r="B164" s="2"/>
      <c r="C164" s="2"/>
      <c r="D164" s="2"/>
      <c r="E164" s="2"/>
      <c r="F164" s="2"/>
      <c r="G164" s="1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2.75" customHeight="1" x14ac:dyDescent="0.2">
      <c r="A165" s="2"/>
      <c r="B165" s="2"/>
      <c r="C165" s="2"/>
      <c r="D165" s="2"/>
      <c r="E165" s="2"/>
      <c r="F165" s="2"/>
      <c r="G165" s="1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2.75" customHeight="1" x14ac:dyDescent="0.2">
      <c r="A166" s="2"/>
      <c r="B166" s="2"/>
      <c r="C166" s="2"/>
      <c r="D166" s="2"/>
      <c r="E166" s="2"/>
      <c r="F166" s="2"/>
      <c r="G166" s="1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2.75" customHeight="1" x14ac:dyDescent="0.2">
      <c r="A167" s="2"/>
      <c r="B167" s="2"/>
      <c r="C167" s="2"/>
      <c r="D167" s="2"/>
      <c r="E167" s="2"/>
      <c r="F167" s="2"/>
      <c r="G167" s="1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2.75" customHeight="1" x14ac:dyDescent="0.2">
      <c r="A168" s="2"/>
      <c r="B168" s="2"/>
      <c r="C168" s="2"/>
      <c r="D168" s="2"/>
      <c r="E168" s="2"/>
      <c r="F168" s="2"/>
      <c r="G168" s="1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2.75" customHeight="1" x14ac:dyDescent="0.2">
      <c r="A169" s="2"/>
      <c r="B169" s="2"/>
      <c r="C169" s="2"/>
      <c r="D169" s="2"/>
      <c r="E169" s="2"/>
      <c r="F169" s="2"/>
      <c r="G169" s="1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2.75" customHeight="1" x14ac:dyDescent="0.2">
      <c r="A170" s="2"/>
      <c r="B170" s="2"/>
      <c r="C170" s="2"/>
      <c r="D170" s="2"/>
      <c r="E170" s="2"/>
      <c r="F170" s="2"/>
      <c r="G170" s="1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2.75" customHeight="1" x14ac:dyDescent="0.2">
      <c r="A171" s="2"/>
      <c r="B171" s="2"/>
      <c r="C171" s="2"/>
      <c r="D171" s="2"/>
      <c r="E171" s="2"/>
      <c r="F171" s="2"/>
      <c r="G171" s="1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2.75" customHeight="1" x14ac:dyDescent="0.2">
      <c r="A172" s="2"/>
      <c r="B172" s="2"/>
      <c r="C172" s="2"/>
      <c r="D172" s="2"/>
      <c r="E172" s="2"/>
      <c r="F172" s="2"/>
      <c r="G172" s="1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2.75" customHeight="1" x14ac:dyDescent="0.2">
      <c r="A173" s="2"/>
      <c r="B173" s="2"/>
      <c r="C173" s="2"/>
      <c r="D173" s="2"/>
      <c r="E173" s="2"/>
      <c r="F173" s="2"/>
      <c r="G173" s="1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2.75" customHeight="1" x14ac:dyDescent="0.2">
      <c r="A174" s="2"/>
      <c r="B174" s="2"/>
      <c r="C174" s="2"/>
      <c r="D174" s="2"/>
      <c r="E174" s="2"/>
      <c r="F174" s="2"/>
      <c r="G174" s="1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2.75" customHeight="1" x14ac:dyDescent="0.2">
      <c r="A175" s="2"/>
      <c r="B175" s="2"/>
      <c r="C175" s="2"/>
      <c r="D175" s="2"/>
      <c r="E175" s="2"/>
      <c r="F175" s="2"/>
      <c r="G175" s="1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2.75" customHeight="1" x14ac:dyDescent="0.2">
      <c r="A176" s="2"/>
      <c r="B176" s="2"/>
      <c r="C176" s="2"/>
      <c r="D176" s="2"/>
      <c r="E176" s="2"/>
      <c r="F176" s="2"/>
      <c r="G176" s="1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2.75" customHeight="1" x14ac:dyDescent="0.2">
      <c r="A177" s="2"/>
      <c r="B177" s="2"/>
      <c r="C177" s="2"/>
      <c r="D177" s="2"/>
      <c r="E177" s="2"/>
      <c r="F177" s="2"/>
      <c r="G177" s="1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2.75" customHeight="1" x14ac:dyDescent="0.2">
      <c r="A178" s="2"/>
      <c r="B178" s="2"/>
      <c r="C178" s="2"/>
      <c r="D178" s="2"/>
      <c r="E178" s="2"/>
      <c r="F178" s="2"/>
      <c r="G178" s="1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2.75" customHeight="1" x14ac:dyDescent="0.2">
      <c r="A179" s="2"/>
      <c r="B179" s="2"/>
      <c r="C179" s="2"/>
      <c r="D179" s="2"/>
      <c r="E179" s="2"/>
      <c r="F179" s="2"/>
      <c r="G179" s="1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2.75" customHeight="1" x14ac:dyDescent="0.2">
      <c r="A180" s="2"/>
      <c r="B180" s="2"/>
      <c r="C180" s="2"/>
      <c r="D180" s="2"/>
      <c r="E180" s="2"/>
      <c r="F180" s="2"/>
      <c r="G180" s="1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2.75" customHeight="1" x14ac:dyDescent="0.2">
      <c r="A181" s="2"/>
      <c r="B181" s="2"/>
      <c r="C181" s="2"/>
      <c r="D181" s="2"/>
      <c r="E181" s="2"/>
      <c r="F181" s="2"/>
      <c r="G181" s="1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2.75" customHeight="1" x14ac:dyDescent="0.2">
      <c r="A182" s="2"/>
      <c r="B182" s="2"/>
      <c r="C182" s="2"/>
      <c r="D182" s="2"/>
      <c r="E182" s="2"/>
      <c r="F182" s="2"/>
      <c r="G182" s="1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2.75" customHeight="1" x14ac:dyDescent="0.2">
      <c r="A183" s="2"/>
      <c r="B183" s="2"/>
      <c r="C183" s="2"/>
      <c r="D183" s="2"/>
      <c r="E183" s="2"/>
      <c r="F183" s="2"/>
      <c r="G183" s="1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2.75" customHeight="1" x14ac:dyDescent="0.2">
      <c r="A184" s="2"/>
      <c r="B184" s="2"/>
      <c r="C184" s="2"/>
      <c r="D184" s="2"/>
      <c r="E184" s="2"/>
      <c r="F184" s="2"/>
      <c r="G184" s="1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2.75" customHeight="1" x14ac:dyDescent="0.2">
      <c r="A185" s="2"/>
      <c r="B185" s="2"/>
      <c r="C185" s="2"/>
      <c r="D185" s="2"/>
      <c r="E185" s="2"/>
      <c r="F185" s="2"/>
      <c r="G185" s="1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2.75" customHeight="1" x14ac:dyDescent="0.2">
      <c r="A186" s="2"/>
      <c r="B186" s="2"/>
      <c r="C186" s="2"/>
      <c r="D186" s="2"/>
      <c r="E186" s="2"/>
      <c r="F186" s="2"/>
      <c r="G186" s="1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2.75" customHeight="1" x14ac:dyDescent="0.2">
      <c r="A187" s="2"/>
      <c r="B187" s="2"/>
      <c r="C187" s="2"/>
      <c r="D187" s="2"/>
      <c r="E187" s="2"/>
      <c r="F187" s="2"/>
      <c r="G187" s="1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2.75" customHeight="1" x14ac:dyDescent="0.2">
      <c r="A188" s="2"/>
      <c r="B188" s="2"/>
      <c r="C188" s="2"/>
      <c r="D188" s="2"/>
      <c r="E188" s="2"/>
      <c r="F188" s="2"/>
      <c r="G188" s="1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2.75" customHeight="1" x14ac:dyDescent="0.2">
      <c r="A189" s="2"/>
      <c r="B189" s="2"/>
      <c r="C189" s="2"/>
      <c r="D189" s="2"/>
      <c r="E189" s="2"/>
      <c r="F189" s="2"/>
      <c r="G189" s="1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2.75" customHeight="1" x14ac:dyDescent="0.2">
      <c r="A190" s="2"/>
      <c r="B190" s="2"/>
      <c r="C190" s="2"/>
      <c r="D190" s="2"/>
      <c r="E190" s="2"/>
      <c r="F190" s="2"/>
      <c r="G190" s="1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2.75" customHeight="1" x14ac:dyDescent="0.2">
      <c r="A191" s="2"/>
      <c r="B191" s="2"/>
      <c r="C191" s="2"/>
      <c r="D191" s="2"/>
      <c r="E191" s="2"/>
      <c r="F191" s="2"/>
      <c r="G191" s="1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2.75" customHeight="1" x14ac:dyDescent="0.2">
      <c r="A192" s="2"/>
      <c r="B192" s="2"/>
      <c r="C192" s="2"/>
      <c r="D192" s="2"/>
      <c r="E192" s="2"/>
      <c r="F192" s="2"/>
      <c r="G192" s="1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2.75" customHeight="1" x14ac:dyDescent="0.2">
      <c r="A193" s="2"/>
      <c r="B193" s="2"/>
      <c r="C193" s="2"/>
      <c r="D193" s="2"/>
      <c r="E193" s="2"/>
      <c r="F193" s="2"/>
      <c r="G193" s="1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2.75" customHeight="1" x14ac:dyDescent="0.2">
      <c r="A194" s="2"/>
      <c r="B194" s="2"/>
      <c r="C194" s="2"/>
      <c r="D194" s="2"/>
      <c r="E194" s="2"/>
      <c r="F194" s="2"/>
      <c r="G194" s="1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2.75" customHeight="1" x14ac:dyDescent="0.2">
      <c r="A195" s="2"/>
      <c r="B195" s="2"/>
      <c r="C195" s="2"/>
      <c r="D195" s="2"/>
      <c r="E195" s="2"/>
      <c r="F195" s="2"/>
      <c r="G195" s="1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2.75" customHeight="1" x14ac:dyDescent="0.2">
      <c r="A196" s="2"/>
      <c r="B196" s="2"/>
      <c r="C196" s="2"/>
      <c r="D196" s="2"/>
      <c r="E196" s="2"/>
      <c r="F196" s="2"/>
      <c r="G196" s="1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2.75" customHeight="1" x14ac:dyDescent="0.2">
      <c r="A197" s="2"/>
      <c r="B197" s="2"/>
      <c r="C197" s="2"/>
      <c r="D197" s="2"/>
      <c r="E197" s="2"/>
      <c r="F197" s="2"/>
      <c r="G197" s="1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2.75" customHeight="1" x14ac:dyDescent="0.2">
      <c r="A198" s="2"/>
      <c r="B198" s="2"/>
      <c r="C198" s="2"/>
      <c r="D198" s="2"/>
      <c r="E198" s="2"/>
      <c r="F198" s="2"/>
      <c r="G198" s="1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2.75" customHeight="1" x14ac:dyDescent="0.2">
      <c r="A199" s="2"/>
      <c r="B199" s="2"/>
      <c r="C199" s="2"/>
      <c r="D199" s="2"/>
      <c r="E199" s="2"/>
      <c r="F199" s="2"/>
      <c r="G199" s="1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2.75" customHeight="1" x14ac:dyDescent="0.2">
      <c r="A200" s="2"/>
      <c r="B200" s="2"/>
      <c r="C200" s="2"/>
      <c r="D200" s="2"/>
      <c r="E200" s="2"/>
      <c r="F200" s="2"/>
      <c r="G200" s="1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2.75" customHeight="1" x14ac:dyDescent="0.2">
      <c r="A201" s="2"/>
      <c r="B201" s="2"/>
      <c r="C201" s="2"/>
      <c r="D201" s="2"/>
      <c r="E201" s="2"/>
      <c r="F201" s="2"/>
      <c r="G201" s="1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2.75" customHeight="1" x14ac:dyDescent="0.2">
      <c r="A202" s="2"/>
      <c r="B202" s="2"/>
      <c r="C202" s="2"/>
      <c r="D202" s="2"/>
      <c r="E202" s="2"/>
      <c r="F202" s="2"/>
      <c r="G202" s="1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2.75" customHeight="1" x14ac:dyDescent="0.2">
      <c r="A203" s="2"/>
      <c r="B203" s="2"/>
      <c r="C203" s="2"/>
      <c r="D203" s="2"/>
      <c r="E203" s="2"/>
      <c r="F203" s="2"/>
      <c r="G203" s="1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2.75" customHeight="1" x14ac:dyDescent="0.2">
      <c r="A204" s="2"/>
      <c r="B204" s="2"/>
      <c r="C204" s="2"/>
      <c r="D204" s="2"/>
      <c r="E204" s="2"/>
      <c r="F204" s="2"/>
      <c r="G204" s="1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2.75" customHeight="1" x14ac:dyDescent="0.2">
      <c r="A205" s="2"/>
      <c r="B205" s="2"/>
      <c r="C205" s="2"/>
      <c r="D205" s="2"/>
      <c r="E205" s="2"/>
      <c r="F205" s="2"/>
      <c r="G205" s="1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2.75" customHeight="1" x14ac:dyDescent="0.2">
      <c r="A206" s="2"/>
      <c r="B206" s="2"/>
      <c r="C206" s="2"/>
      <c r="D206" s="2"/>
      <c r="E206" s="2"/>
      <c r="F206" s="2"/>
      <c r="G206" s="1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2.75" customHeight="1" x14ac:dyDescent="0.2">
      <c r="A207" s="2"/>
      <c r="B207" s="2"/>
      <c r="C207" s="2"/>
      <c r="D207" s="2"/>
      <c r="E207" s="2"/>
      <c r="F207" s="2"/>
      <c r="G207" s="1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2.75" customHeight="1" x14ac:dyDescent="0.2">
      <c r="A208" s="2"/>
      <c r="B208" s="2"/>
      <c r="C208" s="2"/>
      <c r="D208" s="2"/>
      <c r="E208" s="2"/>
      <c r="F208" s="2"/>
      <c r="G208" s="1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2.75" customHeight="1" x14ac:dyDescent="0.2">
      <c r="A209" s="2"/>
      <c r="B209" s="2"/>
      <c r="C209" s="2"/>
      <c r="D209" s="2"/>
      <c r="E209" s="2"/>
      <c r="F209" s="2"/>
      <c r="G209" s="1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2.75" customHeight="1" x14ac:dyDescent="0.2">
      <c r="A210" s="2"/>
      <c r="B210" s="2"/>
      <c r="C210" s="2"/>
      <c r="D210" s="2"/>
      <c r="E210" s="2"/>
      <c r="F210" s="2"/>
      <c r="G210" s="1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2.75" customHeight="1" x14ac:dyDescent="0.2">
      <c r="A211" s="2"/>
      <c r="B211" s="2"/>
      <c r="C211" s="2"/>
      <c r="D211" s="2"/>
      <c r="E211" s="2"/>
      <c r="F211" s="2"/>
      <c r="G211" s="1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2.75" customHeight="1" x14ac:dyDescent="0.2">
      <c r="A212" s="2"/>
      <c r="B212" s="2"/>
      <c r="C212" s="2"/>
      <c r="D212" s="2"/>
      <c r="E212" s="2"/>
      <c r="F212" s="2"/>
      <c r="G212" s="1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2.75" customHeight="1" x14ac:dyDescent="0.2">
      <c r="A213" s="2"/>
      <c r="B213" s="2"/>
      <c r="C213" s="2"/>
      <c r="D213" s="2"/>
      <c r="E213" s="2"/>
      <c r="F213" s="2"/>
      <c r="G213" s="1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2.75" customHeight="1" x14ac:dyDescent="0.2">
      <c r="A214" s="2"/>
      <c r="B214" s="2"/>
      <c r="C214" s="2"/>
      <c r="D214" s="2"/>
      <c r="E214" s="2"/>
      <c r="F214" s="2"/>
      <c r="G214" s="1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2.75" customHeight="1" x14ac:dyDescent="0.2">
      <c r="A215" s="2"/>
      <c r="B215" s="2"/>
      <c r="C215" s="2"/>
      <c r="D215" s="2"/>
      <c r="E215" s="2"/>
      <c r="F215" s="2"/>
      <c r="G215" s="1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2.75" customHeight="1" x14ac:dyDescent="0.2">
      <c r="A216" s="2"/>
      <c r="B216" s="2"/>
      <c r="C216" s="2"/>
      <c r="D216" s="2"/>
      <c r="E216" s="2"/>
      <c r="F216" s="2"/>
      <c r="G216" s="1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2.75" customHeight="1" x14ac:dyDescent="0.2">
      <c r="A217" s="2"/>
      <c r="B217" s="2"/>
      <c r="C217" s="2"/>
      <c r="D217" s="2"/>
      <c r="E217" s="2"/>
      <c r="F217" s="2"/>
      <c r="G217" s="1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2.75" customHeight="1" x14ac:dyDescent="0.2">
      <c r="A218" s="2"/>
      <c r="B218" s="2"/>
      <c r="C218" s="2"/>
      <c r="D218" s="2"/>
      <c r="E218" s="2"/>
      <c r="F218" s="2"/>
      <c r="G218" s="1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2.75" customHeight="1" x14ac:dyDescent="0.2">
      <c r="A219" s="2"/>
      <c r="B219" s="2"/>
      <c r="C219" s="2"/>
      <c r="D219" s="2"/>
      <c r="E219" s="2"/>
      <c r="F219" s="2"/>
      <c r="G219" s="1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2.75" customHeight="1" x14ac:dyDescent="0.2">
      <c r="A220" s="2"/>
      <c r="B220" s="2"/>
      <c r="C220" s="2"/>
      <c r="D220" s="2"/>
      <c r="E220" s="2"/>
      <c r="F220" s="2"/>
      <c r="G220" s="1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2.75" customHeight="1" x14ac:dyDescent="0.2">
      <c r="A221" s="2"/>
      <c r="B221" s="2"/>
      <c r="C221" s="2"/>
      <c r="D221" s="2"/>
      <c r="E221" s="2"/>
      <c r="F221" s="2"/>
      <c r="G221" s="1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2.75" customHeight="1" x14ac:dyDescent="0.2">
      <c r="A222" s="2"/>
      <c r="B222" s="2"/>
      <c r="C222" s="2"/>
      <c r="D222" s="2"/>
      <c r="E222" s="2"/>
      <c r="F222" s="2"/>
      <c r="G222" s="1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2.75" customHeight="1" x14ac:dyDescent="0.2">
      <c r="A223" s="2"/>
      <c r="B223" s="2"/>
      <c r="C223" s="2"/>
      <c r="D223" s="2"/>
      <c r="E223" s="2"/>
      <c r="F223" s="2"/>
      <c r="G223" s="1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2.75" customHeight="1" x14ac:dyDescent="0.2">
      <c r="A224" s="2"/>
      <c r="B224" s="2"/>
      <c r="C224" s="2"/>
      <c r="D224" s="2"/>
      <c r="E224" s="2"/>
      <c r="F224" s="2"/>
      <c r="G224" s="1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2.75" customHeight="1" x14ac:dyDescent="0.2">
      <c r="A225" s="2"/>
      <c r="B225" s="2"/>
      <c r="C225" s="2"/>
      <c r="D225" s="2"/>
      <c r="E225" s="2"/>
      <c r="F225" s="2"/>
      <c r="G225" s="1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2.75" customHeight="1" x14ac:dyDescent="0.2">
      <c r="A226" s="2"/>
      <c r="B226" s="2"/>
      <c r="C226" s="2"/>
      <c r="D226" s="2"/>
      <c r="E226" s="2"/>
      <c r="F226" s="2"/>
      <c r="G226" s="1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2.75" customHeight="1" x14ac:dyDescent="0.2">
      <c r="A227" s="2"/>
      <c r="B227" s="2"/>
      <c r="C227" s="2"/>
      <c r="D227" s="2"/>
      <c r="E227" s="2"/>
      <c r="F227" s="2"/>
      <c r="G227" s="1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2.75" customHeight="1" x14ac:dyDescent="0.2">
      <c r="A228" s="2"/>
      <c r="B228" s="2"/>
      <c r="C228" s="2"/>
      <c r="D228" s="2"/>
      <c r="E228" s="2"/>
      <c r="F228" s="2"/>
      <c r="G228" s="1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2.75" customHeight="1" x14ac:dyDescent="0.2">
      <c r="A229" s="2"/>
      <c r="B229" s="2"/>
      <c r="C229" s="2"/>
      <c r="D229" s="2"/>
      <c r="E229" s="2"/>
      <c r="F229" s="2"/>
      <c r="G229" s="1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2.75" customHeight="1" x14ac:dyDescent="0.2">
      <c r="A230" s="2"/>
      <c r="B230" s="2"/>
      <c r="C230" s="2"/>
      <c r="D230" s="2"/>
      <c r="E230" s="2"/>
      <c r="F230" s="2"/>
      <c r="G230" s="1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E231" s="2"/>
      <c r="F231" s="2"/>
      <c r="G231" s="1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E232" s="2"/>
      <c r="F232" s="2"/>
      <c r="G232" s="1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E233" s="2"/>
      <c r="F233" s="2"/>
      <c r="G233" s="1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E234" s="2"/>
      <c r="F234" s="2"/>
      <c r="G234" s="1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E235" s="2"/>
      <c r="F235" s="2"/>
      <c r="G235" s="1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E236" s="2"/>
      <c r="F236" s="2"/>
      <c r="G236" s="1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E237" s="2"/>
      <c r="F237" s="2"/>
      <c r="G237" s="1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E238" s="2"/>
      <c r="F238" s="2"/>
      <c r="G238" s="1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E239" s="2"/>
      <c r="F239" s="2"/>
      <c r="G239" s="1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E240" s="2"/>
      <c r="F240" s="2"/>
      <c r="G240" s="1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E241" s="2"/>
      <c r="F241" s="2"/>
      <c r="G241" s="1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E242" s="2"/>
      <c r="F242" s="2"/>
      <c r="G242" s="1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E243" s="2"/>
      <c r="F243" s="2"/>
      <c r="G243" s="1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E244" s="2"/>
      <c r="F244" s="2"/>
      <c r="G244" s="1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E245" s="2"/>
      <c r="F245" s="2"/>
      <c r="G245" s="1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E246" s="2"/>
      <c r="F246" s="2"/>
      <c r="G246" s="1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E247" s="2"/>
      <c r="F247" s="2"/>
      <c r="G247" s="1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E248" s="2"/>
      <c r="F248" s="2"/>
      <c r="G248" s="1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E249" s="2"/>
      <c r="F249" s="2"/>
      <c r="G249" s="1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E250" s="2"/>
      <c r="F250" s="2"/>
      <c r="G250" s="1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E251" s="2"/>
      <c r="F251" s="2"/>
      <c r="G251" s="1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E252" s="2"/>
      <c r="F252" s="2"/>
      <c r="G252" s="1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E253" s="2"/>
      <c r="F253" s="2"/>
      <c r="G253" s="1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E254" s="2"/>
      <c r="F254" s="2"/>
      <c r="G254" s="1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E255" s="2"/>
      <c r="F255" s="2"/>
      <c r="G255" s="1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E256" s="2"/>
      <c r="F256" s="2"/>
      <c r="G256" s="1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E257" s="2"/>
      <c r="F257" s="2"/>
      <c r="G257" s="1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E258" s="2"/>
      <c r="F258" s="2"/>
      <c r="G258" s="1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E259" s="2"/>
      <c r="F259" s="2"/>
      <c r="G259" s="1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E260" s="2"/>
      <c r="F260" s="2"/>
      <c r="G260" s="1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E261" s="2"/>
      <c r="F261" s="2"/>
      <c r="G261" s="1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E262" s="2"/>
      <c r="F262" s="2"/>
      <c r="G262" s="1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E263" s="2"/>
      <c r="F263" s="2"/>
      <c r="G263" s="1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E264" s="2"/>
      <c r="F264" s="2"/>
      <c r="G264" s="1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E265" s="2"/>
      <c r="F265" s="2"/>
      <c r="G265" s="1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E266" s="2"/>
      <c r="F266" s="2"/>
      <c r="G266" s="1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E267" s="2"/>
      <c r="F267" s="2"/>
      <c r="G267" s="1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E268" s="2"/>
      <c r="F268" s="2"/>
      <c r="G268" s="1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E269" s="2"/>
      <c r="F269" s="2"/>
      <c r="G269" s="1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E270" s="2"/>
      <c r="F270" s="2"/>
      <c r="G270" s="1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E271" s="2"/>
      <c r="F271" s="2"/>
      <c r="G271" s="1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E272" s="2"/>
      <c r="F272" s="2"/>
      <c r="G272" s="1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E273" s="2"/>
      <c r="F273" s="2"/>
      <c r="G273" s="1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E274" s="2"/>
      <c r="F274" s="2"/>
      <c r="G274" s="1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1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1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1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1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1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1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1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1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1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1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1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1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1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1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1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1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1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1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1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1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1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1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1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1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1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1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1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1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1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1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1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1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1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1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1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1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1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1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1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1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1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1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1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1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1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1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1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1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1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1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1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1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1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1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1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1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1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1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1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1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1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1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1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1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1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1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1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1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1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1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1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1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1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1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1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1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1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1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1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1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1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1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1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1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1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1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1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1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1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1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1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1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1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1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1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1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1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1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1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1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1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1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1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1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1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1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1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1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1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1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1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1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1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1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1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1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1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1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1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1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1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1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1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1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1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1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1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1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1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1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1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1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1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1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1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1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1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1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1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1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1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1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1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1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1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1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1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1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1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1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1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1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1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1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1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1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1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1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1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1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1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1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1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1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1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1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1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1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1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1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1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1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1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1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1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1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1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1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1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1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1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1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1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1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1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1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1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1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1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1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1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1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1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1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1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1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1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1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1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1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1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1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1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1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1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1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1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1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1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1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1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1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1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1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1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1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1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1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1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1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1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1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1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1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1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1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1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1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1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1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1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1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1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1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1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1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1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1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1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1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1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1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1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1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1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1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1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1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1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1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1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1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1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1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1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1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1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1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1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1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1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1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1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1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1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1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1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1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1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1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1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1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1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1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1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1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1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1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1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1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1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1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1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1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1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1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1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1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1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1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1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1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1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1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1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1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1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1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1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1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1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1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1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1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1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1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1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1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1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1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1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1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1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1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1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1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1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1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1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1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1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1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1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1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1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1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1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1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1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1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1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1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1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1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1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1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1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1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1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1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1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1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1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1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1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1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1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1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1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1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1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1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1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1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1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1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1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1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1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1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1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1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1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1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1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1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1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1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1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1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1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1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1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1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1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1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1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1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1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1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1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1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1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1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1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1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1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1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1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1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1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1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1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1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1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1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1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1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1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1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1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1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1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1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1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1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1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1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1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1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1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1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1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1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1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1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1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1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1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1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1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1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1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1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1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1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1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1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1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1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1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1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1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1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1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1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1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1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1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1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1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1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1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1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1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1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1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1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1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1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1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1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1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1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1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1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1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1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1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1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1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1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1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1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1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1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1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1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1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1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1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1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1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1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1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1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1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1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1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1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1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1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1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1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1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1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1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1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1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1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1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1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1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1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1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1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1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1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1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1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1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1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1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1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1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1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1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1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1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1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1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1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1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1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1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1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1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1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1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1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1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1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1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1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1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1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1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1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1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1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1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1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1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1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1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1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1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1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1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1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1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1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1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1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1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1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1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1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1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1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1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1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1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1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1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1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1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1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1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1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1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1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1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1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1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1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1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1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1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1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1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1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1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1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1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11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11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11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11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11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11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11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11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11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11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11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11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11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11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11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11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11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11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11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11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11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11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11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11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11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11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11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11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11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11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11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11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11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11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11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11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11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11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11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11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11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11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11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11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11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11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11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11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11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11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11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11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11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11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11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11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11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11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11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11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11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11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11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11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11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11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11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11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11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11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11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11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11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11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11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11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11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11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11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11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11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11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11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11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11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11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11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11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11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11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11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11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11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11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11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11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11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11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11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11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11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11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11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11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11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11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11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11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11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11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11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11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11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11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11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11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11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11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11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11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11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11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11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11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11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11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11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11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11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11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2"/>
      <c r="F980" s="2"/>
      <c r="G980" s="11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2"/>
      <c r="F981" s="2"/>
      <c r="G981" s="11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2"/>
      <c r="F982" s="2"/>
      <c r="G982" s="11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2"/>
      <c r="F983" s="2"/>
      <c r="G983" s="11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2"/>
      <c r="F984" s="2"/>
      <c r="G984" s="11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2"/>
      <c r="F985" s="2"/>
      <c r="G985" s="11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2"/>
      <c r="F986" s="2"/>
      <c r="G986" s="11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2"/>
      <c r="F987" s="2"/>
      <c r="G987" s="11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2"/>
      <c r="F988" s="2"/>
      <c r="G988" s="11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2"/>
      <c r="F989" s="2"/>
      <c r="G989" s="11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2"/>
      <c r="F990" s="2"/>
      <c r="G990" s="11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2"/>
      <c r="F991" s="2"/>
      <c r="G991" s="11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2"/>
      <c r="F992" s="2"/>
      <c r="G992" s="11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2"/>
      <c r="F993" s="2"/>
      <c r="G993" s="11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2"/>
      <c r="F994" s="2"/>
      <c r="G994" s="11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E995" s="2"/>
      <c r="F995" s="2"/>
      <c r="G995" s="11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E996" s="2"/>
      <c r="F996" s="2"/>
      <c r="G996" s="11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E997" s="2"/>
      <c r="F997" s="2"/>
      <c r="G997" s="11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E998" s="2"/>
      <c r="F998" s="2"/>
      <c r="G998" s="11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E999" s="2"/>
      <c r="F999" s="2"/>
      <c r="G999" s="11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E1000" s="2"/>
      <c r="F1000" s="2"/>
      <c r="G1000" s="11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">
      <c r="A1001" s="2"/>
      <c r="B1001" s="2"/>
      <c r="C1001" s="2"/>
      <c r="D1001" s="2"/>
      <c r="E1001" s="2"/>
      <c r="F1001" s="2"/>
      <c r="G1001" s="11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">
      <c r="A1002" s="2"/>
      <c r="B1002" s="2"/>
      <c r="C1002" s="2"/>
      <c r="D1002" s="2"/>
      <c r="E1002" s="2"/>
      <c r="F1002" s="2"/>
      <c r="G1002" s="11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  <row r="1003" spans="1:26" ht="12.75" customHeight="1" x14ac:dyDescent="0.2">
      <c r="A1003" s="2"/>
      <c r="B1003" s="2"/>
      <c r="C1003" s="2"/>
      <c r="D1003" s="2"/>
      <c r="E1003" s="2"/>
      <c r="F1003" s="2"/>
      <c r="G1003" s="11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</row>
    <row r="1004" spans="1:26" ht="12.75" customHeight="1" x14ac:dyDescent="0.2">
      <c r="A1004" s="2"/>
      <c r="B1004" s="2"/>
      <c r="C1004" s="2"/>
      <c r="D1004" s="2"/>
      <c r="E1004" s="2"/>
      <c r="F1004" s="2"/>
      <c r="G1004" s="11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</row>
    <row r="1005" spans="1:26" ht="12.75" customHeight="1" x14ac:dyDescent="0.2">
      <c r="A1005" s="2"/>
      <c r="B1005" s="2"/>
      <c r="C1005" s="2"/>
      <c r="D1005" s="2"/>
      <c r="E1005" s="2"/>
      <c r="F1005" s="2"/>
      <c r="G1005" s="11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</row>
    <row r="1006" spans="1:26" ht="12.75" customHeight="1" x14ac:dyDescent="0.2">
      <c r="A1006" s="2"/>
      <c r="B1006" s="2"/>
      <c r="C1006" s="2"/>
      <c r="D1006" s="2"/>
      <c r="E1006" s="2"/>
      <c r="F1006" s="2"/>
      <c r="G1006" s="11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</row>
    <row r="1007" spans="1:26" ht="12.75" customHeight="1" x14ac:dyDescent="0.2">
      <c r="A1007" s="2"/>
      <c r="B1007" s="2"/>
      <c r="C1007" s="2"/>
      <c r="D1007" s="2"/>
      <c r="E1007" s="2"/>
      <c r="F1007" s="2"/>
      <c r="G1007" s="11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</row>
    <row r="1008" spans="1:26" ht="12.75" customHeight="1" x14ac:dyDescent="0.2">
      <c r="A1008" s="2"/>
      <c r="B1008" s="2"/>
      <c r="C1008" s="2"/>
      <c r="D1008" s="2"/>
      <c r="E1008" s="2"/>
      <c r="F1008" s="2"/>
      <c r="G1008" s="11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</row>
    <row r="1009" spans="1:26" ht="12.75" customHeight="1" x14ac:dyDescent="0.2">
      <c r="A1009" s="2"/>
      <c r="B1009" s="2"/>
      <c r="C1009" s="2"/>
      <c r="D1009" s="2"/>
      <c r="E1009" s="2"/>
      <c r="F1009" s="2"/>
      <c r="G1009" s="11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</row>
    <row r="1010" spans="1:26" ht="12.75" customHeight="1" x14ac:dyDescent="0.2">
      <c r="A1010" s="2"/>
      <c r="B1010" s="2"/>
      <c r="C1010" s="2"/>
      <c r="D1010" s="2"/>
      <c r="E1010" s="2"/>
      <c r="F1010" s="2"/>
      <c r="G1010" s="11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</row>
    <row r="1011" spans="1:26" ht="12.75" customHeight="1" x14ac:dyDescent="0.2">
      <c r="A1011" s="2"/>
      <c r="B1011" s="2"/>
      <c r="C1011" s="2"/>
      <c r="D1011" s="2"/>
      <c r="E1011" s="2"/>
      <c r="F1011" s="2"/>
      <c r="G1011" s="11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</row>
  </sheetData>
  <sheetProtection algorithmName="SHA-512" hashValue="D7rvGE7xpw6qR4cH7vgPmVNqEP3cYBG59M9sen2xGSWDvzVTbR/pegEYugr+uNDCkkgnFmF1iAk7BgT5JhooQg==" saltValue="/ccUCJ7fqaw8BHOYLV3zIQ==" spinCount="100000" sheet="1" objects="1" scenarios="1"/>
  <mergeCells count="21">
    <mergeCell ref="D61:D62"/>
    <mergeCell ref="A1:G1"/>
    <mergeCell ref="A2:G2"/>
    <mergeCell ref="A3:G3"/>
    <mergeCell ref="A13:C13"/>
    <mergeCell ref="D14:G14"/>
    <mergeCell ref="D44:I44"/>
    <mergeCell ref="D51:G51"/>
    <mergeCell ref="D58:E58"/>
    <mergeCell ref="D39:D40"/>
    <mergeCell ref="H33:O33"/>
    <mergeCell ref="H14:J14"/>
    <mergeCell ref="D28:E28"/>
    <mergeCell ref="A31:C36"/>
    <mergeCell ref="D36:E36"/>
    <mergeCell ref="D24:E24"/>
    <mergeCell ref="D23:E23"/>
    <mergeCell ref="D25:E25"/>
    <mergeCell ref="D26:E26"/>
    <mergeCell ref="D27:E27"/>
    <mergeCell ref="D29:G29"/>
  </mergeCells>
  <hyperlinks>
    <hyperlink ref="H33" r:id="rId1" display=" Conforme anexo VI do DECRETO Nº 15.416, DE 20 DE DEZEMBRO DE 2006" xr:uid="{873DC889-70C6-4473-B316-778A4DA3719C}"/>
  </hyperlinks>
  <printOptions horizontalCentered="1" verticalCentered="1"/>
  <pageMargins left="0" right="0" top="0.19685039370078741" bottom="0.19685039370078741" header="0" footer="0"/>
  <pageSetup paperSize="9" scale="80" orientation="portrait" r:id="rId2"/>
  <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BDC1D-3BEB-4254-8FFD-8BB3DC154100}">
  <sheetPr codeName="Planilha11">
    <tabColor rgb="FFFFFF00"/>
  </sheetPr>
  <dimension ref="K46:K49"/>
  <sheetViews>
    <sheetView showGridLines="0" workbookViewId="0">
      <selection activeCell="K48" sqref="K48"/>
    </sheetView>
  </sheetViews>
  <sheetFormatPr defaultRowHeight="12.75" x14ac:dyDescent="0.2"/>
  <sheetData>
    <row r="46" spans="11:11" x14ac:dyDescent="0.2">
      <c r="K46" s="238" t="s">
        <v>223</v>
      </c>
    </row>
    <row r="47" spans="11:11" x14ac:dyDescent="0.2">
      <c r="K47" s="238" t="s">
        <v>224</v>
      </c>
    </row>
    <row r="48" spans="11:11" x14ac:dyDescent="0.2">
      <c r="K48" s="307" t="s">
        <v>295</v>
      </c>
    </row>
    <row r="49" spans="11:11" x14ac:dyDescent="0.2">
      <c r="K49" s="238" t="s">
        <v>225</v>
      </c>
    </row>
  </sheetData>
  <sheetProtection algorithmName="SHA-512" hashValue="LdIJmxhu5+0eTEFgbB068fNfOtFRWTYAqC1ZuHQocH9BPlcemupqc2I4mYMnNcJvvk6LZqmqSt34j9WgirSwag==" saltValue="j0hRHqBNCFx30R6uaUVlWA==" spinCount="100000" sheet="1" objects="1" scenarios="1"/>
  <pageMargins left="0.511811024" right="0.511811024" top="0.78740157499999996" bottom="0.78740157499999996" header="0.31496062000000002" footer="0.31496062000000002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11</vt:i4>
      </vt:variant>
    </vt:vector>
  </HeadingPairs>
  <TitlesOfParts>
    <vt:vector size="11" baseType="lpstr">
      <vt:lpstr>QUADRO DE PROFISSIONAIS</vt:lpstr>
      <vt:lpstr>GERAL-12D</vt:lpstr>
      <vt:lpstr>GERAL-12N</vt:lpstr>
      <vt:lpstr>LÍDER-12D</vt:lpstr>
      <vt:lpstr>MONITOR-12D</vt:lpstr>
      <vt:lpstr>MONITOR-12N</vt:lpstr>
      <vt:lpstr>MONITOR-11D</vt:lpstr>
      <vt:lpstr>GERAL-11D</vt:lpstr>
      <vt:lpstr>MATERIAIS</vt:lpstr>
      <vt:lpstr>TOTAIS FINAIS</vt:lpstr>
      <vt:lpstr>CCT - RS000303 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A. Mac Genity</dc:creator>
  <cp:lastModifiedBy>Aloisio Freitas</cp:lastModifiedBy>
  <dcterms:created xsi:type="dcterms:W3CDTF">2002-06-10T15:51:10Z</dcterms:created>
  <dcterms:modified xsi:type="dcterms:W3CDTF">2026-07-10T17:08:50Z</dcterms:modified>
</cp:coreProperties>
</file>