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onibus viagens" sheetId="1" r:id="rId1"/>
    <sheet name="onibus urbano" sheetId="2" r:id="rId2"/>
  </sheets>
  <calcPr calcId="152511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2"/>
  <c r="C13"/>
  <c r="C15" s="1"/>
  <c r="H52"/>
  <c r="H54" s="1"/>
  <c r="F39"/>
  <c r="C39"/>
  <c r="D39" s="1"/>
  <c r="F38"/>
  <c r="D38"/>
  <c r="E36"/>
  <c r="F37" s="1"/>
  <c r="F40" s="1"/>
  <c r="C36"/>
  <c r="D37" s="1"/>
  <c r="C35"/>
  <c r="B17"/>
  <c r="B16"/>
  <c r="D16" s="1"/>
  <c r="B14"/>
  <c r="D12"/>
  <c r="C9"/>
  <c r="B21" s="1"/>
  <c r="B6"/>
  <c r="B7" s="1"/>
  <c r="C8" s="1"/>
  <c r="B20" s="1"/>
  <c r="D40" l="1"/>
  <c r="F42"/>
  <c r="F41"/>
  <c r="C18"/>
  <c r="D18" s="1"/>
  <c r="C17"/>
  <c r="D17" s="1"/>
  <c r="C19"/>
  <c r="C20" s="1"/>
  <c r="C21" s="1"/>
  <c r="D21" s="1"/>
  <c r="D15"/>
  <c r="D13"/>
  <c r="C14"/>
  <c r="D14" s="1"/>
  <c r="D3" i="1"/>
  <c r="C35"/>
  <c r="D20" i="2" l="1"/>
  <c r="D42"/>
  <c r="D43" s="1"/>
  <c r="D41"/>
  <c r="F43"/>
  <c r="C39" i="1"/>
  <c r="B17"/>
  <c r="B16"/>
  <c r="B14"/>
  <c r="I43" i="2" l="1"/>
  <c r="F39" i="1"/>
  <c r="F38"/>
  <c r="E36"/>
  <c r="F37" s="1"/>
  <c r="I51" i="2" l="1"/>
  <c r="I50"/>
  <c r="I49"/>
  <c r="I48"/>
  <c r="I47"/>
  <c r="I53"/>
  <c r="I46"/>
  <c r="I54" s="1"/>
  <c r="I56" s="1"/>
  <c r="I57" s="1"/>
  <c r="B19" s="1"/>
  <c r="D19" s="1"/>
  <c r="D22" s="1"/>
  <c r="I52"/>
  <c r="F40" i="1"/>
  <c r="F42" s="1"/>
  <c r="F41"/>
  <c r="D39"/>
  <c r="D38"/>
  <c r="C36"/>
  <c r="D37" s="1"/>
  <c r="H54"/>
  <c r="H52"/>
  <c r="D25" i="2" l="1"/>
  <c r="D24"/>
  <c r="D40" i="1"/>
  <c r="D42" s="1"/>
  <c r="F43"/>
  <c r="D26" i="2" l="1"/>
  <c r="D27" s="1"/>
  <c r="D29" s="1"/>
  <c r="D41" i="1"/>
  <c r="I43"/>
  <c r="I46" s="1"/>
  <c r="D43"/>
  <c r="D16"/>
  <c r="I49" l="1"/>
  <c r="I48"/>
  <c r="I53"/>
  <c r="I50"/>
  <c r="I51"/>
  <c r="I47"/>
  <c r="I52"/>
  <c r="D12"/>
  <c r="C9" l="1"/>
  <c r="B21" s="1"/>
  <c r="B6"/>
  <c r="B7" s="1"/>
  <c r="C8" s="1"/>
  <c r="B20" s="1"/>
  <c r="C13"/>
  <c r="C15" s="1"/>
  <c r="C17" s="1"/>
  <c r="D17" s="1"/>
  <c r="C19" l="1"/>
  <c r="C18"/>
  <c r="D18" s="1"/>
  <c r="C14"/>
  <c r="C20" l="1"/>
  <c r="D15"/>
  <c r="D14"/>
  <c r="D13"/>
  <c r="C21" l="1"/>
  <c r="D21" s="1"/>
  <c r="D20"/>
  <c r="I54" l="1"/>
  <c r="I56" l="1"/>
  <c r="I57" s="1"/>
  <c r="B19" s="1"/>
  <c r="D19" s="1"/>
  <c r="D22" s="1"/>
  <c r="D24" l="1"/>
  <c r="D25"/>
  <c r="D26" l="1"/>
  <c r="D27" s="1"/>
  <c r="D29" s="1"/>
</calcChain>
</file>

<file path=xl/sharedStrings.xml><?xml version="1.0" encoding="utf-8"?>
<sst xmlns="http://schemas.openxmlformats.org/spreadsheetml/2006/main" count="168" uniqueCount="86">
  <si>
    <t>Item de custo</t>
  </si>
  <si>
    <t>custo/km</t>
  </si>
  <si>
    <t>Diesel</t>
  </si>
  <si>
    <t>Manutenção geral</t>
  </si>
  <si>
    <t>Salário motorista+encargos</t>
  </si>
  <si>
    <t>R$</t>
  </si>
  <si>
    <t>lubrificação mensal</t>
  </si>
  <si>
    <t>Planilha de custos</t>
  </si>
  <si>
    <t>valor R$</t>
  </si>
  <si>
    <t>Custo aquisição máquina</t>
  </si>
  <si>
    <t>Valor residual 30%</t>
  </si>
  <si>
    <t>Base cálculo para depreciação</t>
  </si>
  <si>
    <t>Vida útil e valor depreciação mês</t>
  </si>
  <si>
    <t>Depreciação</t>
  </si>
  <si>
    <t>Custo de oportunidade ano/mês</t>
  </si>
  <si>
    <t>Custo de oportunidade mês</t>
  </si>
  <si>
    <t>Sub-total</t>
  </si>
  <si>
    <t>Tributos incidentes sobre a nota</t>
  </si>
  <si>
    <t xml:space="preserve">Lucro </t>
  </si>
  <si>
    <t>Cofins 3%; Pis 0,65%; ISSQN 3%</t>
  </si>
  <si>
    <t>IPVA/DPVAT anual</t>
  </si>
  <si>
    <t>produtividade/km</t>
  </si>
  <si>
    <t>kms rodados por mês</t>
  </si>
  <si>
    <t>Custo direto por km</t>
  </si>
  <si>
    <t>Total final do preço por km</t>
  </si>
  <si>
    <t>Seguro passageiros-mensal</t>
  </si>
  <si>
    <t>4.1</t>
  </si>
  <si>
    <t>Encargos Previdenciários e FGTS</t>
  </si>
  <si>
    <t>Percentual (%)</t>
  </si>
  <si>
    <t>Valor (R$)</t>
  </si>
  <si>
    <t>A</t>
  </si>
  <si>
    <t>INSS</t>
  </si>
  <si>
    <t>B</t>
  </si>
  <si>
    <t>SESI ou SESC</t>
  </si>
  <si>
    <t>C</t>
  </si>
  <si>
    <t>SENAI ou SENAC</t>
  </si>
  <si>
    <t>D</t>
  </si>
  <si>
    <t>INCRA</t>
  </si>
  <si>
    <t>E</t>
  </si>
  <si>
    <t>Salário educação</t>
  </si>
  <si>
    <t>F</t>
  </si>
  <si>
    <t>FGTS</t>
  </si>
  <si>
    <t>G</t>
  </si>
  <si>
    <r>
      <t xml:space="preserve">Seguro Acidente de Trabalho =                          SAT = (RAT x FAP)
</t>
    </r>
    <r>
      <rPr>
        <sz val="10"/>
        <color indexed="10"/>
        <rFont val="Arial"/>
        <family val="2"/>
      </rPr>
      <t>SAT =</t>
    </r>
    <r>
      <rPr>
        <b/>
        <sz val="10"/>
        <color indexed="10"/>
        <rFont val="Arial"/>
        <family val="2"/>
      </rPr>
      <t xml:space="preserve"> </t>
    </r>
    <r>
      <rPr>
        <b/>
        <sz val="8"/>
        <color indexed="10"/>
        <rFont val="Arial"/>
        <family val="2"/>
      </rPr>
      <t>( %Riscos Ambientais do Trabalho x Fator Acidentário de Prevenção de cada empresa )</t>
    </r>
  </si>
  <si>
    <t>RAT =</t>
  </si>
  <si>
    <t xml:space="preserve"> FAP =</t>
  </si>
  <si>
    <t>H</t>
  </si>
  <si>
    <t>SEBRAE</t>
  </si>
  <si>
    <t>TOTAL</t>
  </si>
  <si>
    <t>Salário base</t>
  </si>
  <si>
    <t>Insalubridade</t>
  </si>
  <si>
    <t>Vale transporte</t>
  </si>
  <si>
    <t>Custo total remuneração</t>
  </si>
  <si>
    <t>Provisão 13º salário</t>
  </si>
  <si>
    <t>Provisão férias</t>
  </si>
  <si>
    <t>Custo total mensal com provisões</t>
  </si>
  <si>
    <t>Custo base para encargos</t>
  </si>
  <si>
    <t>Custo base funcionário</t>
  </si>
  <si>
    <t>índice de incidência ref. Utilização funcionário no contrato do município</t>
  </si>
  <si>
    <t>Detalhamento da Composição dos salários</t>
  </si>
  <si>
    <t>Custo total salárial</t>
  </si>
  <si>
    <t>DECLARAÇÕES QUE A EMPRESA LICITANTE DEVE FAZER:</t>
  </si>
  <si>
    <t>A empresa é otante pelo seguinte regime de tributação e recolhe, atualmente, as seguintes alíquotas de tributos:</t>
  </si>
  <si>
    <t>(     ) a) Lucro presumido, recolhendo: Cofins (       %); Pis (       %); IRPJ (        %); CSLL (       %). Após contratar com a prefeitura manterá estas alíquotas; (caso ocorrer alteração nas alíquotas, as mesmas serão as seguintes .......</t>
  </si>
  <si>
    <t>(     ) b) Lucro real, recolhendo: Cofins (       %); Pis (       %); IRPJ (        %); CSLL (       %). Após contratar com a prefeitura manterá estas alíquotas; (caso ocorrer alteração nas alíquotas, as mesmas serão as seguintes .......</t>
  </si>
  <si>
    <t>(     ) c) Simples nacional, recolhendo a alíquota atual de (       %), estando enquandrado no anexo (        );  Com este contrato a empresa passará a recolher aliquota (        %) e passará para o anexo (        ), não se desenquadrará do simples nacional. (OU) Após assinatura do contrato a empresa se descredenciará do simples e passará para a tributação do ..................</t>
  </si>
  <si>
    <t>Observação:</t>
  </si>
  <si>
    <t>Cada empresa é responsável por incluir em sua planilha de custos, os enquadramentos tributários, trabalhistas e previdenciários, de acordo com a realidade tributária e funcional de seu quadro de funcionários. Desta forma, a planilha de custos disponibilizada pela prefeitura representa, apenas, um MODELO REFERENCIAL, e que impõe um limite máximo de valores para a proposta apresentada.</t>
  </si>
  <si>
    <t>Destaca-se, que cada empresa possui a sua realidade tributária e funcional, o município não tem como prever todas as possibilidades de enquadramento funcionais, que são baseadas em acordos sindicais e na legislação trabalhista como um todo.</t>
  </si>
  <si>
    <t>Além disso, para cada cargo ou ambiente de trabalho funcional, alteram-se as condições e enquadramentos, como por exemplo: de insalubridade e EPI (depende do laudo de condições ambientais de trabalho para cada cargo e para cada local de trabalho); Situação de enquadramento tributária e previdenciária (se a empresa é optante pelo simples nacional, lucro presumido ou lucro real);</t>
  </si>
  <si>
    <t>Por fim, as condições e regras de trabalho também são disciplinadas pelos acordos coletivos de trabalho, os quais, a empresa deve observar.</t>
  </si>
  <si>
    <t>Portanto, baseado nestes aspectos, cabe a empresa identificar quais os enquadramentos trabalhistas e tributários corretos para a situação licitada. Ao final do pleito licitatório, ou mesmo, no decorrer da execução contratual, se o município verificar, por meio de recursos à licitação ou denúncias recebidas durante a execução contratual, que no momento da elaboração da proposta e da planilha de custos final, a empresa apresentou um item de custos (na planilha de custos final) diferente do que é exigido na convenção coletiva sindical ou em qualquer legislação trabalhista, visando reduzir o valor de sua proposta financeira, o município poderá considerar tal fato, como uso de má fé por parte da empresa.</t>
  </si>
  <si>
    <t>Assim, com esta prova de má fé por parte do licitante, o município poderá desabilitar a empresa durante o processo licitatório, ou mesmo, rescindir o contrato em vigor, pelo bem do serviço público.</t>
  </si>
  <si>
    <t>Como no Brasil existem muitos sindicatos, cabe a empresa apontar em qual dissídio e sindicato, seus colaboradores serão enquadrados, observando-se as regras dos mesmos.</t>
  </si>
  <si>
    <t>20 dias mês</t>
  </si>
  <si>
    <t>motorista</t>
  </si>
  <si>
    <t>Refeições nas viagens-por dia</t>
  </si>
  <si>
    <t>Pedágios</t>
  </si>
  <si>
    <t>Pneus 8</t>
  </si>
  <si>
    <t>Custos indiretos (água mineral e outros)</t>
  </si>
  <si>
    <t>Onibus 40 lugares transporte passageiros</t>
  </si>
  <si>
    <t>300 kms/dia</t>
  </si>
  <si>
    <t>Valor estimado para dissídio 2024</t>
  </si>
  <si>
    <t>onibus para viagens</t>
  </si>
  <si>
    <t>onibus urbano transporte</t>
  </si>
  <si>
    <t>165 kms/dia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</si>
</sst>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_(* #,##0.00_);_(* \(#,##0.00\);_(* &quot;-&quot;??_);_(@_)"/>
    <numFmt numFmtId="165" formatCode="0.0000"/>
    <numFmt numFmtId="166" formatCode="0.0000%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</font>
    <font>
      <sz val="10"/>
      <color rgb="FF000000"/>
      <name val="Times New Roman"/>
      <family val="1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59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1" xfId="0" applyBorder="1"/>
    <xf numFmtId="43" fontId="0" fillId="0" borderId="1" xfId="1" applyFont="1" applyBorder="1"/>
    <xf numFmtId="0" fontId="3" fillId="0" borderId="1" xfId="0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/>
    </xf>
    <xf numFmtId="43" fontId="3" fillId="0" borderId="0" xfId="1" applyFont="1" applyAlignment="1">
      <alignment horizontal="center"/>
    </xf>
    <xf numFmtId="43" fontId="3" fillId="0" borderId="0" xfId="0" applyNumberFormat="1" applyFont="1" applyAlignment="1">
      <alignment horizontal="center"/>
    </xf>
    <xf numFmtId="43" fontId="0" fillId="0" borderId="1" xfId="0" applyNumberFormat="1" applyBorder="1"/>
    <xf numFmtId="0" fontId="2" fillId="0" borderId="0" xfId="0" applyFont="1"/>
    <xf numFmtId="9" fontId="0" fillId="0" borderId="1" xfId="0" applyNumberFormat="1" applyBorder="1"/>
    <xf numFmtId="0" fontId="2" fillId="0" borderId="1" xfId="0" applyFont="1" applyBorder="1"/>
    <xf numFmtId="43" fontId="2" fillId="0" borderId="1" xfId="0" applyNumberFormat="1" applyFont="1" applyBorder="1"/>
    <xf numFmtId="10" fontId="0" fillId="0" borderId="1" xfId="0" applyNumberFormat="1" applyBorder="1"/>
    <xf numFmtId="10" fontId="3" fillId="0" borderId="0" xfId="0" applyNumberFormat="1" applyFont="1" applyAlignment="1">
      <alignment horizontal="center"/>
    </xf>
    <xf numFmtId="0" fontId="0" fillId="0" borderId="1" xfId="0" applyFill="1" applyBorder="1"/>
    <xf numFmtId="43" fontId="0" fillId="0" borderId="0" xfId="0" applyNumberFormat="1"/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0" fontId="3" fillId="3" borderId="1" xfId="0" applyNumberFormat="1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right" vertical="center"/>
    </xf>
    <xf numFmtId="10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right" vertical="center" wrapText="1"/>
    </xf>
    <xf numFmtId="9" fontId="3" fillId="3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right" vertical="center"/>
    </xf>
    <xf numFmtId="166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right" vertical="center"/>
    </xf>
    <xf numFmtId="43" fontId="2" fillId="0" borderId="0" xfId="0" applyNumberFormat="1" applyFont="1"/>
    <xf numFmtId="43" fontId="2" fillId="0" borderId="1" xfId="1" applyFont="1" applyBorder="1"/>
    <xf numFmtId="0" fontId="2" fillId="0" borderId="1" xfId="0" applyFont="1" applyBorder="1" applyAlignment="1">
      <alignment horizontal="right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9" fillId="4" borderId="0" xfId="2" applyFont="1" applyFill="1"/>
    <xf numFmtId="0" fontId="8" fillId="4" borderId="0" xfId="2" applyFill="1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NumberFormat="1" applyFont="1" applyFill="1" applyBorder="1" applyAlignment="1">
      <alignment horizontal="left" vertical="top"/>
    </xf>
    <xf numFmtId="0" fontId="11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  <xf numFmtId="0" fontId="8" fillId="4" borderId="0" xfId="2" applyFill="1" applyAlignment="1">
      <alignment horizontal="left" wrapText="1"/>
    </xf>
    <xf numFmtId="0" fontId="3" fillId="2" borderId="2" xfId="0" applyFont="1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3">
    <cellStyle name="Excel Built-in Normal" xfId="2"/>
    <cellStyle name="Normal" xfId="0" builtinId="0"/>
    <cellStyle name="Separador de milhares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6"/>
  <sheetViews>
    <sheetView tabSelected="1" workbookViewId="0">
      <selection activeCell="A3" sqref="A3"/>
    </sheetView>
  </sheetViews>
  <sheetFormatPr defaultRowHeight="15"/>
  <cols>
    <col min="1" max="1" width="37" customWidth="1"/>
    <col min="2" max="2" width="11.28515625" bestFit="1" customWidth="1"/>
    <col min="3" max="3" width="17" bestFit="1" customWidth="1"/>
    <col min="4" max="4" width="10.5703125" bestFit="1" customWidth="1"/>
    <col min="5" max="5" width="10.7109375" customWidth="1"/>
    <col min="6" max="6" width="10.42578125" customWidth="1"/>
    <col min="8" max="8" width="9.7109375" customWidth="1"/>
    <col min="9" max="9" width="9.5703125" bestFit="1" customWidth="1"/>
  </cols>
  <sheetData>
    <row r="1" spans="1:6">
      <c r="A1" s="55" t="s">
        <v>7</v>
      </c>
      <c r="B1" s="55"/>
      <c r="C1" s="55"/>
      <c r="D1" s="55"/>
      <c r="E1" s="55"/>
      <c r="F1" s="55"/>
    </row>
    <row r="2" spans="1:6">
      <c r="A2" s="6" t="s">
        <v>83</v>
      </c>
      <c r="B2" s="6"/>
      <c r="C2" s="6"/>
      <c r="D2" s="6"/>
      <c r="E2" s="6"/>
      <c r="F2" s="6"/>
    </row>
    <row r="3" spans="1:6">
      <c r="A3" s="10" t="s">
        <v>80</v>
      </c>
      <c r="B3" t="s">
        <v>22</v>
      </c>
      <c r="D3">
        <f>300*20</f>
        <v>6000</v>
      </c>
    </row>
    <row r="4" spans="1:6">
      <c r="D4" t="s">
        <v>74</v>
      </c>
    </row>
    <row r="5" spans="1:6">
      <c r="A5" s="6" t="s">
        <v>9</v>
      </c>
      <c r="B5" s="7">
        <v>500000</v>
      </c>
      <c r="C5" s="6"/>
      <c r="D5" s="6" t="s">
        <v>81</v>
      </c>
      <c r="E5" s="6"/>
      <c r="F5" s="6"/>
    </row>
    <row r="6" spans="1:6">
      <c r="A6" s="6" t="s">
        <v>10</v>
      </c>
      <c r="B6" s="7">
        <f>B5*30%</f>
        <v>150000</v>
      </c>
      <c r="C6" s="6"/>
      <c r="D6" s="6"/>
      <c r="E6" s="6"/>
      <c r="F6" s="6"/>
    </row>
    <row r="7" spans="1:6">
      <c r="A7" s="6" t="s">
        <v>11</v>
      </c>
      <c r="B7" s="7">
        <f>B5-B6</f>
        <v>350000</v>
      </c>
      <c r="C7" s="6"/>
      <c r="D7" s="6"/>
      <c r="E7" s="6"/>
      <c r="F7" s="6"/>
    </row>
    <row r="8" spans="1:6">
      <c r="A8" s="6" t="s">
        <v>12</v>
      </c>
      <c r="B8" s="7">
        <v>60</v>
      </c>
      <c r="C8" s="7">
        <f>B7/B8</f>
        <v>5833.333333333333</v>
      </c>
      <c r="D8" s="6"/>
      <c r="E8" s="6"/>
      <c r="F8" s="6"/>
    </row>
    <row r="9" spans="1:6">
      <c r="A9" s="6" t="s">
        <v>14</v>
      </c>
      <c r="B9" s="15">
        <v>0.1075</v>
      </c>
      <c r="C9" s="8">
        <f>B5*B9/12</f>
        <v>4479.166666666667</v>
      </c>
      <c r="D9" s="6"/>
      <c r="E9" s="6"/>
      <c r="F9" s="6"/>
    </row>
    <row r="11" spans="1:6">
      <c r="A11" s="1" t="s">
        <v>0</v>
      </c>
      <c r="B11" s="1" t="s">
        <v>8</v>
      </c>
      <c r="C11" s="1" t="s">
        <v>21</v>
      </c>
      <c r="D11" s="1" t="s">
        <v>1</v>
      </c>
    </row>
    <row r="12" spans="1:6">
      <c r="A12" s="2" t="s">
        <v>2</v>
      </c>
      <c r="B12" s="2">
        <v>5.7</v>
      </c>
      <c r="C12" s="2">
        <v>3.5</v>
      </c>
      <c r="D12" s="3">
        <f t="shared" ref="D12:D19" si="0">B12/C12</f>
        <v>1.6285714285714286</v>
      </c>
    </row>
    <row r="13" spans="1:6">
      <c r="A13" s="2" t="s">
        <v>6</v>
      </c>
      <c r="B13" s="3">
        <v>400</v>
      </c>
      <c r="C13" s="2">
        <f>D3</f>
        <v>6000</v>
      </c>
      <c r="D13" s="3">
        <f t="shared" si="0"/>
        <v>6.6666666666666666E-2</v>
      </c>
    </row>
    <row r="14" spans="1:6">
      <c r="A14" s="2" t="s">
        <v>20</v>
      </c>
      <c r="B14" s="3">
        <f>B5*1%</f>
        <v>5000</v>
      </c>
      <c r="C14" s="2">
        <f>C13*12</f>
        <v>72000</v>
      </c>
      <c r="D14" s="3">
        <f t="shared" si="0"/>
        <v>6.9444444444444448E-2</v>
      </c>
    </row>
    <row r="15" spans="1:6">
      <c r="A15" s="2" t="s">
        <v>3</v>
      </c>
      <c r="B15" s="3">
        <v>800</v>
      </c>
      <c r="C15" s="2">
        <f>C13</f>
        <v>6000</v>
      </c>
      <c r="D15" s="3">
        <f t="shared" si="0"/>
        <v>0.13333333333333333</v>
      </c>
    </row>
    <row r="16" spans="1:6">
      <c r="A16" s="2" t="s">
        <v>78</v>
      </c>
      <c r="B16" s="3">
        <f>8*2000</f>
        <v>16000</v>
      </c>
      <c r="C16" s="2">
        <v>80000</v>
      </c>
      <c r="D16" s="3">
        <f t="shared" si="0"/>
        <v>0.2</v>
      </c>
    </row>
    <row r="17" spans="1:4">
      <c r="A17" s="2" t="s">
        <v>77</v>
      </c>
      <c r="B17" s="3">
        <f>5.2*4*20</f>
        <v>416</v>
      </c>
      <c r="C17" s="2">
        <f>C15</f>
        <v>6000</v>
      </c>
      <c r="D17" s="3">
        <f t="shared" si="0"/>
        <v>6.933333333333333E-2</v>
      </c>
    </row>
    <row r="18" spans="1:4">
      <c r="A18" s="2" t="s">
        <v>25</v>
      </c>
      <c r="B18" s="3">
        <v>300</v>
      </c>
      <c r="C18" s="2">
        <f>C15</f>
        <v>6000</v>
      </c>
      <c r="D18" s="3">
        <f t="shared" si="0"/>
        <v>0.05</v>
      </c>
    </row>
    <row r="19" spans="1:4">
      <c r="A19" s="2" t="s">
        <v>4</v>
      </c>
      <c r="B19" s="3">
        <f>I57</f>
        <v>5853.6911111111112</v>
      </c>
      <c r="C19" s="2">
        <f>C15</f>
        <v>6000</v>
      </c>
      <c r="D19" s="3">
        <f t="shared" si="0"/>
        <v>0.9756151851851852</v>
      </c>
    </row>
    <row r="20" spans="1:4">
      <c r="A20" s="2" t="s">
        <v>13</v>
      </c>
      <c r="B20" s="3">
        <f>C8</f>
        <v>5833.333333333333</v>
      </c>
      <c r="C20" s="2">
        <f>C19</f>
        <v>6000</v>
      </c>
      <c r="D20" s="3">
        <f t="shared" ref="D20:D21" si="1">B20/C20</f>
        <v>0.97222222222222221</v>
      </c>
    </row>
    <row r="21" spans="1:4">
      <c r="A21" s="2" t="s">
        <v>15</v>
      </c>
      <c r="B21" s="9">
        <f>C9</f>
        <v>4479.166666666667</v>
      </c>
      <c r="C21" s="2">
        <f>C20</f>
        <v>6000</v>
      </c>
      <c r="D21" s="3">
        <f t="shared" si="1"/>
        <v>0.74652777777777779</v>
      </c>
    </row>
    <row r="22" spans="1:4">
      <c r="A22" s="4" t="s">
        <v>23</v>
      </c>
      <c r="B22" s="4"/>
      <c r="C22" s="4" t="s">
        <v>5</v>
      </c>
      <c r="D22" s="5">
        <f>SUM(D12:D21)</f>
        <v>4.9117143915343915</v>
      </c>
    </row>
    <row r="24" spans="1:4">
      <c r="A24" s="2" t="s">
        <v>79</v>
      </c>
      <c r="B24" s="2"/>
      <c r="C24" s="11">
        <v>0.08</v>
      </c>
      <c r="D24" s="9">
        <f>D22*C24</f>
        <v>0.39293715132275131</v>
      </c>
    </row>
    <row r="25" spans="1:4">
      <c r="A25" s="2" t="s">
        <v>18</v>
      </c>
      <c r="B25" s="2"/>
      <c r="C25" s="11">
        <v>0.08</v>
      </c>
      <c r="D25" s="9">
        <f>D22*C25</f>
        <v>0.39293715132275131</v>
      </c>
    </row>
    <row r="26" spans="1:4">
      <c r="A26" s="12" t="s">
        <v>16</v>
      </c>
      <c r="B26" s="12"/>
      <c r="C26" s="12"/>
      <c r="D26" s="13">
        <f>D25+D24+D22</f>
        <v>5.6975886941798937</v>
      </c>
    </row>
    <row r="27" spans="1:4">
      <c r="A27" s="2" t="s">
        <v>17</v>
      </c>
      <c r="B27" s="2"/>
      <c r="C27" s="14">
        <v>6.6500000000000004E-2</v>
      </c>
      <c r="D27" s="9">
        <f>D26*C27</f>
        <v>0.37888964816296294</v>
      </c>
    </row>
    <row r="28" spans="1:4">
      <c r="A28" s="2" t="s">
        <v>19</v>
      </c>
      <c r="B28" s="2"/>
      <c r="C28" s="11"/>
      <c r="D28" s="9"/>
    </row>
    <row r="29" spans="1:4">
      <c r="A29" s="12" t="s">
        <v>24</v>
      </c>
      <c r="B29" s="12"/>
      <c r="C29" s="12"/>
      <c r="D29" s="13">
        <f>D26+D27</f>
        <v>6.076478342342857</v>
      </c>
    </row>
    <row r="30" spans="1:4">
      <c r="A30" s="16"/>
      <c r="B30" s="2"/>
      <c r="C30" s="2"/>
      <c r="D30" s="9"/>
    </row>
    <row r="31" spans="1:4">
      <c r="A31" s="16"/>
      <c r="B31" s="2"/>
      <c r="C31" s="2"/>
      <c r="D31" s="9"/>
    </row>
    <row r="34" spans="1:9">
      <c r="A34" s="10" t="s">
        <v>59</v>
      </c>
      <c r="C34" t="s">
        <v>75</v>
      </c>
      <c r="D34" s="17" t="s">
        <v>82</v>
      </c>
      <c r="F34" s="17"/>
    </row>
    <row r="35" spans="1:9">
      <c r="A35" s="2" t="s">
        <v>49</v>
      </c>
      <c r="B35" s="2"/>
      <c r="C35" s="3">
        <f>2500</f>
        <v>2500</v>
      </c>
      <c r="D35" s="9"/>
      <c r="E35" s="3"/>
      <c r="F35" s="9"/>
    </row>
    <row r="36" spans="1:9">
      <c r="A36" s="2" t="s">
        <v>50</v>
      </c>
      <c r="B36" s="11">
        <v>0.2</v>
      </c>
      <c r="C36" s="9">
        <f>C35*B36</f>
        <v>500</v>
      </c>
      <c r="E36" s="9">
        <f>E35*B36</f>
        <v>0</v>
      </c>
    </row>
    <row r="37" spans="1:9">
      <c r="A37" s="32" t="s">
        <v>57</v>
      </c>
      <c r="B37" s="11"/>
      <c r="C37" s="9"/>
      <c r="D37" s="13">
        <f>C36+C35</f>
        <v>3000</v>
      </c>
      <c r="E37" s="9"/>
      <c r="F37" s="13">
        <f>E36+E35</f>
        <v>0</v>
      </c>
    </row>
    <row r="38" spans="1:9">
      <c r="A38" s="2" t="s">
        <v>51</v>
      </c>
      <c r="B38" s="2">
        <v>20</v>
      </c>
      <c r="C38" s="3">
        <v>8</v>
      </c>
      <c r="D38" s="3">
        <f>C38*B38</f>
        <v>160</v>
      </c>
      <c r="E38" s="3"/>
      <c r="F38" s="3">
        <f>E38*B38</f>
        <v>0</v>
      </c>
    </row>
    <row r="39" spans="1:9">
      <c r="A39" s="2" t="s">
        <v>76</v>
      </c>
      <c r="B39" s="2">
        <v>20</v>
      </c>
      <c r="C39" s="3">
        <f>45*1.07</f>
        <v>48.150000000000006</v>
      </c>
      <c r="D39" s="3">
        <f>B39*C39</f>
        <v>963.00000000000011</v>
      </c>
      <c r="E39" s="3"/>
      <c r="F39" s="3">
        <f>E39*B39</f>
        <v>0</v>
      </c>
    </row>
    <row r="40" spans="1:9">
      <c r="A40" s="12" t="s">
        <v>52</v>
      </c>
      <c r="B40" s="12"/>
      <c r="C40" s="12"/>
      <c r="D40" s="13">
        <f>SUM(D37:D39)</f>
        <v>4123</v>
      </c>
      <c r="E40" s="12"/>
      <c r="F40" s="13">
        <f>SUM(F37:F39)</f>
        <v>0</v>
      </c>
    </row>
    <row r="41" spans="1:9">
      <c r="A41" s="2" t="s">
        <v>53</v>
      </c>
      <c r="B41" s="2"/>
      <c r="C41" s="2"/>
      <c r="D41" s="9">
        <f>D40/12</f>
        <v>343.58333333333331</v>
      </c>
      <c r="E41" s="2"/>
      <c r="F41" s="9">
        <f>F40/12</f>
        <v>0</v>
      </c>
    </row>
    <row r="42" spans="1:9">
      <c r="A42" s="2" t="s">
        <v>54</v>
      </c>
      <c r="B42" s="2"/>
      <c r="C42" s="2"/>
      <c r="D42" s="3">
        <f>(D40/3)/12</f>
        <v>114.52777777777777</v>
      </c>
      <c r="E42" s="2"/>
      <c r="F42" s="3">
        <f>(F40/3)/12</f>
        <v>0</v>
      </c>
    </row>
    <row r="43" spans="1:9">
      <c r="A43" s="12" t="s">
        <v>55</v>
      </c>
      <c r="B43" s="12"/>
      <c r="C43" s="12"/>
      <c r="D43" s="31">
        <f>D42+D41+D40</f>
        <v>4581.1111111111113</v>
      </c>
      <c r="E43" s="12"/>
      <c r="F43" s="31">
        <f>F42+F41+F40</f>
        <v>0</v>
      </c>
      <c r="G43" s="40" t="s">
        <v>56</v>
      </c>
      <c r="I43" s="30">
        <f>D37+D41+D42+F37+F41+F42</f>
        <v>3458.1111111111113</v>
      </c>
    </row>
    <row r="45" spans="1:9" ht="30">
      <c r="A45" s="18" t="s">
        <v>26</v>
      </c>
      <c r="B45" s="56" t="s">
        <v>27</v>
      </c>
      <c r="C45" s="57"/>
      <c r="D45" s="57"/>
      <c r="E45" s="57"/>
      <c r="F45" s="57"/>
      <c r="G45" s="58"/>
      <c r="H45" s="19" t="s">
        <v>28</v>
      </c>
      <c r="I45" s="19" t="s">
        <v>29</v>
      </c>
    </row>
    <row r="46" spans="1:9">
      <c r="A46" s="20" t="s">
        <v>30</v>
      </c>
      <c r="B46" s="47" t="s">
        <v>31</v>
      </c>
      <c r="C46" s="48"/>
      <c r="D46" s="48"/>
      <c r="E46" s="48"/>
      <c r="F46" s="48"/>
      <c r="G46" s="49"/>
      <c r="H46" s="21">
        <v>0.2</v>
      </c>
      <c r="I46" s="22">
        <f>$I$43*H46</f>
        <v>691.62222222222226</v>
      </c>
    </row>
    <row r="47" spans="1:9">
      <c r="A47" s="20" t="s">
        <v>32</v>
      </c>
      <c r="B47" s="47" t="s">
        <v>33</v>
      </c>
      <c r="C47" s="48"/>
      <c r="D47" s="48"/>
      <c r="E47" s="48"/>
      <c r="F47" s="48"/>
      <c r="G47" s="49"/>
      <c r="H47" s="21">
        <v>1.4999999999999999E-2</v>
      </c>
      <c r="I47" s="22">
        <f t="shared" ref="I47:I53" si="2">$I$43*H47</f>
        <v>51.87166666666667</v>
      </c>
    </row>
    <row r="48" spans="1:9">
      <c r="A48" s="20" t="s">
        <v>34</v>
      </c>
      <c r="B48" s="47" t="s">
        <v>35</v>
      </c>
      <c r="C48" s="48"/>
      <c r="D48" s="48"/>
      <c r="E48" s="48"/>
      <c r="F48" s="48"/>
      <c r="G48" s="49"/>
      <c r="H48" s="21">
        <v>0.01</v>
      </c>
      <c r="I48" s="22">
        <f t="shared" si="2"/>
        <v>34.581111111111113</v>
      </c>
    </row>
    <row r="49" spans="1:10">
      <c r="A49" s="20" t="s">
        <v>36</v>
      </c>
      <c r="B49" s="47" t="s">
        <v>37</v>
      </c>
      <c r="C49" s="48"/>
      <c r="D49" s="48"/>
      <c r="E49" s="48"/>
      <c r="F49" s="48"/>
      <c r="G49" s="49"/>
      <c r="H49" s="21">
        <v>2E-3</v>
      </c>
      <c r="I49" s="22">
        <f t="shared" si="2"/>
        <v>6.9162222222222232</v>
      </c>
    </row>
    <row r="50" spans="1:10">
      <c r="A50" s="20" t="s">
        <v>38</v>
      </c>
      <c r="B50" s="50" t="s">
        <v>39</v>
      </c>
      <c r="C50" s="51"/>
      <c r="D50" s="51"/>
      <c r="E50" s="51"/>
      <c r="F50" s="51"/>
      <c r="G50" s="52"/>
      <c r="H50" s="21">
        <v>2.5000000000000001E-2</v>
      </c>
      <c r="I50" s="22">
        <f t="shared" si="2"/>
        <v>86.452777777777783</v>
      </c>
    </row>
    <row r="51" spans="1:10">
      <c r="A51" s="20" t="s">
        <v>40</v>
      </c>
      <c r="B51" s="50" t="s">
        <v>41</v>
      </c>
      <c r="C51" s="51"/>
      <c r="D51" s="51"/>
      <c r="E51" s="51"/>
      <c r="F51" s="51"/>
      <c r="G51" s="52"/>
      <c r="H51" s="23">
        <v>0.08</v>
      </c>
      <c r="I51" s="22">
        <f t="shared" si="2"/>
        <v>276.64888888888891</v>
      </c>
    </row>
    <row r="52" spans="1:10">
      <c r="A52" s="20" t="s">
        <v>42</v>
      </c>
      <c r="B52" s="53" t="s">
        <v>43</v>
      </c>
      <c r="C52" s="54"/>
      <c r="D52" s="24" t="s">
        <v>44</v>
      </c>
      <c r="E52" s="25">
        <v>0.03</v>
      </c>
      <c r="F52" s="24" t="s">
        <v>45</v>
      </c>
      <c r="G52" s="26">
        <v>1</v>
      </c>
      <c r="H52" s="27">
        <f>ROUND((E52*G52),6)</f>
        <v>0.03</v>
      </c>
      <c r="I52" s="22">
        <f t="shared" si="2"/>
        <v>103.74333333333334</v>
      </c>
    </row>
    <row r="53" spans="1:10">
      <c r="A53" s="20" t="s">
        <v>46</v>
      </c>
      <c r="B53" s="50" t="s">
        <v>47</v>
      </c>
      <c r="C53" s="51"/>
      <c r="D53" s="51"/>
      <c r="E53" s="51"/>
      <c r="F53" s="51"/>
      <c r="G53" s="52"/>
      <c r="H53" s="21">
        <v>6.0000000000000001E-3</v>
      </c>
      <c r="I53" s="22">
        <f t="shared" si="2"/>
        <v>20.748666666666669</v>
      </c>
    </row>
    <row r="54" spans="1:10">
      <c r="A54" s="44" t="s">
        <v>48</v>
      </c>
      <c r="B54" s="45"/>
      <c r="C54" s="45"/>
      <c r="D54" s="45"/>
      <c r="E54" s="45"/>
      <c r="F54" s="45"/>
      <c r="G54" s="46"/>
      <c r="H54" s="28">
        <f>SUM(H46:H53)</f>
        <v>0.3680000000000001</v>
      </c>
      <c r="I54" s="29">
        <f>TRUNC(SUM(I46:I53),2)</f>
        <v>1272.58</v>
      </c>
    </row>
    <row r="56" spans="1:10">
      <c r="A56" s="33" t="s">
        <v>60</v>
      </c>
      <c r="B56" s="2"/>
      <c r="C56" s="2"/>
      <c r="D56" s="2"/>
      <c r="E56" s="2"/>
      <c r="F56" s="2"/>
      <c r="G56" s="2"/>
      <c r="H56" s="2"/>
      <c r="I56" s="13">
        <f>D43+I54+F43</f>
        <v>5853.6911111111112</v>
      </c>
    </row>
    <row r="57" spans="1:10">
      <c r="A57" s="34" t="s">
        <v>58</v>
      </c>
      <c r="B57" s="2"/>
      <c r="C57" s="2"/>
      <c r="D57" s="2"/>
      <c r="E57" s="2"/>
      <c r="F57" s="2"/>
      <c r="G57" s="2"/>
      <c r="H57" s="11">
        <v>1</v>
      </c>
      <c r="I57" s="13">
        <f>I56*H57</f>
        <v>5853.6911111111112</v>
      </c>
    </row>
    <row r="61" spans="1:10">
      <c r="A61" s="35" t="s">
        <v>61</v>
      </c>
    </row>
    <row r="62" spans="1:10">
      <c r="A62" s="36" t="s">
        <v>62</v>
      </c>
    </row>
    <row r="63" spans="1:10" ht="28.5" customHeight="1">
      <c r="A63" s="43" t="s">
        <v>63</v>
      </c>
      <c r="B63" s="43"/>
      <c r="C63" s="43"/>
      <c r="D63" s="43"/>
      <c r="E63" s="43"/>
      <c r="F63" s="43"/>
      <c r="G63" s="43"/>
      <c r="H63" s="43"/>
      <c r="I63" s="43"/>
      <c r="J63" s="43"/>
    </row>
    <row r="64" spans="1:10" ht="37.5" customHeight="1">
      <c r="A64" s="43" t="s">
        <v>64</v>
      </c>
      <c r="B64" s="43"/>
      <c r="C64" s="43"/>
      <c r="D64" s="43"/>
      <c r="E64" s="43"/>
      <c r="F64" s="43"/>
      <c r="G64" s="43"/>
      <c r="H64" s="43"/>
      <c r="I64" s="43"/>
      <c r="J64" s="43"/>
    </row>
    <row r="65" spans="1:10" ht="32.25" customHeight="1">
      <c r="A65" s="43" t="s">
        <v>65</v>
      </c>
      <c r="B65" s="43"/>
      <c r="C65" s="43"/>
      <c r="D65" s="43"/>
      <c r="E65" s="43"/>
      <c r="F65" s="43"/>
      <c r="G65" s="43"/>
      <c r="H65" s="43"/>
      <c r="I65" s="43"/>
      <c r="J65" s="43"/>
    </row>
    <row r="66" spans="1:10">
      <c r="A66" s="36"/>
    </row>
    <row r="67" spans="1:10">
      <c r="A67" s="36"/>
    </row>
    <row r="68" spans="1:10">
      <c r="A68" s="36"/>
    </row>
    <row r="69" spans="1:10">
      <c r="A69" s="37" t="s">
        <v>66</v>
      </c>
    </row>
    <row r="70" spans="1:10" ht="47.25" customHeight="1">
      <c r="A70" s="42" t="s">
        <v>67</v>
      </c>
      <c r="B70" s="42"/>
      <c r="C70" s="42"/>
      <c r="D70" s="42"/>
      <c r="E70" s="42"/>
      <c r="F70" s="42"/>
      <c r="G70" s="42"/>
      <c r="H70" s="42"/>
      <c r="I70" s="42"/>
      <c r="J70" s="42"/>
    </row>
    <row r="71" spans="1:10" ht="33" customHeight="1">
      <c r="A71" s="42" t="s">
        <v>68</v>
      </c>
      <c r="B71" s="42"/>
      <c r="C71" s="42"/>
      <c r="D71" s="42"/>
      <c r="E71" s="42"/>
      <c r="F71" s="42"/>
      <c r="G71" s="42"/>
      <c r="H71" s="42"/>
      <c r="I71" s="42"/>
      <c r="J71" s="42"/>
    </row>
    <row r="72" spans="1:10" ht="51.75" customHeight="1">
      <c r="A72" s="42" t="s">
        <v>69</v>
      </c>
      <c r="B72" s="42"/>
      <c r="C72" s="42"/>
      <c r="D72" s="42"/>
      <c r="E72" s="42"/>
      <c r="F72" s="42"/>
      <c r="G72" s="42"/>
      <c r="H72" s="42"/>
      <c r="I72" s="42"/>
      <c r="J72" s="42"/>
    </row>
    <row r="73" spans="1:10">
      <c r="A73" s="38" t="s">
        <v>70</v>
      </c>
    </row>
    <row r="74" spans="1:10" ht="77.25" customHeight="1">
      <c r="A74" s="42" t="s">
        <v>71</v>
      </c>
      <c r="B74" s="42"/>
      <c r="C74" s="42"/>
      <c r="D74" s="42"/>
      <c r="E74" s="42"/>
      <c r="F74" s="42"/>
      <c r="G74" s="42"/>
      <c r="H74" s="42"/>
      <c r="I74" s="42"/>
      <c r="J74" s="42"/>
    </row>
    <row r="75" spans="1:10" ht="29.25" customHeight="1">
      <c r="A75" s="42" t="s">
        <v>72</v>
      </c>
      <c r="B75" s="42"/>
      <c r="C75" s="42"/>
      <c r="D75" s="42"/>
      <c r="E75" s="42"/>
      <c r="F75" s="42"/>
      <c r="G75" s="42"/>
      <c r="H75" s="42"/>
      <c r="I75" s="42"/>
      <c r="J75" s="42"/>
    </row>
    <row r="76" spans="1:10">
      <c r="A76" s="39" t="s">
        <v>73</v>
      </c>
    </row>
  </sheetData>
  <mergeCells count="19">
    <mergeCell ref="A1:F1"/>
    <mergeCell ref="B45:G45"/>
    <mergeCell ref="B46:G46"/>
    <mergeCell ref="B47:G47"/>
    <mergeCell ref="B48:G48"/>
    <mergeCell ref="A54:G54"/>
    <mergeCell ref="B49:G49"/>
    <mergeCell ref="B50:G50"/>
    <mergeCell ref="B51:G51"/>
    <mergeCell ref="B52:C52"/>
    <mergeCell ref="B53:G53"/>
    <mergeCell ref="A72:J72"/>
    <mergeCell ref="A74:J74"/>
    <mergeCell ref="A75:J75"/>
    <mergeCell ref="A63:J63"/>
    <mergeCell ref="A64:J64"/>
    <mergeCell ref="A65:J65"/>
    <mergeCell ref="A70:J70"/>
    <mergeCell ref="A71:J71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6"/>
  <sheetViews>
    <sheetView workbookViewId="0">
      <selection activeCell="A3" sqref="A3"/>
    </sheetView>
  </sheetViews>
  <sheetFormatPr defaultRowHeight="15"/>
  <cols>
    <col min="1" max="1" width="37" customWidth="1"/>
    <col min="2" max="2" width="11.28515625" bestFit="1" customWidth="1"/>
    <col min="3" max="3" width="17" bestFit="1" customWidth="1"/>
    <col min="4" max="4" width="10.5703125" bestFit="1" customWidth="1"/>
    <col min="5" max="5" width="10.7109375" customWidth="1"/>
    <col min="6" max="6" width="10.42578125" customWidth="1"/>
    <col min="8" max="8" width="9.7109375" customWidth="1"/>
    <col min="9" max="9" width="9.5703125" bestFit="1" customWidth="1"/>
  </cols>
  <sheetData>
    <row r="1" spans="1:6">
      <c r="A1" s="55" t="s">
        <v>7</v>
      </c>
      <c r="B1" s="55"/>
      <c r="C1" s="55"/>
      <c r="D1" s="55"/>
      <c r="E1" s="55"/>
      <c r="F1" s="55"/>
    </row>
    <row r="2" spans="1:6">
      <c r="A2" s="41" t="s">
        <v>84</v>
      </c>
      <c r="B2" s="41"/>
      <c r="C2" s="41"/>
      <c r="D2" s="41"/>
      <c r="E2" s="41"/>
      <c r="F2" s="41"/>
    </row>
    <row r="3" spans="1:6">
      <c r="A3" s="10" t="s">
        <v>80</v>
      </c>
      <c r="B3" t="s">
        <v>22</v>
      </c>
      <c r="D3">
        <f>165*20</f>
        <v>3300</v>
      </c>
    </row>
    <row r="4" spans="1:6">
      <c r="D4" t="s">
        <v>74</v>
      </c>
    </row>
    <row r="5" spans="1:6">
      <c r="A5" s="41" t="s">
        <v>9</v>
      </c>
      <c r="B5" s="7">
        <v>500000</v>
      </c>
      <c r="C5" s="41"/>
      <c r="D5" s="41" t="s">
        <v>85</v>
      </c>
      <c r="E5" s="41"/>
      <c r="F5" s="41"/>
    </row>
    <row r="6" spans="1:6">
      <c r="A6" s="41" t="s">
        <v>10</v>
      </c>
      <c r="B6" s="7">
        <f>B5*30%</f>
        <v>150000</v>
      </c>
      <c r="C6" s="41"/>
      <c r="D6" s="41"/>
      <c r="E6" s="41"/>
      <c r="F6" s="41"/>
    </row>
    <row r="7" spans="1:6">
      <c r="A7" s="41" t="s">
        <v>11</v>
      </c>
      <c r="B7" s="7">
        <f>B5-B6</f>
        <v>350000</v>
      </c>
      <c r="C7" s="41"/>
      <c r="D7" s="41"/>
      <c r="E7" s="41"/>
      <c r="F7" s="41"/>
    </row>
    <row r="8" spans="1:6">
      <c r="A8" s="41" t="s">
        <v>12</v>
      </c>
      <c r="B8" s="7">
        <v>60</v>
      </c>
      <c r="C8" s="7">
        <f>B7/B8</f>
        <v>5833.333333333333</v>
      </c>
      <c r="D8" s="41"/>
      <c r="E8" s="41"/>
      <c r="F8" s="41"/>
    </row>
    <row r="9" spans="1:6">
      <c r="A9" s="41" t="s">
        <v>14</v>
      </c>
      <c r="B9" s="15">
        <v>0.1075</v>
      </c>
      <c r="C9" s="8">
        <f>B5*B9/12</f>
        <v>4479.166666666667</v>
      </c>
      <c r="D9" s="41"/>
      <c r="E9" s="41"/>
      <c r="F9" s="41"/>
    </row>
    <row r="11" spans="1:6">
      <c r="A11" s="1" t="s">
        <v>0</v>
      </c>
      <c r="B11" s="1" t="s">
        <v>8</v>
      </c>
      <c r="C11" s="1" t="s">
        <v>21</v>
      </c>
      <c r="D11" s="1" t="s">
        <v>1</v>
      </c>
    </row>
    <row r="12" spans="1:6">
      <c r="A12" s="2" t="s">
        <v>2</v>
      </c>
      <c r="B12" s="2">
        <v>5.7</v>
      </c>
      <c r="C12" s="2">
        <v>3.5</v>
      </c>
      <c r="D12" s="3">
        <f t="shared" ref="D12:D21" si="0">B12/C12</f>
        <v>1.6285714285714286</v>
      </c>
    </row>
    <row r="13" spans="1:6">
      <c r="A13" s="2" t="s">
        <v>6</v>
      </c>
      <c r="B13" s="3">
        <v>400</v>
      </c>
      <c r="C13" s="2">
        <f>D3</f>
        <v>3300</v>
      </c>
      <c r="D13" s="3">
        <f t="shared" si="0"/>
        <v>0.12121212121212122</v>
      </c>
    </row>
    <row r="14" spans="1:6">
      <c r="A14" s="2" t="s">
        <v>20</v>
      </c>
      <c r="B14" s="3">
        <f>B5*1%</f>
        <v>5000</v>
      </c>
      <c r="C14" s="2">
        <f>C13*12</f>
        <v>39600</v>
      </c>
      <c r="D14" s="3">
        <f t="shared" si="0"/>
        <v>0.12626262626262627</v>
      </c>
    </row>
    <row r="15" spans="1:6">
      <c r="A15" s="2" t="s">
        <v>3</v>
      </c>
      <c r="B15" s="3">
        <v>800</v>
      </c>
      <c r="C15" s="2">
        <f>C13</f>
        <v>3300</v>
      </c>
      <c r="D15" s="3">
        <f t="shared" si="0"/>
        <v>0.24242424242424243</v>
      </c>
    </row>
    <row r="16" spans="1:6">
      <c r="A16" s="2" t="s">
        <v>78</v>
      </c>
      <c r="B16" s="3">
        <f>8*2000</f>
        <v>16000</v>
      </c>
      <c r="C16" s="2">
        <v>80000</v>
      </c>
      <c r="D16" s="3">
        <f t="shared" si="0"/>
        <v>0.2</v>
      </c>
    </row>
    <row r="17" spans="1:4">
      <c r="A17" s="2" t="s">
        <v>77</v>
      </c>
      <c r="B17" s="3">
        <f>5.2*4*20</f>
        <v>416</v>
      </c>
      <c r="C17" s="2">
        <f>C15</f>
        <v>3300</v>
      </c>
      <c r="D17" s="3">
        <f t="shared" si="0"/>
        <v>0.12606060606060607</v>
      </c>
    </row>
    <row r="18" spans="1:4">
      <c r="A18" s="2" t="s">
        <v>25</v>
      </c>
      <c r="B18" s="3">
        <v>300</v>
      </c>
      <c r="C18" s="2">
        <f>C15</f>
        <v>3300</v>
      </c>
      <c r="D18" s="3">
        <f t="shared" si="0"/>
        <v>9.0909090909090912E-2</v>
      </c>
    </row>
    <row r="19" spans="1:4">
      <c r="A19" s="2" t="s">
        <v>4</v>
      </c>
      <c r="B19" s="3">
        <f>I57</f>
        <v>5853.6911111111112</v>
      </c>
      <c r="C19" s="2">
        <f>C15</f>
        <v>3300</v>
      </c>
      <c r="D19" s="3">
        <f t="shared" si="0"/>
        <v>1.7738457912457912</v>
      </c>
    </row>
    <row r="20" spans="1:4">
      <c r="A20" s="2" t="s">
        <v>13</v>
      </c>
      <c r="B20" s="3">
        <f>C8</f>
        <v>5833.333333333333</v>
      </c>
      <c r="C20" s="2">
        <f>C19</f>
        <v>3300</v>
      </c>
      <c r="D20" s="3">
        <f t="shared" si="0"/>
        <v>1.7676767676767675</v>
      </c>
    </row>
    <row r="21" spans="1:4">
      <c r="A21" s="2" t="s">
        <v>15</v>
      </c>
      <c r="B21" s="9">
        <f>C9</f>
        <v>4479.166666666667</v>
      </c>
      <c r="C21" s="2">
        <f>C20</f>
        <v>3300</v>
      </c>
      <c r="D21" s="3">
        <f t="shared" si="0"/>
        <v>1.3573232323232325</v>
      </c>
    </row>
    <row r="22" spans="1:4">
      <c r="A22" s="4" t="s">
        <v>23</v>
      </c>
      <c r="B22" s="4"/>
      <c r="C22" s="4" t="s">
        <v>5</v>
      </c>
      <c r="D22" s="5">
        <f>SUM(D12:D21)</f>
        <v>7.4342859066859068</v>
      </c>
    </row>
    <row r="24" spans="1:4">
      <c r="A24" s="2" t="s">
        <v>79</v>
      </c>
      <c r="B24" s="2"/>
      <c r="C24" s="11">
        <v>0.08</v>
      </c>
      <c r="D24" s="9">
        <f>D22*C24</f>
        <v>0.59474287253487257</v>
      </c>
    </row>
    <row r="25" spans="1:4">
      <c r="A25" s="2" t="s">
        <v>18</v>
      </c>
      <c r="B25" s="2"/>
      <c r="C25" s="11">
        <v>0.08</v>
      </c>
      <c r="D25" s="9">
        <f>D22*C25</f>
        <v>0.59474287253487257</v>
      </c>
    </row>
    <row r="26" spans="1:4">
      <c r="A26" s="12" t="s">
        <v>16</v>
      </c>
      <c r="B26" s="12"/>
      <c r="C26" s="12"/>
      <c r="D26" s="13">
        <f>D25+D24+D22</f>
        <v>8.6237716517556517</v>
      </c>
    </row>
    <row r="27" spans="1:4">
      <c r="A27" s="2" t="s">
        <v>17</v>
      </c>
      <c r="B27" s="2"/>
      <c r="C27" s="14">
        <v>6.6500000000000004E-2</v>
      </c>
      <c r="D27" s="9">
        <f>D26*C27</f>
        <v>0.57348081484175084</v>
      </c>
    </row>
    <row r="28" spans="1:4">
      <c r="A28" s="2" t="s">
        <v>19</v>
      </c>
      <c r="B28" s="2"/>
      <c r="C28" s="11"/>
      <c r="D28" s="9"/>
    </row>
    <row r="29" spans="1:4">
      <c r="A29" s="12" t="s">
        <v>24</v>
      </c>
      <c r="B29" s="12"/>
      <c r="C29" s="12"/>
      <c r="D29" s="13">
        <f>D26+D27</f>
        <v>9.1972524665974031</v>
      </c>
    </row>
    <row r="30" spans="1:4">
      <c r="A30" s="16"/>
      <c r="B30" s="2"/>
      <c r="C30" s="2"/>
      <c r="D30" s="9"/>
    </row>
    <row r="31" spans="1:4">
      <c r="A31" s="16"/>
      <c r="B31" s="2"/>
      <c r="C31" s="2"/>
      <c r="D31" s="9"/>
    </row>
    <row r="34" spans="1:9">
      <c r="A34" s="10" t="s">
        <v>59</v>
      </c>
      <c r="C34" t="s">
        <v>75</v>
      </c>
      <c r="D34" s="17" t="s">
        <v>82</v>
      </c>
      <c r="F34" s="17"/>
    </row>
    <row r="35" spans="1:9">
      <c r="A35" s="2" t="s">
        <v>49</v>
      </c>
      <c r="B35" s="2"/>
      <c r="C35" s="3">
        <f>2500</f>
        <v>2500</v>
      </c>
      <c r="D35" s="9"/>
      <c r="E35" s="3"/>
      <c r="F35" s="9"/>
    </row>
    <row r="36" spans="1:9">
      <c r="A36" s="2" t="s">
        <v>50</v>
      </c>
      <c r="B36" s="11">
        <v>0.2</v>
      </c>
      <c r="C36" s="9">
        <f>C35*B36</f>
        <v>500</v>
      </c>
      <c r="E36" s="9">
        <f>E35*B36</f>
        <v>0</v>
      </c>
    </row>
    <row r="37" spans="1:9">
      <c r="A37" s="32" t="s">
        <v>57</v>
      </c>
      <c r="B37" s="11"/>
      <c r="C37" s="9"/>
      <c r="D37" s="13">
        <f>C36+C35</f>
        <v>3000</v>
      </c>
      <c r="E37" s="9"/>
      <c r="F37" s="13">
        <f>E36+E35</f>
        <v>0</v>
      </c>
    </row>
    <row r="38" spans="1:9">
      <c r="A38" s="2" t="s">
        <v>51</v>
      </c>
      <c r="B38" s="2">
        <v>20</v>
      </c>
      <c r="C38" s="3">
        <v>8</v>
      </c>
      <c r="D38" s="3">
        <f>C38*B38</f>
        <v>160</v>
      </c>
      <c r="E38" s="3"/>
      <c r="F38" s="3">
        <f>E38*B38</f>
        <v>0</v>
      </c>
    </row>
    <row r="39" spans="1:9">
      <c r="A39" s="2" t="s">
        <v>76</v>
      </c>
      <c r="B39" s="2">
        <v>20</v>
      </c>
      <c r="C39" s="3">
        <f>45*1.07</f>
        <v>48.150000000000006</v>
      </c>
      <c r="D39" s="3">
        <f>B39*C39</f>
        <v>963.00000000000011</v>
      </c>
      <c r="E39" s="3"/>
      <c r="F39" s="3">
        <f>E39*B39</f>
        <v>0</v>
      </c>
    </row>
    <row r="40" spans="1:9">
      <c r="A40" s="12" t="s">
        <v>52</v>
      </c>
      <c r="B40" s="12"/>
      <c r="C40" s="12"/>
      <c r="D40" s="13">
        <f>SUM(D37:D39)</f>
        <v>4123</v>
      </c>
      <c r="E40" s="12"/>
      <c r="F40" s="13">
        <f>SUM(F37:F39)</f>
        <v>0</v>
      </c>
    </row>
    <row r="41" spans="1:9">
      <c r="A41" s="2" t="s">
        <v>53</v>
      </c>
      <c r="B41" s="2"/>
      <c r="C41" s="2"/>
      <c r="D41" s="9">
        <f>D40/12</f>
        <v>343.58333333333331</v>
      </c>
      <c r="E41" s="2"/>
      <c r="F41" s="9">
        <f>F40/12</f>
        <v>0</v>
      </c>
    </row>
    <row r="42" spans="1:9">
      <c r="A42" s="2" t="s">
        <v>54</v>
      </c>
      <c r="B42" s="2"/>
      <c r="C42" s="2"/>
      <c r="D42" s="3">
        <f>(D40/3)/12</f>
        <v>114.52777777777777</v>
      </c>
      <c r="E42" s="2"/>
      <c r="F42" s="3">
        <f>(F40/3)/12</f>
        <v>0</v>
      </c>
    </row>
    <row r="43" spans="1:9">
      <c r="A43" s="12" t="s">
        <v>55</v>
      </c>
      <c r="B43" s="12"/>
      <c r="C43" s="12"/>
      <c r="D43" s="31">
        <f>D42+D41+D40</f>
        <v>4581.1111111111113</v>
      </c>
      <c r="E43" s="12"/>
      <c r="F43" s="31">
        <f>F42+F41+F40</f>
        <v>0</v>
      </c>
      <c r="G43" s="40" t="s">
        <v>56</v>
      </c>
      <c r="I43" s="30">
        <f>D37+D41+D42+F37+F41+F42</f>
        <v>3458.1111111111113</v>
      </c>
    </row>
    <row r="45" spans="1:9" ht="30">
      <c r="A45" s="18" t="s">
        <v>26</v>
      </c>
      <c r="B45" s="56" t="s">
        <v>27</v>
      </c>
      <c r="C45" s="57"/>
      <c r="D45" s="57"/>
      <c r="E45" s="57"/>
      <c r="F45" s="57"/>
      <c r="G45" s="58"/>
      <c r="H45" s="19" t="s">
        <v>28</v>
      </c>
      <c r="I45" s="19" t="s">
        <v>29</v>
      </c>
    </row>
    <row r="46" spans="1:9">
      <c r="A46" s="20" t="s">
        <v>30</v>
      </c>
      <c r="B46" s="47" t="s">
        <v>31</v>
      </c>
      <c r="C46" s="48"/>
      <c r="D46" s="48"/>
      <c r="E46" s="48"/>
      <c r="F46" s="48"/>
      <c r="G46" s="49"/>
      <c r="H46" s="21">
        <v>0.2</v>
      </c>
      <c r="I46" s="22">
        <f>$I$43*H46</f>
        <v>691.62222222222226</v>
      </c>
    </row>
    <row r="47" spans="1:9">
      <c r="A47" s="20" t="s">
        <v>32</v>
      </c>
      <c r="B47" s="47" t="s">
        <v>33</v>
      </c>
      <c r="C47" s="48"/>
      <c r="D47" s="48"/>
      <c r="E47" s="48"/>
      <c r="F47" s="48"/>
      <c r="G47" s="49"/>
      <c r="H47" s="21">
        <v>1.4999999999999999E-2</v>
      </c>
      <c r="I47" s="22">
        <f t="shared" ref="I47:I53" si="1">$I$43*H47</f>
        <v>51.87166666666667</v>
      </c>
    </row>
    <row r="48" spans="1:9">
      <c r="A48" s="20" t="s">
        <v>34</v>
      </c>
      <c r="B48" s="47" t="s">
        <v>35</v>
      </c>
      <c r="C48" s="48"/>
      <c r="D48" s="48"/>
      <c r="E48" s="48"/>
      <c r="F48" s="48"/>
      <c r="G48" s="49"/>
      <c r="H48" s="21">
        <v>0.01</v>
      </c>
      <c r="I48" s="22">
        <f t="shared" si="1"/>
        <v>34.581111111111113</v>
      </c>
    </row>
    <row r="49" spans="1:10">
      <c r="A49" s="20" t="s">
        <v>36</v>
      </c>
      <c r="B49" s="47" t="s">
        <v>37</v>
      </c>
      <c r="C49" s="48"/>
      <c r="D49" s="48"/>
      <c r="E49" s="48"/>
      <c r="F49" s="48"/>
      <c r="G49" s="49"/>
      <c r="H49" s="21">
        <v>2E-3</v>
      </c>
      <c r="I49" s="22">
        <f t="shared" si="1"/>
        <v>6.9162222222222232</v>
      </c>
    </row>
    <row r="50" spans="1:10">
      <c r="A50" s="20" t="s">
        <v>38</v>
      </c>
      <c r="B50" s="50" t="s">
        <v>39</v>
      </c>
      <c r="C50" s="51"/>
      <c r="D50" s="51"/>
      <c r="E50" s="51"/>
      <c r="F50" s="51"/>
      <c r="G50" s="52"/>
      <c r="H50" s="21">
        <v>2.5000000000000001E-2</v>
      </c>
      <c r="I50" s="22">
        <f t="shared" si="1"/>
        <v>86.452777777777783</v>
      </c>
    </row>
    <row r="51" spans="1:10">
      <c r="A51" s="20" t="s">
        <v>40</v>
      </c>
      <c r="B51" s="50" t="s">
        <v>41</v>
      </c>
      <c r="C51" s="51"/>
      <c r="D51" s="51"/>
      <c r="E51" s="51"/>
      <c r="F51" s="51"/>
      <c r="G51" s="52"/>
      <c r="H51" s="23">
        <v>0.08</v>
      </c>
      <c r="I51" s="22">
        <f t="shared" si="1"/>
        <v>276.64888888888891</v>
      </c>
    </row>
    <row r="52" spans="1:10">
      <c r="A52" s="20" t="s">
        <v>42</v>
      </c>
      <c r="B52" s="53" t="s">
        <v>43</v>
      </c>
      <c r="C52" s="54"/>
      <c r="D52" s="24" t="s">
        <v>44</v>
      </c>
      <c r="E52" s="25">
        <v>0.03</v>
      </c>
      <c r="F52" s="24" t="s">
        <v>45</v>
      </c>
      <c r="G52" s="26">
        <v>1</v>
      </c>
      <c r="H52" s="27">
        <f>ROUND((E52*G52),6)</f>
        <v>0.03</v>
      </c>
      <c r="I52" s="22">
        <f t="shared" si="1"/>
        <v>103.74333333333334</v>
      </c>
    </row>
    <row r="53" spans="1:10">
      <c r="A53" s="20" t="s">
        <v>46</v>
      </c>
      <c r="B53" s="50" t="s">
        <v>47</v>
      </c>
      <c r="C53" s="51"/>
      <c r="D53" s="51"/>
      <c r="E53" s="51"/>
      <c r="F53" s="51"/>
      <c r="G53" s="52"/>
      <c r="H53" s="21">
        <v>6.0000000000000001E-3</v>
      </c>
      <c r="I53" s="22">
        <f t="shared" si="1"/>
        <v>20.748666666666669</v>
      </c>
    </row>
    <row r="54" spans="1:10">
      <c r="A54" s="44" t="s">
        <v>48</v>
      </c>
      <c r="B54" s="45"/>
      <c r="C54" s="45"/>
      <c r="D54" s="45"/>
      <c r="E54" s="45"/>
      <c r="F54" s="45"/>
      <c r="G54" s="46"/>
      <c r="H54" s="28">
        <f>SUM(H46:H53)</f>
        <v>0.3680000000000001</v>
      </c>
      <c r="I54" s="29">
        <f>TRUNC(SUM(I46:I53),2)</f>
        <v>1272.58</v>
      </c>
    </row>
    <row r="56" spans="1:10">
      <c r="A56" s="33" t="s">
        <v>60</v>
      </c>
      <c r="B56" s="2"/>
      <c r="C56" s="2"/>
      <c r="D56" s="2"/>
      <c r="E56" s="2"/>
      <c r="F56" s="2"/>
      <c r="G56" s="2"/>
      <c r="H56" s="2"/>
      <c r="I56" s="13">
        <f>D43+I54+F43</f>
        <v>5853.6911111111112</v>
      </c>
    </row>
    <row r="57" spans="1:10">
      <c r="A57" s="34" t="s">
        <v>58</v>
      </c>
      <c r="B57" s="2"/>
      <c r="C57" s="2"/>
      <c r="D57" s="2"/>
      <c r="E57" s="2"/>
      <c r="F57" s="2"/>
      <c r="G57" s="2"/>
      <c r="H57" s="11">
        <v>1</v>
      </c>
      <c r="I57" s="13">
        <f>I56*H57</f>
        <v>5853.6911111111112</v>
      </c>
    </row>
    <row r="61" spans="1:10">
      <c r="A61" s="35" t="s">
        <v>61</v>
      </c>
    </row>
    <row r="62" spans="1:10">
      <c r="A62" s="36" t="s">
        <v>62</v>
      </c>
    </row>
    <row r="63" spans="1:10" ht="28.5" customHeight="1">
      <c r="A63" s="43" t="s">
        <v>63</v>
      </c>
      <c r="B63" s="43"/>
      <c r="C63" s="43"/>
      <c r="D63" s="43"/>
      <c r="E63" s="43"/>
      <c r="F63" s="43"/>
      <c r="G63" s="43"/>
      <c r="H63" s="43"/>
      <c r="I63" s="43"/>
      <c r="J63" s="43"/>
    </row>
    <row r="64" spans="1:10" ht="37.5" customHeight="1">
      <c r="A64" s="43" t="s">
        <v>64</v>
      </c>
      <c r="B64" s="43"/>
      <c r="C64" s="43"/>
      <c r="D64" s="43"/>
      <c r="E64" s="43"/>
      <c r="F64" s="43"/>
      <c r="G64" s="43"/>
      <c r="H64" s="43"/>
      <c r="I64" s="43"/>
      <c r="J64" s="43"/>
    </row>
    <row r="65" spans="1:10" ht="32.25" customHeight="1">
      <c r="A65" s="43" t="s">
        <v>65</v>
      </c>
      <c r="B65" s="43"/>
      <c r="C65" s="43"/>
      <c r="D65" s="43"/>
      <c r="E65" s="43"/>
      <c r="F65" s="43"/>
      <c r="G65" s="43"/>
      <c r="H65" s="43"/>
      <c r="I65" s="43"/>
      <c r="J65" s="43"/>
    </row>
    <row r="66" spans="1:10">
      <c r="A66" s="36"/>
    </row>
    <row r="67" spans="1:10">
      <c r="A67" s="36"/>
    </row>
    <row r="68" spans="1:10">
      <c r="A68" s="36"/>
    </row>
    <row r="69" spans="1:10">
      <c r="A69" s="37" t="s">
        <v>66</v>
      </c>
    </row>
    <row r="70" spans="1:10" ht="47.25" customHeight="1">
      <c r="A70" s="42" t="s">
        <v>67</v>
      </c>
      <c r="B70" s="42"/>
      <c r="C70" s="42"/>
      <c r="D70" s="42"/>
      <c r="E70" s="42"/>
      <c r="F70" s="42"/>
      <c r="G70" s="42"/>
      <c r="H70" s="42"/>
      <c r="I70" s="42"/>
      <c r="J70" s="42"/>
    </row>
    <row r="71" spans="1:10" ht="33" customHeight="1">
      <c r="A71" s="42" t="s">
        <v>68</v>
      </c>
      <c r="B71" s="42"/>
      <c r="C71" s="42"/>
      <c r="D71" s="42"/>
      <c r="E71" s="42"/>
      <c r="F71" s="42"/>
      <c r="G71" s="42"/>
      <c r="H71" s="42"/>
      <c r="I71" s="42"/>
      <c r="J71" s="42"/>
    </row>
    <row r="72" spans="1:10" ht="51.75" customHeight="1">
      <c r="A72" s="42" t="s">
        <v>69</v>
      </c>
      <c r="B72" s="42"/>
      <c r="C72" s="42"/>
      <c r="D72" s="42"/>
      <c r="E72" s="42"/>
      <c r="F72" s="42"/>
      <c r="G72" s="42"/>
      <c r="H72" s="42"/>
      <c r="I72" s="42"/>
      <c r="J72" s="42"/>
    </row>
    <row r="73" spans="1:10">
      <c r="A73" s="38" t="s">
        <v>70</v>
      </c>
    </row>
    <row r="74" spans="1:10" ht="77.25" customHeight="1">
      <c r="A74" s="42" t="s">
        <v>71</v>
      </c>
      <c r="B74" s="42"/>
      <c r="C74" s="42"/>
      <c r="D74" s="42"/>
      <c r="E74" s="42"/>
      <c r="F74" s="42"/>
      <c r="G74" s="42"/>
      <c r="H74" s="42"/>
      <c r="I74" s="42"/>
      <c r="J74" s="42"/>
    </row>
    <row r="75" spans="1:10" ht="29.25" customHeight="1">
      <c r="A75" s="42" t="s">
        <v>72</v>
      </c>
      <c r="B75" s="42"/>
      <c r="C75" s="42"/>
      <c r="D75" s="42"/>
      <c r="E75" s="42"/>
      <c r="F75" s="42"/>
      <c r="G75" s="42"/>
      <c r="H75" s="42"/>
      <c r="I75" s="42"/>
      <c r="J75" s="42"/>
    </row>
    <row r="76" spans="1:10">
      <c r="A76" s="39" t="s">
        <v>73</v>
      </c>
    </row>
  </sheetData>
  <mergeCells count="19">
    <mergeCell ref="A63:J63"/>
    <mergeCell ref="A1:F1"/>
    <mergeCell ref="B45:G45"/>
    <mergeCell ref="B46:G46"/>
    <mergeCell ref="B47:G47"/>
    <mergeCell ref="B48:G48"/>
    <mergeCell ref="B49:G49"/>
    <mergeCell ref="B50:G50"/>
    <mergeCell ref="B51:G51"/>
    <mergeCell ref="B52:C52"/>
    <mergeCell ref="B53:G53"/>
    <mergeCell ref="A54:G54"/>
    <mergeCell ref="A75:J75"/>
    <mergeCell ref="A64:J64"/>
    <mergeCell ref="A65:J65"/>
    <mergeCell ref="A70:J70"/>
    <mergeCell ref="A71:J71"/>
    <mergeCell ref="A72:J72"/>
    <mergeCell ref="A74:J74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onibus viagens</vt:lpstr>
      <vt:lpstr>onibus urbano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Cezar</dc:creator>
  <cp:lastModifiedBy>Usuario Trabalho</cp:lastModifiedBy>
  <dcterms:created xsi:type="dcterms:W3CDTF">2019-11-18T12:02:57Z</dcterms:created>
  <dcterms:modified xsi:type="dcterms:W3CDTF">2024-04-03T14:09:48Z</dcterms:modified>
</cp:coreProperties>
</file>