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/>
  <mc:AlternateContent xmlns:mc="http://schemas.openxmlformats.org/markup-compatibility/2006">
    <mc:Choice Requires="x15">
      <x15ac:absPath xmlns:x15ac="http://schemas.microsoft.com/office/spreadsheetml/2010/11/ac" url="C:\Users\flavia.schmitz\Desktop\Pregões 2025\Eletrecista\"/>
    </mc:Choice>
  </mc:AlternateContent>
  <xr:revisionPtr revIDLastSave="0" documentId="8_{56815D13-ED17-414E-B7DC-29A838015F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DRÃO" sheetId="12" r:id="rId1"/>
    <sheet name="auxiliar de limpeza - 40hs" sheetId="2" state="hidden" r:id="rId2"/>
    <sheet name="RESUMO" sheetId="3" state="hidden" r:id="rId3"/>
    <sheet name="ANEXO V" sheetId="4" state="hidden" r:id="rId4"/>
    <sheet name="Planilha de materiais" sheetId="5" state="hidden" r:id="rId5"/>
  </sheets>
  <definedNames>
    <definedName name="OLE_LINK1" localSheetId="4">'Planilha de materiais'!$A$1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6" i="12" l="1"/>
  <c r="T37" i="12"/>
  <c r="T39" i="12" s="1"/>
  <c r="U19" i="12"/>
  <c r="U18" i="12"/>
  <c r="U17" i="12"/>
  <c r="U16" i="12"/>
  <c r="S15" i="12"/>
  <c r="U15" i="12" s="1"/>
  <c r="U14" i="12"/>
  <c r="S12" i="12"/>
  <c r="U6" i="12"/>
  <c r="T12" i="12"/>
  <c r="U27" i="12" l="1"/>
  <c r="Q99" i="12" s="1"/>
  <c r="U12" i="12"/>
  <c r="U20" i="12" s="1"/>
  <c r="Q98" i="12" s="1"/>
  <c r="U8" i="12"/>
  <c r="J18" i="12"/>
  <c r="H15" i="12"/>
  <c r="H6" i="12"/>
  <c r="J5" i="12"/>
  <c r="U38" i="12" l="1"/>
  <c r="U37" i="12"/>
  <c r="U35" i="12"/>
  <c r="U34" i="12"/>
  <c r="U33" i="12"/>
  <c r="U32" i="12"/>
  <c r="U31" i="12"/>
  <c r="U43" i="12"/>
  <c r="U36" i="12"/>
  <c r="S49" i="12"/>
  <c r="Q97" i="12"/>
  <c r="J15" i="12"/>
  <c r="J6" i="12"/>
  <c r="S54" i="12" l="1"/>
  <c r="U49" i="12"/>
  <c r="I12" i="12"/>
  <c r="H12" i="12"/>
  <c r="I37" i="12"/>
  <c r="I39" i="12" s="1"/>
  <c r="J27" i="12"/>
  <c r="F99" i="12" s="1"/>
  <c r="J19" i="12"/>
  <c r="J17" i="12"/>
  <c r="J16" i="12"/>
  <c r="J14" i="12"/>
  <c r="J8" i="12"/>
  <c r="U44" i="12" l="1"/>
  <c r="U45" i="12" s="1"/>
  <c r="U46" i="12" s="1"/>
  <c r="U75" i="12" s="1"/>
  <c r="U39" i="12"/>
  <c r="U74" i="12" s="1"/>
  <c r="S56" i="12"/>
  <c r="U54" i="12"/>
  <c r="U50" i="12"/>
  <c r="U51" i="12" s="1"/>
  <c r="U76" i="12" s="1"/>
  <c r="F97" i="12"/>
  <c r="H49" i="12"/>
  <c r="J12" i="12"/>
  <c r="J20" i="12" s="1"/>
  <c r="J31" i="12"/>
  <c r="J33" i="12"/>
  <c r="J35" i="12"/>
  <c r="J38" i="12"/>
  <c r="J32" i="12"/>
  <c r="J34" i="12"/>
  <c r="J36" i="12"/>
  <c r="J37" i="12"/>
  <c r="J43" i="12"/>
  <c r="J44" i="12" s="1"/>
  <c r="U55" i="12" l="1"/>
  <c r="U56" i="12"/>
  <c r="S57" i="12"/>
  <c r="J49" i="12"/>
  <c r="H54" i="12"/>
  <c r="F98" i="12"/>
  <c r="J39" i="12"/>
  <c r="J74" i="12" s="1"/>
  <c r="J45" i="12"/>
  <c r="J46" i="12" s="1"/>
  <c r="J75" i="12" s="1"/>
  <c r="S59" i="12" l="1"/>
  <c r="U57" i="12"/>
  <c r="U58" i="12" s="1"/>
  <c r="H56" i="12"/>
  <c r="J54" i="12"/>
  <c r="S63" i="12" l="1"/>
  <c r="U59" i="12"/>
  <c r="U60" i="12" s="1"/>
  <c r="U77" i="12" s="1"/>
  <c r="J55" i="12"/>
  <c r="H57" i="12"/>
  <c r="J56" i="12"/>
  <c r="U63" i="12" l="1"/>
  <c r="S64" i="12"/>
  <c r="U64" i="12" s="1"/>
  <c r="H59" i="12"/>
  <c r="J57" i="12"/>
  <c r="J58" i="12" s="1"/>
  <c r="H43" i="2"/>
  <c r="S65" i="12" l="1"/>
  <c r="H63" i="12"/>
  <c r="H74" i="12"/>
  <c r="J59" i="12"/>
  <c r="J60" i="12"/>
  <c r="J77" i="12" s="1"/>
  <c r="G143" i="2"/>
  <c r="P44" i="2"/>
  <c r="P45" i="2" s="1"/>
  <c r="O8" i="2"/>
  <c r="O5" i="2"/>
  <c r="O6" i="2" s="1"/>
  <c r="P120" i="2"/>
  <c r="O120" i="2"/>
  <c r="N120" i="2"/>
  <c r="M120" i="2"/>
  <c r="L120" i="2"/>
  <c r="O36" i="2"/>
  <c r="O40" i="2" s="1"/>
  <c r="U65" i="12" l="1"/>
  <c r="S66" i="12"/>
  <c r="J63" i="12"/>
  <c r="H64" i="12"/>
  <c r="O9" i="2"/>
  <c r="P46" i="2"/>
  <c r="I22" i="2"/>
  <c r="I28" i="2" s="1"/>
  <c r="K120" i="2"/>
  <c r="U66" i="12" l="1"/>
  <c r="S67" i="12"/>
  <c r="J64" i="12"/>
  <c r="H65" i="12"/>
  <c r="D9" i="3"/>
  <c r="D7" i="3"/>
  <c r="E14" i="4"/>
  <c r="F14" i="4" s="1"/>
  <c r="E64" i="4"/>
  <c r="F64" i="4" s="1"/>
  <c r="E65" i="4"/>
  <c r="F65" i="4" s="1"/>
  <c r="E25" i="4"/>
  <c r="U67" i="12" l="1"/>
  <c r="S68" i="12"/>
  <c r="U68" i="12" s="1"/>
  <c r="H66" i="12"/>
  <c r="J65" i="12"/>
  <c r="E66" i="4"/>
  <c r="F66" i="4" s="1"/>
  <c r="E63" i="4"/>
  <c r="F63" i="4" s="1"/>
  <c r="E62" i="4"/>
  <c r="F62" i="4" s="1"/>
  <c r="E61" i="4"/>
  <c r="F61" i="4" s="1"/>
  <c r="E60" i="4"/>
  <c r="F60" i="4" s="1"/>
  <c r="E59" i="4"/>
  <c r="F59" i="4" s="1"/>
  <c r="E58" i="4"/>
  <c r="F58" i="4" s="1"/>
  <c r="E57" i="4"/>
  <c r="F57" i="4" s="1"/>
  <c r="E56" i="4"/>
  <c r="F56" i="4" s="1"/>
  <c r="E55" i="4"/>
  <c r="F55" i="4" s="1"/>
  <c r="E54" i="4"/>
  <c r="F54" i="4" s="1"/>
  <c r="E53" i="4"/>
  <c r="F53" i="4" s="1"/>
  <c r="E52" i="4"/>
  <c r="F52" i="4" s="1"/>
  <c r="E51" i="4"/>
  <c r="F51" i="4" s="1"/>
  <c r="E50" i="4"/>
  <c r="F50" i="4" s="1"/>
  <c r="E49" i="4"/>
  <c r="F49" i="4" s="1"/>
  <c r="E48" i="4"/>
  <c r="F48" i="4" s="1"/>
  <c r="E47" i="4"/>
  <c r="F47" i="4" s="1"/>
  <c r="E46" i="4"/>
  <c r="F46" i="4" s="1"/>
  <c r="E45" i="4"/>
  <c r="F45" i="4" s="1"/>
  <c r="E44" i="4"/>
  <c r="F44" i="4" s="1"/>
  <c r="E43" i="4"/>
  <c r="F43" i="4" s="1"/>
  <c r="E42" i="4"/>
  <c r="F42" i="4" s="1"/>
  <c r="E41" i="4"/>
  <c r="F41" i="4" s="1"/>
  <c r="AA35" i="4"/>
  <c r="AA34" i="4"/>
  <c r="AA33" i="4"/>
  <c r="AA32" i="4"/>
  <c r="AA31" i="4"/>
  <c r="E31" i="4"/>
  <c r="F31" i="4" s="1"/>
  <c r="AA30" i="4"/>
  <c r="E30" i="4"/>
  <c r="F30" i="4" s="1"/>
  <c r="AA29" i="4"/>
  <c r="E29" i="4"/>
  <c r="F29" i="4" s="1"/>
  <c r="AA28" i="4"/>
  <c r="E28" i="4"/>
  <c r="F28" i="4" s="1"/>
  <c r="AA27" i="4"/>
  <c r="E27" i="4"/>
  <c r="F27" i="4" s="1"/>
  <c r="AA26" i="4"/>
  <c r="E26" i="4"/>
  <c r="F26" i="4" s="1"/>
  <c r="AA25" i="4"/>
  <c r="F25" i="4"/>
  <c r="AA24" i="4"/>
  <c r="AA23" i="4"/>
  <c r="AA22" i="4"/>
  <c r="AA21" i="4"/>
  <c r="AA20" i="4"/>
  <c r="AA19" i="4"/>
  <c r="E19" i="4"/>
  <c r="F19" i="4" s="1"/>
  <c r="AA18" i="4"/>
  <c r="P18" i="4"/>
  <c r="E18" i="4"/>
  <c r="F18" i="4" s="1"/>
  <c r="AA17" i="4"/>
  <c r="P17" i="4"/>
  <c r="E17" i="4"/>
  <c r="F17" i="4" s="1"/>
  <c r="AA16" i="4"/>
  <c r="P16" i="4"/>
  <c r="E16" i="4"/>
  <c r="F16" i="4" s="1"/>
  <c r="AA15" i="4"/>
  <c r="P15" i="4"/>
  <c r="E15" i="4"/>
  <c r="F15" i="4" s="1"/>
  <c r="D16" i="3"/>
  <c r="H123" i="2"/>
  <c r="H60" i="2"/>
  <c r="H62" i="2" s="1"/>
  <c r="I46" i="2"/>
  <c r="I36" i="2"/>
  <c r="I35" i="2"/>
  <c r="I34" i="2"/>
  <c r="I33" i="2"/>
  <c r="I31" i="2"/>
  <c r="I24" i="2"/>
  <c r="U69" i="12" l="1"/>
  <c r="U78" i="12" s="1"/>
  <c r="U80" i="12" s="1"/>
  <c r="J66" i="12"/>
  <c r="H67" i="12"/>
  <c r="AA39" i="4"/>
  <c r="AA40" i="4" s="1"/>
  <c r="F20" i="4"/>
  <c r="F21" i="4" s="1"/>
  <c r="P19" i="4"/>
  <c r="P20" i="4" s="1"/>
  <c r="H45" i="2" s="1"/>
  <c r="I45" i="2" s="1"/>
  <c r="F9" i="3"/>
  <c r="F15" i="3" s="1"/>
  <c r="F67" i="4"/>
  <c r="F68" i="4" s="1"/>
  <c r="F32" i="4"/>
  <c r="I23" i="2"/>
  <c r="I25" i="2" s="1"/>
  <c r="I37" i="2"/>
  <c r="I133" i="2" s="1"/>
  <c r="F7" i="3" s="1"/>
  <c r="F14" i="3" s="1"/>
  <c r="U71" i="12" l="1"/>
  <c r="Q100" i="12"/>
  <c r="U83" i="12"/>
  <c r="U84" i="12" s="1"/>
  <c r="H68" i="12"/>
  <c r="J68" i="12" s="1"/>
  <c r="J67" i="12"/>
  <c r="E9" i="3"/>
  <c r="E15" i="3" s="1"/>
  <c r="F33" i="4"/>
  <c r="I43" i="2" s="1"/>
  <c r="F16" i="3"/>
  <c r="I85" i="2"/>
  <c r="I75" i="2"/>
  <c r="I60" i="2"/>
  <c r="I93" i="2"/>
  <c r="I83" i="2"/>
  <c r="I84" i="2" s="1"/>
  <c r="I59" i="2"/>
  <c r="I92" i="2"/>
  <c r="I82" i="2"/>
  <c r="I58" i="2"/>
  <c r="I91" i="2"/>
  <c r="I68" i="2"/>
  <c r="I69" i="2" s="1"/>
  <c r="I70" i="2" s="1"/>
  <c r="I57" i="2"/>
  <c r="I132" i="2"/>
  <c r="I90" i="2"/>
  <c r="I80" i="2"/>
  <c r="I56" i="2"/>
  <c r="I89" i="2"/>
  <c r="I55" i="2"/>
  <c r="I61" i="2"/>
  <c r="I54" i="2"/>
  <c r="I44" i="2"/>
  <c r="J69" i="12" l="1"/>
  <c r="J71" i="12" s="1"/>
  <c r="I47" i="2"/>
  <c r="I62" i="2"/>
  <c r="I100" i="2" s="1"/>
  <c r="E7" i="3"/>
  <c r="E14" i="3" s="1"/>
  <c r="I71" i="2"/>
  <c r="I101" i="2" s="1"/>
  <c r="I95" i="2"/>
  <c r="I76" i="2"/>
  <c r="I77" i="2" s="1"/>
  <c r="I102" i="2" s="1"/>
  <c r="I81" i="2"/>
  <c r="I86" i="2" s="1"/>
  <c r="I103" i="2" s="1"/>
  <c r="J78" i="12" l="1"/>
  <c r="U85" i="12"/>
  <c r="U86" i="12" s="1"/>
  <c r="G9" i="3"/>
  <c r="G15" i="3" s="1"/>
  <c r="I134" i="2"/>
  <c r="E16" i="3"/>
  <c r="I96" i="2"/>
  <c r="I97" i="2" s="1"/>
  <c r="I104" i="2" s="1"/>
  <c r="I106" i="2" s="1"/>
  <c r="I109" i="2" s="1"/>
  <c r="G7" i="3" l="1"/>
  <c r="G14" i="3" s="1"/>
  <c r="G16" i="3" s="1"/>
  <c r="I135" i="2"/>
  <c r="I136" i="2" s="1"/>
  <c r="I110" i="2"/>
  <c r="I111" i="2" s="1"/>
  <c r="I112" i="2" s="1"/>
  <c r="U87" i="12" l="1"/>
  <c r="I113" i="2"/>
  <c r="H7" i="3"/>
  <c r="H14" i="3" s="1"/>
  <c r="H9" i="3"/>
  <c r="H15" i="3" s="1"/>
  <c r="U89" i="12" l="1"/>
  <c r="U88" i="12"/>
  <c r="I120" i="2"/>
  <c r="I117" i="2"/>
  <c r="I116" i="2"/>
  <c r="H16" i="3"/>
  <c r="U90" i="12" l="1"/>
  <c r="U91" i="12" s="1"/>
  <c r="Q101" i="12" s="1"/>
  <c r="Q102" i="12" s="1"/>
  <c r="I123" i="2"/>
  <c r="I121" i="2"/>
  <c r="I137" i="2" s="1"/>
  <c r="Q104" i="12" l="1"/>
  <c r="Q105" i="12" s="1"/>
  <c r="I7" i="3"/>
  <c r="J7" i="3" s="1"/>
  <c r="I138" i="2"/>
  <c r="G141" i="2" s="1"/>
  <c r="I9" i="3"/>
  <c r="I15" i="3" s="1"/>
  <c r="K7" i="3" l="1"/>
  <c r="J9" i="3"/>
  <c r="G145" i="2"/>
  <c r="J15" i="3"/>
  <c r="I14" i="3"/>
  <c r="K9" i="3" l="1"/>
  <c r="G21" i="3"/>
  <c r="G20" i="3"/>
  <c r="I16" i="3"/>
  <c r="J14" i="3"/>
  <c r="J16" i="3" s="1"/>
  <c r="I20" i="3" l="1"/>
  <c r="I21" i="3"/>
  <c r="K11" i="3"/>
  <c r="I22" i="3" l="1"/>
  <c r="J50" i="12"/>
  <c r="J51" i="12" s="1"/>
  <c r="J76" i="12" s="1"/>
  <c r="J80" i="12" s="1"/>
  <c r="F100" i="12" l="1"/>
  <c r="J83" i="12"/>
  <c r="J84" i="12" l="1"/>
  <c r="J85" i="12" s="1"/>
  <c r="J86" i="12" l="1"/>
  <c r="J87" i="12" s="1"/>
  <c r="J88" i="12" l="1"/>
  <c r="J89" i="12"/>
  <c r="J90" i="12" l="1"/>
  <c r="J91" i="12" s="1"/>
  <c r="F101" i="12" s="1"/>
  <c r="F102" i="12" s="1"/>
  <c r="F104" i="12" l="1"/>
  <c r="F105" i="12" s="1"/>
</calcChain>
</file>

<file path=xl/sharedStrings.xml><?xml version="1.0" encoding="utf-8"?>
<sst xmlns="http://schemas.openxmlformats.org/spreadsheetml/2006/main" count="850" uniqueCount="335">
  <si>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</si>
  <si>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</si>
  <si>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</si>
  <si>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</si>
  <si>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</si>
  <si>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C</t>
  </si>
  <si>
    <t>D</t>
  </si>
  <si>
    <t>Número de meses de execução contratual</t>
  </si>
  <si>
    <t>Dados complementares para composição dos custos referente à mão de obra</t>
  </si>
  <si>
    <t>Tipo de serviço</t>
  </si>
  <si>
    <t>Data base da categoria (dia/mês/ano)</t>
  </si>
  <si>
    <t>1º de janeiro de 2021</t>
  </si>
  <si>
    <t xml:space="preserve">                                                                     MÓDULO 1: COMPOSIÇÃO DA REMUNERAÇÃO</t>
  </si>
  <si>
    <t xml:space="preserve">Composição da Remuneração </t>
  </si>
  <si>
    <t>Nº Auxiliares</t>
  </si>
  <si>
    <t>Nº Horas/Mês</t>
  </si>
  <si>
    <t>%</t>
  </si>
  <si>
    <t xml:space="preserve">Valor (R$) </t>
  </si>
  <si>
    <t>Outros (especificar)</t>
  </si>
  <si>
    <t>Total da Remuneração</t>
  </si>
  <si>
    <t>MÓDULO 2 : BENEFÍCIOS MENSAIS E DIÁRIOS</t>
  </si>
  <si>
    <t>Benefícios Mensais e Diários</t>
  </si>
  <si>
    <t>Valor unit.(R$)</t>
  </si>
  <si>
    <t>Valor (R$)</t>
  </si>
  <si>
    <r>
      <rPr>
        <b/>
        <sz val="10"/>
        <color theme="1"/>
        <rFont val="Arial"/>
        <family val="2"/>
      </rPr>
      <t xml:space="preserve">Transporte                                              </t>
    </r>
    <r>
      <rPr>
        <b/>
        <sz val="10"/>
        <color rgb="FF000080"/>
        <rFont val="Arial"/>
        <family val="2"/>
      </rPr>
      <t xml:space="preserve"> </t>
    </r>
    <r>
      <rPr>
        <b/>
        <sz val="10"/>
        <color rgb="FF333399"/>
        <rFont val="Arial"/>
        <family val="2"/>
      </rPr>
      <t>Cálculo do valor: [(2xVTx21) – (6%xSB)]</t>
    </r>
  </si>
  <si>
    <t>-</t>
  </si>
  <si>
    <t xml:space="preserve">      A.2) Quantidade de passagens por dia por empregado:</t>
  </si>
  <si>
    <r>
      <rPr>
        <b/>
        <sz val="10"/>
        <color theme="1"/>
        <rFont val="Arial"/>
        <family val="2"/>
      </rPr>
      <t xml:space="preserve">Auxílio-alimentação  (vales, cesta básica, entre outros) </t>
    </r>
    <r>
      <rPr>
        <b/>
        <sz val="8"/>
        <color rgb="FF000080"/>
        <rFont val="Arial"/>
        <family val="2"/>
      </rPr>
      <t>Cálculo do valor = [(21xVA)x(1-</t>
    </r>
    <r>
      <rPr>
        <b/>
        <sz val="10"/>
        <color rgb="FF000080"/>
        <rFont val="Arial"/>
        <family val="2"/>
      </rPr>
      <t>0,19</t>
    </r>
    <r>
      <rPr>
        <b/>
        <sz val="8"/>
        <color rgb="FF000080"/>
        <rFont val="Arial"/>
        <family val="2"/>
      </rPr>
      <t>)]</t>
    </r>
  </si>
  <si>
    <r>
      <rPr>
        <b/>
        <sz val="9"/>
        <color theme="1"/>
        <rFont val="Arial"/>
        <family val="2"/>
      </rPr>
      <t xml:space="preserve">      B.1) Valor do auxílio-alimentação </t>
    </r>
    <r>
      <rPr>
        <b/>
        <sz val="9"/>
        <color rgb="FF000080"/>
        <rFont val="Arial"/>
        <family val="2"/>
      </rPr>
      <t>(cláusula 18 da CCT )</t>
    </r>
    <r>
      <rPr>
        <b/>
        <sz val="9"/>
        <color theme="1"/>
        <rFont val="Arial"/>
        <family val="2"/>
      </rPr>
      <t xml:space="preserve">: </t>
    </r>
  </si>
  <si>
    <t>Assistência médica e familiar</t>
  </si>
  <si>
    <t>Auxílio-creche</t>
  </si>
  <si>
    <t>E</t>
  </si>
  <si>
    <t xml:space="preserve">Plano de Benefício Social Familiar   </t>
  </si>
  <si>
    <t>F</t>
  </si>
  <si>
    <t>Total de Benefícios Mensais e Diários</t>
  </si>
  <si>
    <t>Nota: o valor informado deverá ser o custo real do insumo (descontado o valor eventualmente pago pelo empregado).</t>
  </si>
  <si>
    <t>MÓDULO 3: INSUMOS DIVERSOS</t>
  </si>
  <si>
    <t>Insumos diversos</t>
  </si>
  <si>
    <t>Uniformes</t>
  </si>
  <si>
    <t xml:space="preserve">Materiais </t>
  </si>
  <si>
    <t>Equipamentos</t>
  </si>
  <si>
    <t>Outros - Depreciação de equipamentos</t>
  </si>
  <si>
    <t>Total de Insumos Diversos</t>
  </si>
  <si>
    <t>Nota: Valores mensais por empregado.</t>
  </si>
  <si>
    <t xml:space="preserve">                                                                  MÓDULO 4: ENCARGOS SOCIAIS E TRABALHISTAS</t>
  </si>
  <si>
    <t>Submódulo 4.1 - Encargos Previdenciários, FGTS e outras contribuições:</t>
  </si>
  <si>
    <t>4.1</t>
  </si>
  <si>
    <t>Encargos Previdenciários e FGTS</t>
  </si>
  <si>
    <t>Percentual (%)</t>
  </si>
  <si>
    <t>INSS</t>
  </si>
  <si>
    <t>SESI ou SESC</t>
  </si>
  <si>
    <t>SENAI ou SENAC</t>
  </si>
  <si>
    <t>INCRA</t>
  </si>
  <si>
    <t>Salário educação</t>
  </si>
  <si>
    <t>FGTS</t>
  </si>
  <si>
    <t>G</t>
  </si>
  <si>
    <r>
      <rPr>
        <b/>
        <sz val="10"/>
        <color theme="1"/>
        <rFont val="Arial"/>
        <family val="2"/>
      </rPr>
      <t xml:space="preserve">Seguro Acidente de Trabalho =                          SAT = (RAT x FAP)
</t>
    </r>
    <r>
      <rPr>
        <sz val="10"/>
        <color rgb="FF333399"/>
        <rFont val="Arial"/>
        <family val="2"/>
      </rPr>
      <t>SAT =</t>
    </r>
    <r>
      <rPr>
        <b/>
        <sz val="10"/>
        <color rgb="FF333399"/>
        <rFont val="Arial"/>
        <family val="2"/>
      </rPr>
      <t xml:space="preserve"> </t>
    </r>
    <r>
      <rPr>
        <b/>
        <sz val="8"/>
        <color rgb="FF333399"/>
        <rFont val="Arial"/>
        <family val="2"/>
      </rPr>
      <t>( %Riscos Ambientais do Trabalho x Fator Acidentário de Prevenção de cada empresa )</t>
    </r>
  </si>
  <si>
    <t>RAT =</t>
  </si>
  <si>
    <t xml:space="preserve"> FAP =</t>
  </si>
  <si>
    <t>H</t>
  </si>
  <si>
    <t>SEBRAE</t>
  </si>
  <si>
    <t>TOTAL</t>
  </si>
  <si>
    <t>Nota (1) - Os percentuais dos encargos previdenciários do FGTS e demais contribuições são aqueles estabelecidos pela legislação vigente.
Nota (2) - Percentuais incidentes sobre a remuneração.</t>
  </si>
  <si>
    <t>Submódulo 4.2 - 13º (décimo terceiro) Salário</t>
  </si>
  <si>
    <t>4.2</t>
  </si>
  <si>
    <t>13º (décimo terceiro) Salário</t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</si>
  <si>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rgb="FF333399"/>
        <rFont val="Arial"/>
        <family val="2"/>
      </rPr>
      <t xml:space="preserve"> "Obrigatória" a cotação de 8,33% (= Rem./12)sobre o valor do Módulo 1-Composição da Remuneração, conforme art. 19-A e Anexo VII da IN 2/08.      </t>
    </r>
  </si>
  <si>
    <t>Subtotal</t>
  </si>
  <si>
    <t xml:space="preserve">Incidência dos encargos previstos no submódulo 4.1 sobre o 13º (décimo terceiro) salário </t>
  </si>
  <si>
    <t>Submódulo 4.3 - Afastamento Maternidade</t>
  </si>
  <si>
    <t>4.3</t>
  </si>
  <si>
    <t>Afastamento Maternidade</t>
  </si>
  <si>
    <t xml:space="preserve">Incidência dos encargos do submódulo 4.1 sobre o Afastamento Maternidade </t>
  </si>
  <si>
    <t>Submódulo 4.4 - Provisão para rescisão</t>
  </si>
  <si>
    <t>4.4</t>
  </si>
  <si>
    <t>Provisão para rescisão</t>
  </si>
  <si>
    <r>
      <rPr>
        <b/>
        <sz val="10"/>
        <color theme="1"/>
        <rFont val="Arial"/>
        <family val="2"/>
      </rPr>
      <t xml:space="preserve">Aviso-prévio indenizado    </t>
    </r>
    <r>
      <rPr>
        <b/>
        <sz val="10"/>
        <color rgb="FF993300"/>
        <rFont val="Arial"/>
        <family val="2"/>
      </rPr>
      <t xml:space="preserve"> </t>
    </r>
    <r>
      <rPr>
        <b/>
        <sz val="10"/>
        <color rgb="FF333399"/>
        <rFont val="Arial"/>
        <family val="2"/>
      </rPr>
      <t>Cálculo do valor = (Rem/12)x(nº de dias de indenização/30)x 5% de rotatividade anual - utilizado 33 dias para Limpeza</t>
    </r>
  </si>
  <si>
    <t>Incidência do FGTS sobre aviso-prévio indenizado</t>
  </si>
  <si>
    <t>Incidência dos encargos do submódulo 4.1 sobre o aviso-prévio trabalhado</t>
  </si>
  <si>
    <r>
      <rPr>
        <b/>
        <sz val="10"/>
        <color theme="1"/>
        <rFont val="Arial"/>
        <family val="2"/>
      </rPr>
      <t xml:space="preserve">Multa sobre FGTS e contribuições sociais sobre o aviso-prévio trabalhado                                         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rgb="FF000080"/>
        <rFont val="Arial"/>
        <family val="2"/>
      </rPr>
      <t>Cálculo do valor: Rem(40% = 10%) x 8% x 100%</t>
    </r>
  </si>
  <si>
    <t>Submódulo 4.5 - Custo de reposição do profissional ausente</t>
  </si>
  <si>
    <t>4.5</t>
  </si>
  <si>
    <t>Composição do custo de reposição do profissional ausente</t>
  </si>
  <si>
    <t>Incidência dos encargos do submódulo 4.1 sobre o custo de reposição do profissional ausente</t>
  </si>
  <si>
    <t>Quadro-Resumo - Módulo 4 - Encargos sociais e trabalhistas</t>
  </si>
  <si>
    <t>Módulo 4 - Encargos sociais e trabalhistas</t>
  </si>
  <si>
    <t>Encargos previdenciários, FGTS e outras contribuições</t>
  </si>
  <si>
    <t xml:space="preserve">13º (décimo terceiro) salário </t>
  </si>
  <si>
    <t>Afastamento maternidade</t>
  </si>
  <si>
    <t>Custo de rescisão</t>
  </si>
  <si>
    <t>Custo de reposição do profissional ausente</t>
  </si>
  <si>
    <t>4.6</t>
  </si>
  <si>
    <t>MÓDULO 5 - CUSTOS INDIRETOS, LUCRO E TRIBUTOS</t>
  </si>
  <si>
    <t xml:space="preserve">Custos indiretos, lucro e tributos </t>
  </si>
  <si>
    <t>BASE DE CÁLCULO DOS CUSTOS INDIRETOS  = (Total da Remuneração + Total dos Benefícios Mensais e Diários + Total de Insumos Diversos + Total do Quadro-resumo do Módulo 4 de Encargos Sociais e Trabalhistas)</t>
  </si>
  <si>
    <t>Custos indiretos</t>
  </si>
  <si>
    <t>BASE DE CÁLCULO DO LUCRO = (Total da Remuneração + Total dos Benefícios Mensais e Diários + Total de Insumos Diversos + Total do Quadro-resumo do Módulo 4 de Encargos Sociais e Trabalhistas + Custos Indiretos)</t>
  </si>
  <si>
    <t>Lucro</t>
  </si>
  <si>
    <t xml:space="preserve">BASE DE CÁLCULO DOS TRIBUTOS </t>
  </si>
  <si>
    <t>Tributos</t>
  </si>
  <si>
    <t xml:space="preserve">C.1    Tributos Federais (especificar)           </t>
  </si>
  <si>
    <t>C.2   Tributos Estaduais (especificar)</t>
  </si>
  <si>
    <t>C.3   Tributos Municipais (especificar):</t>
  </si>
  <si>
    <t xml:space="preserve">Percentual Total e Valor Total de Tributos  </t>
  </si>
  <si>
    <t>Cálculo dos Tributos</t>
  </si>
  <si>
    <t xml:space="preserve">                                         Base de Cálculo para os Tributos</t>
  </si>
  <si>
    <t xml:space="preserve"> = ( --------------------------------------------------------- ) x Alíquota do Tributo</t>
  </si>
  <si>
    <t xml:space="preserve">                                        1 - (Total de Tributos em % dividido por 100)</t>
  </si>
  <si>
    <t>Nota (1): Custos Indiretos, Lucro e Tributos por empregado.
Nota (2): O valor referente a tributos é obtido aplicando-se o percentual sobre o valor do faturamento.</t>
  </si>
  <si>
    <t>Mão de obra vinculada à execução contratual (valor por empregado)</t>
  </si>
  <si>
    <t>Módulo 1 - Composição da remuneração</t>
  </si>
  <si>
    <t>Módulo 2 - Benefícios mensais e diários</t>
  </si>
  <si>
    <t>Módulo 3 - Insumo diversos (uniformes, materiais, equipamentos e outros)</t>
  </si>
  <si>
    <t>Subtotal (A + B + C + D)</t>
  </si>
  <si>
    <t>Módulo 5 - Custos indiretos, lucro e tributos</t>
  </si>
  <si>
    <t>Valor total por  todos os empregado</t>
  </si>
  <si>
    <t>Valor mensal do serviço</t>
  </si>
  <si>
    <t>Número de meses do contrato</t>
  </si>
  <si>
    <t>QUANTIDADE DE PESSOAL ALOCADO NA EXECUÇÃO CONTRATUAL (inciso V do art. 21 da IN SLTI nº 2/2008)</t>
  </si>
  <si>
    <t>Tipo de Mão de Obra</t>
  </si>
  <si>
    <t>Quantidade de Pessoal</t>
  </si>
  <si>
    <t>MATERIAIS, MÁQUINAS E EQUIPAMENTOS ALOCADOS NA EXECUÇÃO CONTRATUAL (inciso VI, art. 21 da IN SLTI nº 2/2008)</t>
  </si>
  <si>
    <t>Especificação dos Materiais/Máquinas/Equipamentos</t>
  </si>
  <si>
    <t xml:space="preserve">Quantidade </t>
  </si>
  <si>
    <t xml:space="preserve">Licitação nº: </t>
  </si>
  <si>
    <r>
      <rPr>
        <b/>
        <sz val="11"/>
        <color theme="1"/>
        <rFont val="Arial"/>
        <family val="2"/>
      </rPr>
      <t xml:space="preserve">ANEXO   III </t>
    </r>
    <r>
      <rPr>
        <b/>
        <u/>
        <sz val="11"/>
        <color theme="1"/>
        <rFont val="Arial"/>
        <family val="2"/>
      </rPr>
      <t>- A</t>
    </r>
    <r>
      <rPr>
        <b/>
        <sz val="11"/>
        <color theme="1"/>
        <rFont val="Arial"/>
        <family val="2"/>
      </rPr>
      <t xml:space="preserve"> 
MÃO DE OBRA                                                                                                                                                                                                                                                                                         
                                                                                                                                                                                                       Mão de obra vinculada à execução contratual
</t>
    </r>
  </si>
  <si>
    <r>
      <rPr>
        <b/>
        <sz val="10"/>
        <color theme="1"/>
        <rFont val="Arial"/>
        <family val="2"/>
      </rPr>
      <t xml:space="preserve">Transporte                                              </t>
    </r>
    <r>
      <rPr>
        <b/>
        <sz val="10"/>
        <color rgb="FF000080"/>
        <rFont val="Arial"/>
        <family val="2"/>
      </rPr>
      <t xml:space="preserve"> </t>
    </r>
    <r>
      <rPr>
        <b/>
        <sz val="10"/>
        <color rgb="FF333399"/>
        <rFont val="Arial"/>
        <family val="2"/>
      </rPr>
      <t>Cálculo do valor: [(2xVTx21) – (6%xSB)]</t>
    </r>
  </si>
  <si>
    <r>
      <rPr>
        <b/>
        <sz val="9"/>
        <color theme="1"/>
        <rFont val="Arial"/>
        <family val="2"/>
      </rPr>
      <t xml:space="preserve">      A.1) Valor da passagem do transporte coletivo no município de prestação dos serviços:</t>
    </r>
    <r>
      <rPr>
        <b/>
        <sz val="9"/>
        <color rgb="FFFF0000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</si>
  <si>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Auxílio-alimentação  (vales, cesta básica, entre outros) </t>
    </r>
    <r>
      <rPr>
        <b/>
        <sz val="8"/>
        <color rgb="FF000080"/>
        <rFont val="Arial"/>
        <family val="2"/>
      </rPr>
      <t>Cálculo do valor = [(21xVA)x(1-</t>
    </r>
    <r>
      <rPr>
        <b/>
        <sz val="10"/>
        <color rgb="FF000080"/>
        <rFont val="Arial"/>
        <family val="2"/>
      </rPr>
      <t>0,19</t>
    </r>
    <r>
      <rPr>
        <b/>
        <sz val="8"/>
        <color rgb="FF000080"/>
        <rFont val="Arial"/>
        <family val="2"/>
      </rPr>
      <t>)]</t>
    </r>
  </si>
  <si>
    <r>
      <rPr>
        <b/>
        <sz val="9"/>
        <color theme="1"/>
        <rFont val="Arial"/>
        <family val="2"/>
      </rPr>
      <t xml:space="preserve">      B.1) Valor do auxílio-alimentação </t>
    </r>
    <r>
      <rPr>
        <b/>
        <sz val="9"/>
        <color rgb="FF000080"/>
        <rFont val="Arial"/>
        <family val="2"/>
      </rPr>
      <t>(cláusula 18 da CCT )</t>
    </r>
    <r>
      <rPr>
        <b/>
        <sz val="9"/>
        <color theme="1"/>
        <rFont val="Arial"/>
        <family val="2"/>
      </rPr>
      <t xml:space="preserve">: </t>
    </r>
  </si>
  <si>
    <r>
      <rPr>
        <b/>
        <sz val="10"/>
        <color theme="1"/>
        <rFont val="Arial"/>
        <family val="2"/>
      </rPr>
      <t xml:space="preserve">Seguro Acidente de Trabalho =                          SAT = (RAT x FAP)
</t>
    </r>
    <r>
      <rPr>
        <sz val="10"/>
        <color rgb="FF333399"/>
        <rFont val="Arial"/>
        <family val="2"/>
      </rPr>
      <t>SAT =</t>
    </r>
    <r>
      <rPr>
        <b/>
        <sz val="10"/>
        <color rgb="FF333399"/>
        <rFont val="Arial"/>
        <family val="2"/>
      </rPr>
      <t xml:space="preserve"> </t>
    </r>
    <r>
      <rPr>
        <b/>
        <sz val="8"/>
        <color rgb="FF333399"/>
        <rFont val="Arial"/>
        <family val="2"/>
      </rPr>
      <t>( %Riscos Ambientais do Trabalho x Fator Acidentário de Prevenção de cada empresa )</t>
    </r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</si>
  <si>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rgb="FF333399"/>
        <rFont val="Arial"/>
        <family val="2"/>
      </rPr>
      <t xml:space="preserve"> "Obrigatória" a cotação de 8,33% (= Rem./12)sobre o valor do Módulo 1-Composição da Remuneração, conforme art. 19-A e Anexo VII da IN 2/08.      </t>
    </r>
  </si>
  <si>
    <r>
      <rPr>
        <b/>
        <sz val="10"/>
        <color theme="1"/>
        <rFont val="Arial"/>
        <family val="2"/>
      </rPr>
      <t xml:space="preserve">Afastamento maternidade             </t>
    </r>
    <r>
      <rPr>
        <b/>
        <sz val="10"/>
        <color rgb="FF993300"/>
        <rFont val="Arial"/>
        <family val="2"/>
      </rPr>
      <t xml:space="preserve"> </t>
    </r>
    <r>
      <rPr>
        <b/>
        <sz val="10"/>
        <color rgb="FF333399"/>
        <rFont val="Arial"/>
        <family val="2"/>
      </rPr>
      <t>Cálculo do valor = {[(Rem+1/3Rem)/12]x(4/12)}x2%</t>
    </r>
  </si>
  <si>
    <r>
      <rPr>
        <b/>
        <sz val="10"/>
        <color theme="1"/>
        <rFont val="Arial"/>
        <family val="2"/>
      </rPr>
      <t xml:space="preserve">Aviso-prévio indenizado    </t>
    </r>
    <r>
      <rPr>
        <b/>
        <sz val="10"/>
        <color rgb="FF993300"/>
        <rFont val="Arial"/>
        <family val="2"/>
      </rPr>
      <t xml:space="preserve"> </t>
    </r>
    <r>
      <rPr>
        <b/>
        <sz val="10"/>
        <color rgb="FF333399"/>
        <rFont val="Arial"/>
        <family val="2"/>
      </rPr>
      <t>Cálculo do valor = (Rem/12)x(nº de dias de indenização/30)x 5% de rotatividade anual - utilizado 33 dias para Limpeza</t>
    </r>
  </si>
  <si>
    <r>
      <rPr>
        <b/>
        <sz val="10"/>
        <color theme="1"/>
        <rFont val="Arial"/>
        <family val="2"/>
      </rPr>
      <t xml:space="preserve">Multa sobre FGTS e contribuições sociais sobre o aviso-prévio indenizado                            </t>
    </r>
    <r>
      <rPr>
        <b/>
        <sz val="10"/>
        <color rgb="FF000080"/>
        <rFont val="Arial"/>
        <family val="2"/>
      </rPr>
      <t>Cálculo do valor: Rem (50% x 8% x 5%)</t>
    </r>
  </si>
  <si>
    <r>
      <rPr>
        <b/>
        <sz val="10"/>
        <color theme="1"/>
        <rFont val="Arial"/>
        <family val="2"/>
      </rPr>
      <t xml:space="preserve">Aviso-previo trabalhado               </t>
    </r>
    <r>
      <rPr>
        <b/>
        <sz val="10"/>
        <color rgb="FF993300"/>
        <rFont val="Arial"/>
        <family val="2"/>
      </rPr>
      <t xml:space="preserve">    </t>
    </r>
    <r>
      <rPr>
        <b/>
        <sz val="10"/>
        <color rgb="FF333399"/>
        <rFont val="Arial"/>
        <family val="2"/>
      </rPr>
      <t xml:space="preserve"> 
Cálculo do valor= [(Rem/30)x7]/</t>
    </r>
    <r>
      <rPr>
        <b/>
        <sz val="12"/>
        <color rgb="FF333399"/>
        <rFont val="Arial"/>
        <family val="2"/>
      </rPr>
      <t>12</t>
    </r>
    <r>
      <rPr>
        <b/>
        <sz val="10"/>
        <color rgb="FF333399"/>
        <rFont val="Arial"/>
        <family val="2"/>
      </rPr>
      <t xml:space="preserve"> meses do contrato</t>
    </r>
  </si>
  <si>
    <r>
      <rPr>
        <b/>
        <sz val="10"/>
        <color theme="1"/>
        <rFont val="Arial"/>
        <family val="2"/>
      </rPr>
      <t xml:space="preserve">Multa sobre FGTS e contribuições sociais sobre o aviso-prévio trabalhado                                         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color rgb="FF000080"/>
        <rFont val="Arial"/>
        <family val="2"/>
      </rPr>
      <t>Cálculo do valor: Rem(40% = 10%) x 8% x 100%</t>
    </r>
  </si>
  <si>
    <r>
      <rPr>
        <b/>
        <sz val="10"/>
        <color theme="1"/>
        <rFont val="Arial"/>
        <family val="2"/>
      </rPr>
      <t xml:space="preserve">Férias e terço constitucional de férias </t>
    </r>
    <r>
      <rPr>
        <b/>
        <sz val="10"/>
        <color rgb="FF000080"/>
        <rFont val="Arial"/>
        <family val="2"/>
      </rPr>
      <t xml:space="preserve">  Cálculo do valor = [(Rem/12) + (Rem/3)]/12</t>
    </r>
  </si>
  <si>
    <r>
      <rPr>
        <b/>
        <sz val="10"/>
        <color theme="1"/>
        <rFont val="Arial"/>
        <family val="2"/>
      </rPr>
      <t xml:space="preserve">Ausência por doença                          </t>
    </r>
    <r>
      <rPr>
        <b/>
        <sz val="10"/>
        <color rgb="FF333399"/>
        <rFont val="Arial"/>
        <family val="2"/>
      </rPr>
      <t>Cálculo do valor = [(Rem/30)x5dias]/12</t>
    </r>
  </si>
  <si>
    <r>
      <rPr>
        <b/>
        <sz val="10"/>
        <color theme="1"/>
        <rFont val="Arial"/>
        <family val="2"/>
      </rPr>
      <t xml:space="preserve">Licença-paternidade                          </t>
    </r>
    <r>
      <rPr>
        <b/>
        <sz val="10"/>
        <color rgb="FF333399"/>
        <rFont val="Arial"/>
        <family val="2"/>
      </rPr>
      <t>Cálculo do valor = {[(Rem/30)x5dias]/12}x1,5%</t>
    </r>
  </si>
  <si>
    <r>
      <rPr>
        <b/>
        <sz val="10"/>
        <color theme="1"/>
        <rFont val="Arial"/>
        <family val="2"/>
      </rPr>
      <t xml:space="preserve">Ausências legais                               </t>
    </r>
    <r>
      <rPr>
        <b/>
        <sz val="10"/>
        <color rgb="FF333399"/>
        <rFont val="Arial"/>
        <family val="2"/>
      </rPr>
      <t xml:space="preserve"> Cálculo do valor = [(Rem/30)x2,96dias]/12</t>
    </r>
  </si>
  <si>
    <r>
      <rPr>
        <b/>
        <sz val="10"/>
        <color theme="1"/>
        <rFont val="Arial"/>
        <family val="2"/>
      </rPr>
      <t xml:space="preserve">Ausência por acidente de trabalho                                                                          </t>
    </r>
    <r>
      <rPr>
        <b/>
        <sz val="10"/>
        <color rgb="FF333399"/>
        <rFont val="Arial"/>
        <family val="2"/>
      </rPr>
      <t>Cálculo do valor  = {[(Rem/30)x</t>
    </r>
    <r>
      <rPr>
        <b/>
        <sz val="12"/>
        <color rgb="FF333399"/>
        <rFont val="Arial"/>
        <family val="2"/>
      </rPr>
      <t>15</t>
    </r>
    <r>
      <rPr>
        <b/>
        <sz val="10"/>
        <color rgb="FF333399"/>
        <rFont val="Arial"/>
        <family val="2"/>
      </rPr>
      <t xml:space="preserve">dias]/12}x0,78% </t>
    </r>
  </si>
  <si>
    <r>
      <rPr>
        <sz val="10"/>
        <color theme="1"/>
        <rFont val="Arial"/>
        <family val="2"/>
      </rPr>
      <t xml:space="preserve">  </t>
    </r>
    <r>
      <rPr>
        <b/>
        <sz val="10"/>
        <color theme="1"/>
        <rFont val="Arial"/>
        <family val="2"/>
      </rPr>
      <t>a) Cofins</t>
    </r>
  </si>
  <si>
    <r>
      <rPr>
        <sz val="10"/>
        <color theme="1"/>
        <rFont val="Arial"/>
        <family val="2"/>
      </rPr>
      <t xml:space="preserve">  </t>
    </r>
    <r>
      <rPr>
        <b/>
        <sz val="10"/>
        <color theme="1"/>
        <rFont val="Arial"/>
        <family val="2"/>
      </rPr>
      <t>b) PIS</t>
    </r>
  </si>
  <si>
    <r>
      <rPr>
        <sz val="10"/>
        <color theme="1"/>
        <rFont val="Arial"/>
        <family val="2"/>
      </rPr>
      <t xml:space="preserve">  </t>
    </r>
    <r>
      <rPr>
        <b/>
        <sz val="10"/>
        <color theme="1"/>
        <rFont val="Arial"/>
        <family val="2"/>
      </rPr>
      <t xml:space="preserve">a) ISS                                               </t>
    </r>
  </si>
  <si>
    <r>
      <rPr>
        <b/>
        <sz val="12"/>
        <color theme="1"/>
        <rFont val="Arial"/>
        <family val="2"/>
      </rPr>
      <t>ANEXO  III</t>
    </r>
    <r>
      <rPr>
        <b/>
        <u/>
        <sz val="12"/>
        <color theme="1"/>
        <rFont val="Arial"/>
        <family val="2"/>
      </rPr>
      <t xml:space="preserve"> - B
</t>
    </r>
    <r>
      <rPr>
        <b/>
        <sz val="11"/>
        <color theme="1"/>
        <rFont val="Arial"/>
        <family val="2"/>
      </rPr>
      <t xml:space="preserve">Quadro-Resumo do custo por empregado
</t>
    </r>
  </si>
  <si>
    <r>
      <rPr>
        <b/>
        <sz val="14"/>
        <color theme="1"/>
        <rFont val="Arial"/>
        <family val="2"/>
      </rPr>
      <t xml:space="preserve">Valor global da proposta </t>
    </r>
    <r>
      <rPr>
        <b/>
        <sz val="10"/>
        <color theme="1"/>
        <rFont val="Arial"/>
        <family val="2"/>
      </rPr>
      <t>(valor mensal do serviço x nº de meses do contrato)</t>
    </r>
  </si>
  <si>
    <t>ANEXO XIII - RESUMOS</t>
  </si>
  <si>
    <t>PLANILHAS DE CUSTOS E DE FORMAÇÃO DE PREÇOS</t>
  </si>
  <si>
    <t>Horas Semanal</t>
  </si>
  <si>
    <t>Postos</t>
  </si>
  <si>
    <t>Módulo 1: Composição da Remuneração</t>
  </si>
  <si>
    <t>Módulo 2: Benefícios Mensais e Diários</t>
  </si>
  <si>
    <t>Módulo 3: Insumos Diversos</t>
  </si>
  <si>
    <t>Módulo 4: Encargos Sociais e Trabalhistas</t>
  </si>
  <si>
    <t>Módulo 5: Custos Indiretos , Lucro e Tributos</t>
  </si>
  <si>
    <t>Valor Mensal por posto (unidade)</t>
  </si>
  <si>
    <t>Total Mensal</t>
  </si>
  <si>
    <t>40hs</t>
  </si>
  <si>
    <t>TOTAL MENSAL DOS SERVIÇOS</t>
  </si>
  <si>
    <t>N°</t>
  </si>
  <si>
    <t>Função</t>
  </si>
  <si>
    <t>Horas Mês</t>
  </si>
  <si>
    <t>Efetivo</t>
  </si>
  <si>
    <t>1.1</t>
  </si>
  <si>
    <t>1.3</t>
  </si>
  <si>
    <t xml:space="preserve">Totais: </t>
  </si>
  <si>
    <t>QUADRO RESUMO DO CONTRATO</t>
  </si>
  <si>
    <t>Serviço</t>
  </si>
  <si>
    <t>Valor Mensal por Unidade de Serviço</t>
  </si>
  <si>
    <t>Quantidade de Unidade de Serviços</t>
  </si>
  <si>
    <t>Valor Mensal do Contrato</t>
  </si>
  <si>
    <t>ANEXO V</t>
  </si>
  <si>
    <t>PLANILHA DE QUANTIDADES E ORÇAMENTO DE EQUIPAMENTOS, UNIFORMES E MATERIAIS</t>
  </si>
  <si>
    <t>Instruções:</t>
  </si>
  <si>
    <t>As quantidades eventualmente preenchidas nestas planilhas são apenas as estimadas.</t>
  </si>
  <si>
    <t>As quantidades referem-se ao necessário para os 12(doze) meses de contrato.</t>
  </si>
  <si>
    <t>Deve-se descrever todos os uniformes/materiais/equipamentos necessários à consecução do serviço.</t>
  </si>
  <si>
    <t>MÓDULO 3 – UNIFORMES, MATERIAIS E EQUIPAMENTOS</t>
  </si>
  <si>
    <t xml:space="preserve">UNIFORMES SERVENTES DE LIMPEZA </t>
  </si>
  <si>
    <t>Qtde</t>
  </si>
  <si>
    <t>Descrição</t>
  </si>
  <si>
    <t>Custo unitário</t>
  </si>
  <si>
    <t>Vida útil (meses)</t>
  </si>
  <si>
    <t>Custo anual (R$)</t>
  </si>
  <si>
    <t>Custo mensal (R$)</t>
  </si>
  <si>
    <t>EQUIPAMENTOS - SERVENTES DE LIMPEZA</t>
  </si>
  <si>
    <t>EQUIPAMENTOS - AUXILIAR DE MANUTENÇÃO PREDIAL</t>
  </si>
  <si>
    <t>Calça de abrigo</t>
  </si>
  <si>
    <t>12</t>
  </si>
  <si>
    <t>Custo Unitário</t>
  </si>
  <si>
    <t>Camiseta de manga curta</t>
  </si>
  <si>
    <t>Aspirador de pó e líquidos, com potência de, no mínimo, 1200W</t>
  </si>
  <si>
    <t>Aparadora de grama com fio de nylon, com potência de, no mínimo, 1000 W</t>
  </si>
  <si>
    <t>Camiseta de manga longa</t>
  </si>
  <si>
    <t>Mangueira plástica de 20 m para lavagem</t>
  </si>
  <si>
    <t>Cavadeira articulada com cabo de madeira</t>
  </si>
  <si>
    <t>Blusão de moletom</t>
  </si>
  <si>
    <t>Escadas cinco degraus</t>
  </si>
  <si>
    <t>Vassoura de aço com cabo de madeira</t>
  </si>
  <si>
    <t>Par de Botinas/Sapatos PU</t>
  </si>
  <si>
    <t>Escada nove degraus</t>
  </si>
  <si>
    <t>Garfo para jardinagem com cabo de madeira</t>
  </si>
  <si>
    <t>Crachá de identificação</t>
  </si>
  <si>
    <t>Custo Total Mensal</t>
  </si>
  <si>
    <t>Pá de corte com cabo de madeira</t>
  </si>
  <si>
    <t xml:space="preserve"> </t>
  </si>
  <si>
    <t>Custo Unitário Mensal</t>
  </si>
  <si>
    <t>Pá de concha com cabo de madeira</t>
  </si>
  <si>
    <t>arredondamento 2 casas após a vírgula</t>
  </si>
  <si>
    <t>Picareta com cabo de madeira</t>
  </si>
  <si>
    <t>Alicate de pressão 10”</t>
  </si>
  <si>
    <t>UNIFORMES COPEIRO</t>
  </si>
  <si>
    <t>Furadeira de impacto com potência de, no mínimo, 550W</t>
  </si>
  <si>
    <t>Serrote universal de dentes finos</t>
  </si>
  <si>
    <t>Trena simples de 5 m</t>
  </si>
  <si>
    <t>Serra tico tico, com alimentação elétrica e potência mínima de 400W</t>
  </si>
  <si>
    <t>Serra circular, com alimentação elétrica e potência mínima de 1400W;</t>
  </si>
  <si>
    <t>Roçadeira à gasolina, com potência mínima de 1,25KW</t>
  </si>
  <si>
    <t>Soprador de folhas à gasolina, com potência de, no mínimo, 0,8kW / 1,1 hp;</t>
  </si>
  <si>
    <t>Serrote para poda, tipo simples</t>
  </si>
  <si>
    <t>Avental</t>
  </si>
  <si>
    <t>Martelo de unha, com “cabeça metálica” e cabo de madeira</t>
  </si>
  <si>
    <t>Parafusadeira de impacto</t>
  </si>
  <si>
    <t>Tesoura de poda profissional</t>
  </si>
  <si>
    <t xml:space="preserve"> Balde metálico para concreto de, no mínimo, 10L;</t>
  </si>
  <si>
    <t xml:space="preserve"> Desempenadeira de aço, tamanho mínimo de 30x12cm</t>
  </si>
  <si>
    <t>MATERIAIS DE CONSUMO E INSTRUMENTOS</t>
  </si>
  <si>
    <t>Custo Mensal (R$)</t>
  </si>
  <si>
    <t>ALCOOL LIQUIDO GALÃO(5L)</t>
  </si>
  <si>
    <t>Água Sanitária (5L)</t>
  </si>
  <si>
    <t>Desinfetante Fragrância Lavanda ( 5L)</t>
  </si>
  <si>
    <t>Detergente Neutro (5L)</t>
  </si>
  <si>
    <t>Esponjas dupla face (Un)</t>
  </si>
  <si>
    <t>Flanela para limpeza (Un)</t>
  </si>
  <si>
    <t>LUSTRA MOVEL(UN)</t>
  </si>
  <si>
    <t>Panos de Chão (Un)</t>
  </si>
  <si>
    <t>Desodorizante pedra sanitária (Un)</t>
  </si>
  <si>
    <t>Barra de sabão neutro (Un)</t>
  </si>
  <si>
    <t>Sacos de Lixo Pretos de 100L e 8 micras (Un)</t>
  </si>
  <si>
    <t>Sacos de Lixo Pretos de 20L e 5 micras (Un)</t>
  </si>
  <si>
    <t>Sacos de Lixo Verdes de 20L e 5 micras (Un)</t>
  </si>
  <si>
    <t>Naftalina (pct 30g)</t>
  </si>
  <si>
    <t>Aromatizador de Ambientes Aerossol (Un) (360ml)</t>
  </si>
  <si>
    <t>Luvas para limpeza (P, M ou G) (Par) amarela</t>
  </si>
  <si>
    <t xml:space="preserve">Luvas para limpeza (P, M ou G) (Par) azul </t>
  </si>
  <si>
    <t>Refis de MOP Úmido 190 g (Un)</t>
  </si>
  <si>
    <t>Esponja de lã de aço (pct)</t>
  </si>
  <si>
    <t>Vassouras com fios de nylon (Un)</t>
  </si>
  <si>
    <t>Vassoura para limpeza de Vaso Sanitário (Un)</t>
  </si>
  <si>
    <t>Pás de Lixo com Cabo longo (Un)</t>
  </si>
  <si>
    <t>Baldes de Plástico de 10L (Un)</t>
  </si>
  <si>
    <t>Saponáceo(un)</t>
  </si>
  <si>
    <t>Esponja dupla face azul( un)</t>
  </si>
  <si>
    <t xml:space="preserve">Limpa Vidros (5L) </t>
  </si>
  <si>
    <t>pis</t>
  </si>
  <si>
    <t>cofins</t>
  </si>
  <si>
    <t>issqn</t>
  </si>
  <si>
    <t>csll</t>
  </si>
  <si>
    <t>irpj</t>
  </si>
  <si>
    <t>Glorinha</t>
  </si>
  <si>
    <t>Ano do Acordo, Convenção Coletiva ou Sentença Normativa em Dissídio Coletivo, Vigencia, Registro TEM</t>
  </si>
  <si>
    <r>
      <t xml:space="preserve">01/01/21 a 31/12/21 </t>
    </r>
    <r>
      <rPr>
        <b/>
        <sz val="9"/>
        <color rgb="FF1F497D"/>
        <rFont val="Arial"/>
        <family val="2"/>
      </rPr>
      <t>RS000051/2021</t>
    </r>
  </si>
  <si>
    <t xml:space="preserve"> Limpeza e Higienização</t>
  </si>
  <si>
    <t>Salário normativo da categoria profissional</t>
  </si>
  <si>
    <t>Auxiliar de Limpeza</t>
  </si>
  <si>
    <t>Categoria profissional</t>
  </si>
  <si>
    <t>Nº Trabalhadores</t>
  </si>
  <si>
    <t>Nº de dias</t>
  </si>
  <si>
    <t>manual</t>
  </si>
  <si>
    <t>formula</t>
  </si>
  <si>
    <t>valores em amarelo manual</t>
  </si>
  <si>
    <t>% manual</t>
  </si>
  <si>
    <t>manual falta valor</t>
  </si>
  <si>
    <t>em amarelo manual</t>
  </si>
  <si>
    <t>formula, em amarelo manual</t>
  </si>
  <si>
    <t>Adicional de insalubridade</t>
  </si>
  <si>
    <t>Salário-base (para a jornada de 40 horas semanais)</t>
  </si>
  <si>
    <t>Auxiliar Limpeza 200hs  + 40% Insalubridade</t>
  </si>
  <si>
    <t>SERVENTE DE LIMPEZA - 40HS</t>
  </si>
  <si>
    <t>SERVENTE DE LIMPEZA  - 12X36</t>
  </si>
  <si>
    <t>12x36Hs</t>
  </si>
  <si>
    <t>VALOR TOTAL R$ 16.490,00</t>
  </si>
  <si>
    <t>Nº do processo: 667/2021</t>
  </si>
  <si>
    <t>PROCESSO  n°   667/2021</t>
  </si>
  <si>
    <t xml:space="preserve">REGIME: SIMPLES NACIONAL </t>
  </si>
  <si>
    <t xml:space="preserve">Dia:  20/07/2021 </t>
  </si>
  <si>
    <t>Pregão Eletrônico nº  027/2021</t>
  </si>
  <si>
    <r>
      <t>ANEXO   XIII</t>
    </r>
    <r>
      <rPr>
        <b/>
        <sz val="18"/>
        <color rgb="FFFF000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do Pregão nº</t>
    </r>
    <r>
      <rPr>
        <b/>
        <sz val="18"/>
        <color rgb="FFFF0000"/>
        <rFont val="Arial"/>
        <family val="2"/>
      </rPr>
      <t xml:space="preserve"> </t>
    </r>
    <r>
      <rPr>
        <b/>
        <sz val="18"/>
        <rFont val="Arial"/>
        <family val="2"/>
      </rPr>
      <t>27/2021</t>
    </r>
    <r>
      <rPr>
        <b/>
        <sz val="18"/>
        <color rgb="FFFF0000"/>
        <rFont val="Arial"/>
        <family val="2"/>
      </rPr>
      <t xml:space="preserve">
</t>
    </r>
    <r>
      <rPr>
        <b/>
        <sz val="18"/>
        <color theme="1"/>
        <rFont val="Arial"/>
        <family val="2"/>
      </rPr>
      <t xml:space="preserve">PLANILHA DE CUSTOS E FORMAÇÃO DE PREÇOS </t>
    </r>
    <r>
      <rPr>
        <b/>
        <sz val="18"/>
        <color rgb="FF800080"/>
        <rFont val="Arial"/>
        <family val="2"/>
      </rPr>
      <t xml:space="preserve"> </t>
    </r>
  </si>
  <si>
    <t>PREGÃO ELETRÔNICO Nº 027/2021</t>
  </si>
  <si>
    <r>
      <t xml:space="preserve">Adicional de insalubridade </t>
    </r>
    <r>
      <rPr>
        <b/>
        <sz val="10"/>
        <color rgb="FF333399"/>
        <rFont val="Arial"/>
        <family val="2"/>
      </rPr>
      <t xml:space="preserve"> </t>
    </r>
  </si>
  <si>
    <r>
      <t xml:space="preserve">Aviso-previo trabalhado           0,02%      </t>
    </r>
    <r>
      <rPr>
        <b/>
        <sz val="10"/>
        <color rgb="FF993300"/>
        <rFont val="Arial"/>
        <family val="2"/>
      </rPr>
      <t xml:space="preserve">    </t>
    </r>
    <r>
      <rPr>
        <b/>
        <sz val="10"/>
        <color rgb="FF333399"/>
        <rFont val="Arial"/>
        <family val="2"/>
      </rPr>
      <t xml:space="preserve"> 
Cálculo do valor= [(Rem/30)x7]/</t>
    </r>
    <r>
      <rPr>
        <b/>
        <sz val="12"/>
        <color rgb="FF333399"/>
        <rFont val="Arial"/>
        <family val="2"/>
      </rPr>
      <t>12</t>
    </r>
    <r>
      <rPr>
        <b/>
        <sz val="10"/>
        <color rgb="FF333399"/>
        <rFont val="Arial"/>
        <family val="2"/>
      </rPr>
      <t xml:space="preserve"> meses do contrato</t>
    </r>
  </si>
  <si>
    <t>Salário-base 220 horas trabalhadas</t>
  </si>
  <si>
    <t>Resumo</t>
  </si>
  <si>
    <t>Remuneração</t>
  </si>
  <si>
    <t>Beneficios</t>
  </si>
  <si>
    <t>Encargos Trabalhistas</t>
  </si>
  <si>
    <t>Custos e Lucro</t>
  </si>
  <si>
    <t>custos por funcionário</t>
  </si>
  <si>
    <t>quantidade de funcionários</t>
  </si>
  <si>
    <t>valor mensal</t>
  </si>
  <si>
    <t>valor anual</t>
  </si>
  <si>
    <r>
      <t xml:space="preserve">      A.1) Valor da passagem do transporte coletivo no município de prestação dos serviços:</t>
    </r>
    <r>
      <rPr>
        <b/>
        <sz val="8"/>
        <color rgb="FFFF0000"/>
        <rFont val="Arial"/>
        <family val="2"/>
      </rPr>
      <t xml:space="preserve"> 21 dias</t>
    </r>
  </si>
  <si>
    <r>
      <t xml:space="preserve">Afastamento maternidade             </t>
    </r>
    <r>
      <rPr>
        <b/>
        <sz val="8"/>
        <color rgb="FF993300"/>
        <rFont val="Arial"/>
        <family val="2"/>
      </rPr>
      <t xml:space="preserve"> </t>
    </r>
    <r>
      <rPr>
        <b/>
        <sz val="8"/>
        <color rgb="FF333399"/>
        <rFont val="Arial"/>
        <family val="2"/>
      </rPr>
      <t>Cálculo do valor = {[(Rem+1/3Rem)/12]x(4/12)}x2%</t>
    </r>
  </si>
  <si>
    <t xml:space="preserve">Multa sobre FGTS e contribuições sociais sobre o aviso-prévio indenizado                          </t>
  </si>
  <si>
    <r>
      <t xml:space="preserve">Férias e terço constitucional de férias </t>
    </r>
    <r>
      <rPr>
        <b/>
        <sz val="7"/>
        <color rgb="FF000080"/>
        <rFont val="Arial"/>
        <family val="2"/>
      </rPr>
      <t xml:space="preserve">  Cálculo do valor = [(Rem/12) + (Rem/3)]/12</t>
    </r>
  </si>
  <si>
    <r>
      <t xml:space="preserve">Ausência por doença       </t>
    </r>
    <r>
      <rPr>
        <b/>
        <sz val="10"/>
        <color rgb="FF333399"/>
        <rFont val="Arial"/>
        <family val="2"/>
      </rPr>
      <t>Cálculo do valor = [(Rem/30)x5dias]/12</t>
    </r>
  </si>
  <si>
    <r>
      <t xml:space="preserve">Licença-paternidade    </t>
    </r>
    <r>
      <rPr>
        <b/>
        <sz val="10"/>
        <color rgb="FF333399"/>
        <rFont val="Arial"/>
        <family val="2"/>
      </rPr>
      <t>Cálculo do valor = {[(Rem/30)x5dias]/12}x1,5%</t>
    </r>
  </si>
  <si>
    <r>
      <t xml:space="preserve">Ausências legais       </t>
    </r>
    <r>
      <rPr>
        <b/>
        <sz val="10"/>
        <color rgb="FF333399"/>
        <rFont val="Arial"/>
        <family val="2"/>
      </rPr>
      <t xml:space="preserve"> Cálculo do valor = [(Rem/30)x2,96dias]/12</t>
    </r>
  </si>
  <si>
    <r>
      <t xml:space="preserve">Ausência por acidente de trabalho     </t>
    </r>
    <r>
      <rPr>
        <b/>
        <sz val="8"/>
        <color rgb="FF333399"/>
        <rFont val="Arial"/>
        <family val="2"/>
      </rPr>
      <t xml:space="preserve">Cálculo do valor  = {[(Rem/30)x15dias]/12}x0,78% </t>
    </r>
  </si>
  <si>
    <t>Encargo sobre custo de reposição  pofissional ausente 4.1</t>
  </si>
  <si>
    <t>Base de Cálculo do Lucro</t>
  </si>
  <si>
    <t>Base de Cálculo de Tributos</t>
  </si>
  <si>
    <t>Tributos federais</t>
  </si>
  <si>
    <t>Tributos Municipais</t>
  </si>
  <si>
    <t>Total de Tributos</t>
  </si>
  <si>
    <t>Total de custos Lucro e tributos</t>
  </si>
  <si>
    <t>PLANILHA INICIAL  Contrato nº 12/ 2023 ano 2023</t>
  </si>
  <si>
    <r>
      <t xml:space="preserve">Adicional de insalubridade </t>
    </r>
    <r>
      <rPr>
        <b/>
        <sz val="10"/>
        <color rgb="FF333399"/>
        <rFont val="Arial"/>
        <family val="2"/>
      </rPr>
      <t xml:space="preserve"> (Verificar convenção coletiva)</t>
    </r>
  </si>
  <si>
    <r>
      <t xml:space="preserve">PLANILHA INICIAL  Contrato nº </t>
    </r>
    <r>
      <rPr>
        <b/>
        <sz val="10"/>
        <color rgb="FFFF0000"/>
        <rFont val="Arial"/>
        <family val="2"/>
      </rPr>
      <t>XXX/XXXX</t>
    </r>
    <r>
      <rPr>
        <b/>
        <sz val="10"/>
        <color theme="1"/>
        <rFont val="Arial"/>
        <family val="2"/>
      </rPr>
      <t xml:space="preserve">   ano </t>
    </r>
    <r>
      <rPr>
        <b/>
        <sz val="10"/>
        <color rgb="FFFF0000"/>
        <rFont val="Arial"/>
        <family val="2"/>
      </rPr>
      <t>XXXX</t>
    </r>
  </si>
  <si>
    <r>
      <t xml:space="preserve">      A.1) Valor da passagem do transporte coletivo no município de prestação dos serviços:</t>
    </r>
    <r>
      <rPr>
        <b/>
        <sz val="8"/>
        <color rgb="FFFF0000"/>
        <rFont val="Arial"/>
        <family val="2"/>
      </rPr>
      <t xml:space="preserve"> </t>
    </r>
  </si>
  <si>
    <t>Depreciação</t>
  </si>
  <si>
    <t>Combustível</t>
  </si>
  <si>
    <t>Manutenção</t>
  </si>
  <si>
    <t xml:space="preserve">Outros </t>
  </si>
  <si>
    <r>
      <t xml:space="preserve">Auxílio-alimentação  (vales, cesta básica, entre outros) </t>
    </r>
    <r>
      <rPr>
        <b/>
        <sz val="8"/>
        <color rgb="FF000080"/>
        <rFont val="Arial"/>
        <family val="2"/>
      </rPr>
      <t>Cálculo do valor = [(nº de dias xVA)x(1-</t>
    </r>
    <r>
      <rPr>
        <b/>
        <sz val="10"/>
        <color rgb="FF000080"/>
        <rFont val="Arial"/>
        <family val="2"/>
      </rPr>
      <t>percentual de desconto</t>
    </r>
    <r>
      <rPr>
        <b/>
        <sz val="8"/>
        <color rgb="FF000080"/>
        <rFont val="Arial"/>
        <family val="2"/>
      </rPr>
      <t>)]</t>
    </r>
  </si>
  <si>
    <r>
      <t xml:space="preserve"> B.1) Valor do auxílio-alimentação </t>
    </r>
    <r>
      <rPr>
        <b/>
        <sz val="9"/>
        <color rgb="FF000080"/>
        <rFont val="Arial"/>
        <family val="2"/>
      </rPr>
      <t>(conforme  CCT )</t>
    </r>
    <r>
      <rPr>
        <b/>
        <sz val="9"/>
        <color theme="1"/>
        <rFont val="Arial"/>
        <family val="2"/>
      </rPr>
      <t xml:space="preserve">: </t>
    </r>
  </si>
  <si>
    <r>
      <t xml:space="preserve">Aviso-prévio indenizado    </t>
    </r>
    <r>
      <rPr>
        <b/>
        <sz val="10"/>
        <color rgb="FF993300"/>
        <rFont val="Arial"/>
        <family val="2"/>
      </rPr>
      <t xml:space="preserve"> </t>
    </r>
    <r>
      <rPr>
        <b/>
        <sz val="10"/>
        <color rgb="FF333399"/>
        <rFont val="Arial"/>
        <family val="2"/>
      </rPr>
      <t>Cálculo do valor = (Rem/12)x(nº de dias de indenização/30)x 5% de rotatividade anual</t>
    </r>
  </si>
  <si>
    <r>
      <t xml:space="preserve">Transporte                                              </t>
    </r>
    <r>
      <rPr>
        <b/>
        <sz val="10"/>
        <color rgb="FF000080"/>
        <rFont val="Arial"/>
        <family val="2"/>
      </rPr>
      <t xml:space="preserve"> </t>
    </r>
    <r>
      <rPr>
        <b/>
        <sz val="10"/>
        <color rgb="FF333399"/>
        <rFont val="Arial"/>
        <family val="2"/>
      </rPr>
      <t>Cálculo do valor: [(2xVT x Qtde de dias) – (6%xSB)]</t>
    </r>
  </si>
  <si>
    <r>
      <t>CONTRATO</t>
    </r>
    <r>
      <rPr>
        <b/>
        <sz val="11"/>
        <color rgb="FFFF0000"/>
        <rFont val="Calibri"/>
        <family val="2"/>
      </rPr>
      <t xml:space="preserve"> XXX</t>
    </r>
    <r>
      <rPr>
        <b/>
        <sz val="11"/>
        <color rgb="FF000000"/>
        <rFont val="Calibri"/>
        <family val="2"/>
      </rPr>
      <t>/202X</t>
    </r>
  </si>
  <si>
    <t>NOME DA EMPRESA</t>
  </si>
  <si>
    <t>Para preenchimento da Planilha acima a empresa deverá observar alguns quesitos:</t>
  </si>
  <si>
    <t>1 - Na parte de pessoal e benefícios, utilizar as informações contidas na CCT - Convenção Coletiva de Trabalho</t>
  </si>
  <si>
    <t>3 - Nos módulos 4 e 5, a empresa deverá considerar os percentual a qual forma de tributação está enquadrada fiscalmente</t>
  </si>
  <si>
    <t>2 - No item de insumos, a empresa poderá lançar o valor consolidado, mas deverá, obrigatoriamente, apresentar planilha auxiliar demonstrando o valor calculado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</si>
</sst>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 * #,##0.00_ ;_ * \-#,##0.00_ ;_ * &quot;-&quot;??_ ;_ @_ "/>
    <numFmt numFmtId="164" formatCode="_-&quot;R$&quot;\ * #,##0.00_-;\-&quot;R$&quot;\ * #,##0.00_-;_-&quot;R$&quot;\ * &quot;-&quot;??_-;_-@_-"/>
    <numFmt numFmtId="165" formatCode="_-* #,##0.00_-;\-* #,##0.00_-;_-* &quot;-&quot;??_-;_-@_-"/>
    <numFmt numFmtId="166" formatCode="d/m/yyyy"/>
    <numFmt numFmtId="167" formatCode="&quot;R$ &quot;#,##0.00"/>
    <numFmt numFmtId="168" formatCode="_-&quot;R$ &quot;* #,##0.00_-;&quot;-R$ &quot;* #,##0.00_-;_-&quot;R$ &quot;* \-??_-;_-@"/>
    <numFmt numFmtId="169" formatCode="0.0000"/>
    <numFmt numFmtId="170" formatCode="0.0000%"/>
    <numFmt numFmtId="171" formatCode="0.00_ ;\-0.00\ "/>
    <numFmt numFmtId="172" formatCode="#,##0.000000"/>
    <numFmt numFmtId="173" formatCode="0.000000%"/>
  </numFmts>
  <fonts count="62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FF0000"/>
      <name val="Arial"/>
      <family val="2"/>
    </font>
    <font>
      <sz val="11"/>
      <name val="Calibri"/>
      <family val="2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1F497D"/>
      <name val="Arial"/>
      <family val="2"/>
    </font>
    <font>
      <b/>
      <sz val="11"/>
      <color theme="1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</font>
    <font>
      <b/>
      <sz val="9"/>
      <color rgb="FF1F497D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1"/>
      <color rgb="FFFF0000"/>
      <name val="Arial"/>
      <family val="2"/>
    </font>
    <font>
      <b/>
      <sz val="9"/>
      <name val="Arial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6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4"/>
      <color rgb="FF000000"/>
      <name val="Calibri"/>
      <family val="2"/>
    </font>
    <font>
      <sz val="10"/>
      <color rgb="FF000000"/>
      <name val="Tahoma"/>
      <family val="2"/>
    </font>
    <font>
      <b/>
      <sz val="12"/>
      <color rgb="FF000000"/>
      <name val="Times New Roman"/>
      <family val="1"/>
    </font>
    <font>
      <b/>
      <sz val="10"/>
      <color rgb="FF000000"/>
      <name val="Tahoma"/>
      <family val="2"/>
    </font>
    <font>
      <b/>
      <sz val="18"/>
      <color rgb="FF800080"/>
      <name val="Arial"/>
      <family val="2"/>
    </font>
    <font>
      <b/>
      <u/>
      <sz val="11"/>
      <color theme="1"/>
      <name val="Arial"/>
      <family val="2"/>
    </font>
    <font>
      <b/>
      <sz val="10"/>
      <color rgb="FF333399"/>
      <name val="Arial"/>
      <family val="2"/>
    </font>
    <font>
      <b/>
      <sz val="10"/>
      <color rgb="FF000080"/>
      <name val="Arial"/>
      <family val="2"/>
    </font>
    <font>
      <b/>
      <sz val="9"/>
      <color rgb="FFFF0000"/>
      <name val="Arial"/>
      <family val="2"/>
    </font>
    <font>
      <b/>
      <sz val="8"/>
      <color rgb="FF000080"/>
      <name val="Arial"/>
      <family val="2"/>
    </font>
    <font>
      <b/>
      <sz val="9"/>
      <color rgb="FF000080"/>
      <name val="Arial"/>
      <family val="2"/>
    </font>
    <font>
      <sz val="10"/>
      <color rgb="FF333399"/>
      <name val="Arial"/>
      <family val="2"/>
    </font>
    <font>
      <b/>
      <sz val="8"/>
      <color rgb="FF333399"/>
      <name val="Arial"/>
      <family val="2"/>
    </font>
    <font>
      <b/>
      <sz val="10"/>
      <color rgb="FF993300"/>
      <name val="Arial"/>
      <family val="2"/>
    </font>
    <font>
      <b/>
      <sz val="12"/>
      <color rgb="FF333399"/>
      <name val="Arial"/>
      <family val="2"/>
    </font>
    <font>
      <b/>
      <u/>
      <sz val="12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sz val="8"/>
      <name val="Calibri"/>
      <family val="2"/>
    </font>
    <font>
      <b/>
      <sz val="18"/>
      <name val="Arial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1F1F1F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8"/>
      <color rgb="FFFF0000"/>
      <name val="Arial"/>
      <family val="2"/>
    </font>
    <font>
      <b/>
      <sz val="8"/>
      <color rgb="FF993300"/>
      <name val="Arial"/>
      <family val="2"/>
    </font>
    <font>
      <b/>
      <sz val="7"/>
      <color rgb="FF000080"/>
      <name val="Arial"/>
      <family val="2"/>
    </font>
    <font>
      <sz val="11"/>
      <color rgb="FFFF0000"/>
      <name val="Calibri"/>
      <family val="2"/>
    </font>
    <font>
      <b/>
      <sz val="10"/>
      <color theme="4" tint="-0.499984740745262"/>
      <name val="Arial"/>
      <family val="2"/>
    </font>
    <font>
      <sz val="11"/>
      <color theme="4" tint="-0.499984740745262"/>
      <name val="Calibri"/>
      <family val="2"/>
    </font>
    <font>
      <b/>
      <sz val="11"/>
      <color rgb="FFFF0000"/>
      <name val="Calibri"/>
      <family val="2"/>
    </font>
    <font>
      <b/>
      <sz val="14"/>
      <color rgb="FFFF0000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D85B"/>
        <bgColor rgb="FFFFD85B"/>
      </patternFill>
    </fill>
    <fill>
      <patternFill patternType="solid">
        <fgColor rgb="FFFFFF00"/>
        <bgColor rgb="FFFFFF00"/>
      </patternFill>
    </fill>
    <fill>
      <patternFill patternType="solid">
        <fgColor rgb="FFFCD5B5"/>
        <bgColor rgb="FFFCD5B5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C3D69B"/>
        <bgColor rgb="FFC3D69B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 tint="-4.9989318521683403E-2"/>
        <bgColor rgb="FFFFFF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FFFF00"/>
      </patternFill>
    </fill>
    <fill>
      <patternFill patternType="solid">
        <fgColor theme="4" tint="0.59999389629810485"/>
        <bgColor rgb="FFFFD85B"/>
      </patternFill>
    </fill>
    <fill>
      <patternFill patternType="solid">
        <fgColor theme="4" tint="0.59999389629810485"/>
        <bgColor rgb="FFFCD5B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FFF99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rgb="FFFCD5B5"/>
      </patternFill>
    </fill>
    <fill>
      <patternFill patternType="solid">
        <fgColor theme="0" tint="-4.9989318521683403E-2"/>
        <bgColor rgb="FFFFD85B"/>
      </patternFill>
    </fill>
    <fill>
      <patternFill patternType="solid">
        <fgColor theme="4" tint="0.39997558519241921"/>
        <bgColor rgb="FFFCD5B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FFD85B"/>
      </patternFill>
    </fill>
    <fill>
      <patternFill patternType="solid">
        <fgColor theme="6" tint="0.39997558519241921"/>
        <bgColor rgb="FFFFD85B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FCD5B5"/>
      </patternFill>
    </fill>
    <fill>
      <patternFill patternType="solid">
        <fgColor theme="6" tint="0.39997558519241921"/>
        <bgColor rgb="FFFFFF00"/>
      </patternFill>
    </fill>
  </fills>
  <borders count="8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8">
    <xf numFmtId="0" fontId="0" fillId="0" borderId="0"/>
    <xf numFmtId="164" fontId="45" fillId="0" borderId="0" applyFont="0" applyFill="0" applyBorder="0" applyAlignment="0" applyProtection="0"/>
    <xf numFmtId="0" fontId="2" fillId="0" borderId="53"/>
    <xf numFmtId="164" fontId="2" fillId="0" borderId="53" applyFont="0" applyFill="0" applyBorder="0" applyAlignment="0" applyProtection="0"/>
    <xf numFmtId="0" fontId="50" fillId="0" borderId="53"/>
    <xf numFmtId="164" fontId="45" fillId="0" borderId="53" applyFont="0" applyFill="0" applyBorder="0" applyAlignment="0" applyProtection="0"/>
    <xf numFmtId="0" fontId="1" fillId="0" borderId="53"/>
    <xf numFmtId="164" fontId="1" fillId="0" borderId="53" applyFont="0" applyFill="0" applyBorder="0" applyAlignment="0" applyProtection="0"/>
  </cellStyleXfs>
  <cellXfs count="470">
    <xf numFmtId="0" fontId="0" fillId="0" borderId="0" xfId="0"/>
    <xf numFmtId="0" fontId="6" fillId="0" borderId="6" xfId="0" applyFont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/>
    </xf>
    <xf numFmtId="4" fontId="6" fillId="0" borderId="6" xfId="0" applyNumberFormat="1" applyFont="1" applyBorder="1" applyAlignment="1">
      <alignment vertical="center"/>
    </xf>
    <xf numFmtId="10" fontId="6" fillId="0" borderId="6" xfId="0" applyNumberFormat="1" applyFont="1" applyBorder="1" applyAlignment="1">
      <alignment vertical="center"/>
    </xf>
    <xf numFmtId="4" fontId="9" fillId="5" borderId="6" xfId="0" applyNumberFormat="1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right" vertical="center"/>
    </xf>
    <xf numFmtId="168" fontId="12" fillId="0" borderId="6" xfId="0" applyNumberFormat="1" applyFont="1" applyBorder="1" applyAlignment="1">
      <alignment vertical="center"/>
    </xf>
    <xf numFmtId="4" fontId="6" fillId="0" borderId="6" xfId="0" applyNumberFormat="1" applyFont="1" applyBorder="1" applyAlignment="1">
      <alignment horizontal="center" vertical="center"/>
    </xf>
    <xf numFmtId="4" fontId="12" fillId="0" borderId="6" xfId="0" applyNumberFormat="1" applyFont="1" applyBorder="1" applyAlignment="1">
      <alignment vertical="center"/>
    </xf>
    <xf numFmtId="4" fontId="6" fillId="4" borderId="6" xfId="0" applyNumberFormat="1" applyFont="1" applyFill="1" applyBorder="1" applyAlignment="1">
      <alignment horizontal="right" vertical="center"/>
    </xf>
    <xf numFmtId="4" fontId="6" fillId="4" borderId="6" xfId="0" applyNumberFormat="1" applyFont="1" applyFill="1" applyBorder="1" applyAlignment="1">
      <alignment horizontal="right" vertical="center" wrapText="1"/>
    </xf>
    <xf numFmtId="4" fontId="6" fillId="0" borderId="6" xfId="0" applyNumberFormat="1" applyFont="1" applyBorder="1" applyAlignment="1">
      <alignment horizontal="right" vertical="center" wrapText="1"/>
    </xf>
    <xf numFmtId="0" fontId="11" fillId="5" borderId="6" xfId="0" applyFont="1" applyFill="1" applyBorder="1" applyAlignment="1">
      <alignment horizontal="center" vertical="center"/>
    </xf>
    <xf numFmtId="4" fontId="6" fillId="5" borderId="6" xfId="0" applyNumberFormat="1" applyFont="1" applyFill="1" applyBorder="1" applyAlignment="1">
      <alignment horizontal="right" vertical="center"/>
    </xf>
    <xf numFmtId="0" fontId="14" fillId="0" borderId="0" xfId="0" applyFont="1"/>
    <xf numFmtId="4" fontId="6" fillId="5" borderId="6" xfId="0" applyNumberFormat="1" applyFont="1" applyFill="1" applyBorder="1" applyAlignment="1">
      <alignment horizontal="right" vertical="center" wrapText="1"/>
    </xf>
    <xf numFmtId="0" fontId="9" fillId="3" borderId="8" xfId="0" applyFont="1" applyFill="1" applyBorder="1" applyAlignment="1">
      <alignment horizontal="center" vertical="center"/>
    </xf>
    <xf numFmtId="10" fontId="6" fillId="4" borderId="6" xfId="0" applyNumberFormat="1" applyFont="1" applyFill="1" applyBorder="1" applyAlignment="1">
      <alignment horizontal="right" vertical="center"/>
    </xf>
    <xf numFmtId="4" fontId="6" fillId="6" borderId="6" xfId="0" applyNumberFormat="1" applyFont="1" applyFill="1" applyBorder="1" applyAlignment="1">
      <alignment horizontal="right" vertical="center"/>
    </xf>
    <xf numFmtId="10" fontId="6" fillId="0" borderId="6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 wrapText="1"/>
    </xf>
    <xf numFmtId="9" fontId="6" fillId="4" borderId="6" xfId="0" applyNumberFormat="1" applyFont="1" applyFill="1" applyBorder="1" applyAlignment="1">
      <alignment horizontal="center" vertical="center" wrapText="1"/>
    </xf>
    <xf numFmtId="169" fontId="6" fillId="4" borderId="6" xfId="0" applyNumberFormat="1" applyFont="1" applyFill="1" applyBorder="1" applyAlignment="1">
      <alignment horizontal="center" vertical="center" wrapText="1"/>
    </xf>
    <xf numFmtId="170" fontId="6" fillId="0" borderId="6" xfId="0" applyNumberFormat="1" applyFont="1" applyBorder="1" applyAlignment="1">
      <alignment horizontal="right" vertical="center"/>
    </xf>
    <xf numFmtId="170" fontId="6" fillId="5" borderId="6" xfId="0" applyNumberFormat="1" applyFont="1" applyFill="1" applyBorder="1" applyAlignment="1">
      <alignment horizontal="right" vertical="center"/>
    </xf>
    <xf numFmtId="2" fontId="6" fillId="5" borderId="6" xfId="0" applyNumberFormat="1" applyFont="1" applyFill="1" applyBorder="1" applyAlignment="1">
      <alignment horizontal="right" vertical="center"/>
    </xf>
    <xf numFmtId="0" fontId="6" fillId="6" borderId="6" xfId="0" applyFont="1" applyFill="1" applyBorder="1" applyAlignment="1">
      <alignment horizontal="right" vertical="center"/>
    </xf>
    <xf numFmtId="0" fontId="9" fillId="3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4" fontId="6" fillId="6" borderId="6" xfId="0" applyNumberFormat="1" applyFont="1" applyFill="1" applyBorder="1"/>
    <xf numFmtId="4" fontId="6" fillId="6" borderId="6" xfId="0" applyNumberFormat="1" applyFont="1" applyFill="1" applyBorder="1" applyAlignment="1">
      <alignment horizontal="right"/>
    </xf>
    <xf numFmtId="4" fontId="6" fillId="5" borderId="6" xfId="0" applyNumberFormat="1" applyFont="1" applyFill="1" applyBorder="1" applyAlignment="1">
      <alignment horizontal="right"/>
    </xf>
    <xf numFmtId="0" fontId="11" fillId="0" borderId="6" xfId="0" applyFont="1" applyBorder="1" applyAlignment="1">
      <alignment horizontal="center"/>
    </xf>
    <xf numFmtId="4" fontId="6" fillId="0" borderId="6" xfId="0" applyNumberFormat="1" applyFont="1" applyBorder="1" applyAlignment="1">
      <alignment horizontal="right"/>
    </xf>
    <xf numFmtId="4" fontId="9" fillId="3" borderId="6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" fontId="7" fillId="0" borderId="6" xfId="0" applyNumberFormat="1" applyFont="1" applyBorder="1" applyAlignment="1">
      <alignment horizontal="right" vertical="center"/>
    </xf>
    <xf numFmtId="10" fontId="7" fillId="0" borderId="6" xfId="0" applyNumberFormat="1" applyFont="1" applyBorder="1" applyAlignment="1">
      <alignment horizontal="center" vertical="center"/>
    </xf>
    <xf numFmtId="10" fontId="6" fillId="0" borderId="6" xfId="0" applyNumberFormat="1" applyFont="1" applyBorder="1" applyAlignment="1">
      <alignment horizontal="center" vertical="center"/>
    </xf>
    <xf numFmtId="10" fontId="6" fillId="4" borderId="6" xfId="0" applyNumberFormat="1" applyFont="1" applyFill="1" applyBorder="1" applyAlignment="1">
      <alignment horizontal="right" vertical="center" wrapText="1"/>
    </xf>
    <xf numFmtId="10" fontId="6" fillId="0" borderId="6" xfId="0" applyNumberFormat="1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/>
    </xf>
    <xf numFmtId="0" fontId="12" fillId="8" borderId="6" xfId="0" applyFont="1" applyFill="1" applyBorder="1" applyAlignment="1">
      <alignment horizontal="center" vertical="center"/>
    </xf>
    <xf numFmtId="0" fontId="21" fillId="0" borderId="0" xfId="0" applyFont="1"/>
    <xf numFmtId="0" fontId="22" fillId="0" borderId="26" xfId="0" applyFont="1" applyBorder="1" applyAlignment="1">
      <alignment horizontal="center" vertical="top" wrapText="1"/>
    </xf>
    <xf numFmtId="0" fontId="22" fillId="0" borderId="26" xfId="0" applyFont="1" applyBorder="1" applyAlignment="1">
      <alignment horizontal="center" vertical="center"/>
    </xf>
    <xf numFmtId="168" fontId="22" fillId="0" borderId="26" xfId="0" applyNumberFormat="1" applyFont="1" applyBorder="1" applyAlignment="1">
      <alignment horizontal="center" vertical="center" wrapText="1"/>
    </xf>
    <xf numFmtId="168" fontId="22" fillId="0" borderId="18" xfId="0" applyNumberFormat="1" applyFont="1" applyBorder="1" applyAlignment="1">
      <alignment horizontal="center" vertical="center"/>
    </xf>
    <xf numFmtId="0" fontId="20" fillId="0" borderId="0" xfId="0" applyFont="1"/>
    <xf numFmtId="168" fontId="20" fillId="0" borderId="36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168" fontId="20" fillId="0" borderId="0" xfId="0" applyNumberFormat="1" applyFont="1" applyAlignment="1">
      <alignment horizontal="center"/>
    </xf>
    <xf numFmtId="0" fontId="20" fillId="0" borderId="37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168" fontId="21" fillId="0" borderId="6" xfId="0" applyNumberFormat="1" applyFont="1" applyBorder="1"/>
    <xf numFmtId="0" fontId="20" fillId="0" borderId="40" xfId="0" applyFont="1" applyBorder="1"/>
    <xf numFmtId="0" fontId="20" fillId="0" borderId="43" xfId="0" applyFont="1" applyBorder="1" applyAlignment="1">
      <alignment horizontal="center" vertical="center"/>
    </xf>
    <xf numFmtId="168" fontId="20" fillId="0" borderId="43" xfId="0" applyNumberFormat="1" applyFont="1" applyBorder="1"/>
    <xf numFmtId="0" fontId="26" fillId="3" borderId="6" xfId="0" applyFont="1" applyFill="1" applyBorder="1" applyAlignment="1">
      <alignment horizontal="center" vertical="center" wrapText="1"/>
    </xf>
    <xf numFmtId="168" fontId="26" fillId="3" borderId="6" xfId="0" applyNumberFormat="1" applyFont="1" applyFill="1" applyBorder="1" applyAlignment="1">
      <alignment vertical="center" wrapText="1"/>
    </xf>
    <xf numFmtId="168" fontId="26" fillId="3" borderId="6" xfId="0" applyNumberFormat="1" applyFont="1" applyFill="1" applyBorder="1" applyAlignment="1">
      <alignment horizontal="center" vertical="center" wrapText="1"/>
    </xf>
    <xf numFmtId="168" fontId="25" fillId="3" borderId="6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30" fillId="0" borderId="50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left" vertical="center" wrapText="1"/>
    </xf>
    <xf numFmtId="168" fontId="30" fillId="0" borderId="23" xfId="0" applyNumberFormat="1" applyFont="1" applyBorder="1" applyAlignment="1">
      <alignment horizontal="left" vertical="center" wrapText="1"/>
    </xf>
    <xf numFmtId="49" fontId="30" fillId="0" borderId="23" xfId="0" applyNumberFormat="1" applyFont="1" applyBorder="1" applyAlignment="1">
      <alignment horizontal="center" vertical="center" wrapText="1"/>
    </xf>
    <xf numFmtId="2" fontId="30" fillId="0" borderId="23" xfId="0" applyNumberFormat="1" applyFont="1" applyBorder="1" applyAlignment="1">
      <alignment horizontal="center" vertical="center" wrapText="1"/>
    </xf>
    <xf numFmtId="0" fontId="30" fillId="6" borderId="51" xfId="0" applyFont="1" applyFill="1" applyBorder="1" applyAlignment="1">
      <alignment horizontal="center" vertical="center" wrapText="1"/>
    </xf>
    <xf numFmtId="168" fontId="30" fillId="6" borderId="52" xfId="0" applyNumberFormat="1" applyFont="1" applyFill="1" applyBorder="1" applyAlignment="1">
      <alignment horizontal="center" vertical="center" wrapText="1"/>
    </xf>
    <xf numFmtId="0" fontId="30" fillId="6" borderId="52" xfId="0" applyFont="1" applyFill="1" applyBorder="1" applyAlignment="1">
      <alignment horizontal="center" vertical="center" wrapText="1"/>
    </xf>
    <xf numFmtId="2" fontId="30" fillId="6" borderId="52" xfId="0" applyNumberFormat="1" applyFont="1" applyFill="1" applyBorder="1" applyAlignment="1">
      <alignment horizontal="center" vertical="center" wrapText="1"/>
    </xf>
    <xf numFmtId="0" fontId="0" fillId="6" borderId="53" xfId="0" applyFill="1" applyBorder="1"/>
    <xf numFmtId="0" fontId="28" fillId="6" borderId="54" xfId="0" applyFont="1" applyFill="1" applyBorder="1" applyAlignment="1">
      <alignment horizontal="left" vertical="center" wrapText="1"/>
    </xf>
    <xf numFmtId="0" fontId="28" fillId="6" borderId="55" xfId="0" applyFont="1" applyFill="1" applyBorder="1" applyAlignment="1">
      <alignment horizontal="left" vertical="center" wrapText="1"/>
    </xf>
    <xf numFmtId="0" fontId="30" fillId="0" borderId="36" xfId="0" applyFont="1" applyBorder="1" applyAlignment="1">
      <alignment horizontal="center" vertical="center" wrapText="1"/>
    </xf>
    <xf numFmtId="0" fontId="28" fillId="0" borderId="35" xfId="0" applyFont="1" applyBorder="1" applyAlignment="1">
      <alignment horizontal="left" vertical="center" wrapText="1"/>
    </xf>
    <xf numFmtId="168" fontId="30" fillId="0" borderId="35" xfId="0" applyNumberFormat="1" applyFont="1" applyBorder="1" applyAlignment="1">
      <alignment horizontal="left" vertical="center" wrapText="1"/>
    </xf>
    <xf numFmtId="0" fontId="30" fillId="6" borderId="56" xfId="0" applyFont="1" applyFill="1" applyBorder="1" applyAlignment="1">
      <alignment horizontal="center" vertical="center" wrapText="1"/>
    </xf>
    <xf numFmtId="0" fontId="28" fillId="6" borderId="57" xfId="0" applyFont="1" applyFill="1" applyBorder="1" applyAlignment="1">
      <alignment horizontal="left" vertical="center" wrapText="1"/>
    </xf>
    <xf numFmtId="0" fontId="28" fillId="6" borderId="58" xfId="0" applyFont="1" applyFill="1" applyBorder="1" applyAlignment="1">
      <alignment horizontal="left" vertical="center" wrapText="1"/>
    </xf>
    <xf numFmtId="168" fontId="30" fillId="6" borderId="59" xfId="0" applyNumberFormat="1" applyFont="1" applyFill="1" applyBorder="1" applyAlignment="1">
      <alignment horizontal="center" vertical="center" wrapText="1"/>
    </xf>
    <xf numFmtId="0" fontId="30" fillId="6" borderId="59" xfId="0" applyFont="1" applyFill="1" applyBorder="1" applyAlignment="1">
      <alignment horizontal="center" vertical="center" wrapText="1"/>
    </xf>
    <xf numFmtId="2" fontId="30" fillId="6" borderId="59" xfId="0" applyNumberFormat="1" applyFont="1" applyFill="1" applyBorder="1" applyAlignment="1">
      <alignment horizontal="center" vertical="center" wrapText="1"/>
    </xf>
    <xf numFmtId="0" fontId="30" fillId="0" borderId="60" xfId="0" applyFont="1" applyBorder="1" applyAlignment="1">
      <alignment horizontal="center" vertical="center" wrapText="1"/>
    </xf>
    <xf numFmtId="0" fontId="28" fillId="0" borderId="61" xfId="0" applyFont="1" applyBorder="1" applyAlignment="1">
      <alignment horizontal="left" vertical="center" wrapText="1"/>
    </xf>
    <xf numFmtId="168" fontId="30" fillId="0" borderId="62" xfId="0" applyNumberFormat="1" applyFont="1" applyBorder="1" applyAlignment="1">
      <alignment horizontal="left" vertical="center" wrapText="1"/>
    </xf>
    <xf numFmtId="49" fontId="30" fillId="0" borderId="20" xfId="0" applyNumberFormat="1" applyFont="1" applyBorder="1" applyAlignment="1">
      <alignment horizontal="center" vertical="center" wrapText="1"/>
    </xf>
    <xf numFmtId="168" fontId="30" fillId="0" borderId="36" xfId="0" applyNumberFormat="1" applyFont="1" applyBorder="1" applyAlignment="1">
      <alignment horizontal="left" vertical="center" wrapText="1"/>
    </xf>
    <xf numFmtId="168" fontId="30" fillId="0" borderId="50" xfId="0" applyNumberFormat="1" applyFont="1" applyBorder="1" applyAlignment="1">
      <alignment horizontal="left" vertical="center" wrapText="1"/>
    </xf>
    <xf numFmtId="0" fontId="28" fillId="0" borderId="50" xfId="0" applyFont="1" applyBorder="1" applyAlignment="1">
      <alignment horizontal="center" vertical="top" wrapText="1"/>
    </xf>
    <xf numFmtId="168" fontId="28" fillId="0" borderId="23" xfId="0" applyNumberFormat="1" applyFont="1" applyBorder="1" applyAlignment="1">
      <alignment horizontal="left" vertical="top" wrapText="1"/>
    </xf>
    <xf numFmtId="168" fontId="28" fillId="0" borderId="23" xfId="0" applyNumberFormat="1" applyFont="1" applyBorder="1" applyAlignment="1">
      <alignment horizontal="center" vertical="top" wrapText="1"/>
    </xf>
    <xf numFmtId="0" fontId="28" fillId="0" borderId="36" xfId="0" applyFont="1" applyBorder="1" applyAlignment="1">
      <alignment horizontal="left" vertical="center" wrapText="1"/>
    </xf>
    <xf numFmtId="168" fontId="30" fillId="0" borderId="36" xfId="0" applyNumberFormat="1" applyFont="1" applyBorder="1" applyAlignment="1">
      <alignment horizontal="left" vertical="top" wrapText="1"/>
    </xf>
    <xf numFmtId="168" fontId="30" fillId="0" borderId="0" xfId="0" applyNumberFormat="1" applyFont="1" applyAlignment="1">
      <alignment horizontal="left" vertical="top" wrapText="1"/>
    </xf>
    <xf numFmtId="168" fontId="30" fillId="0" borderId="23" xfId="0" applyNumberFormat="1" applyFont="1" applyBorder="1" applyAlignment="1">
      <alignment horizontal="left" vertical="top" wrapText="1"/>
    </xf>
    <xf numFmtId="0" fontId="30" fillId="6" borderId="53" xfId="0" applyFont="1" applyFill="1" applyBorder="1" applyAlignment="1">
      <alignment horizontal="center" vertical="center" wrapText="1"/>
    </xf>
    <xf numFmtId="168" fontId="30" fillId="6" borderId="53" xfId="0" applyNumberFormat="1" applyFont="1" applyFill="1" applyBorder="1" applyAlignment="1">
      <alignment horizontal="center" vertical="center" wrapText="1"/>
    </xf>
    <xf numFmtId="2" fontId="30" fillId="6" borderId="53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3" fillId="0" borderId="53" xfId="0" applyFont="1" applyBorder="1"/>
    <xf numFmtId="10" fontId="43" fillId="0" borderId="53" xfId="0" applyNumberFormat="1" applyFont="1" applyBorder="1"/>
    <xf numFmtId="0" fontId="44" fillId="0" borderId="53" xfId="0" applyFont="1" applyBorder="1"/>
    <xf numFmtId="2" fontId="30" fillId="0" borderId="48" xfId="0" applyNumberFormat="1" applyFont="1" applyBorder="1" applyAlignment="1">
      <alignment horizontal="center" vertical="center" wrapText="1"/>
    </xf>
    <xf numFmtId="168" fontId="30" fillId="0" borderId="48" xfId="0" applyNumberFormat="1" applyFont="1" applyBorder="1" applyAlignment="1">
      <alignment horizontal="left" vertical="center" wrapText="1"/>
    </xf>
    <xf numFmtId="168" fontId="30" fillId="0" borderId="54" xfId="0" applyNumberFormat="1" applyFont="1" applyBorder="1" applyAlignment="1">
      <alignment horizontal="left" vertical="center" wrapText="1"/>
    </xf>
    <xf numFmtId="2" fontId="30" fillId="0" borderId="53" xfId="0" applyNumberFormat="1" applyFont="1" applyBorder="1" applyAlignment="1">
      <alignment horizontal="center" vertical="center" wrapText="1"/>
    </xf>
    <xf numFmtId="0" fontId="0" fillId="0" borderId="53" xfId="0" applyBorder="1"/>
    <xf numFmtId="168" fontId="30" fillId="0" borderId="53" xfId="0" applyNumberFormat="1" applyFont="1" applyBorder="1" applyAlignment="1">
      <alignment horizontal="left" vertical="center" wrapText="1"/>
    </xf>
    <xf numFmtId="0" fontId="30" fillId="0" borderId="59" xfId="0" applyFont="1" applyBorder="1" applyAlignment="1">
      <alignment horizontal="center" vertical="center" wrapText="1"/>
    </xf>
    <xf numFmtId="2" fontId="30" fillId="0" borderId="63" xfId="0" applyNumberFormat="1" applyFont="1" applyBorder="1" applyAlignment="1">
      <alignment horizontal="center" vertical="center" wrapText="1"/>
    </xf>
    <xf numFmtId="2" fontId="30" fillId="0" borderId="64" xfId="0" applyNumberFormat="1" applyFont="1" applyBorder="1" applyAlignment="1">
      <alignment horizontal="center" vertical="center" wrapText="1"/>
    </xf>
    <xf numFmtId="2" fontId="30" fillId="0" borderId="65" xfId="0" applyNumberFormat="1" applyFont="1" applyBorder="1" applyAlignment="1">
      <alignment horizontal="center" vertical="center" wrapText="1"/>
    </xf>
    <xf numFmtId="10" fontId="6" fillId="10" borderId="6" xfId="0" applyNumberFormat="1" applyFont="1" applyFill="1" applyBorder="1" applyAlignment="1">
      <alignment horizontal="right" vertical="center"/>
    </xf>
    <xf numFmtId="0" fontId="0" fillId="11" borderId="0" xfId="0" applyFill="1"/>
    <xf numFmtId="165" fontId="0" fillId="11" borderId="0" xfId="0" applyNumberFormat="1" applyFill="1"/>
    <xf numFmtId="0" fontId="14" fillId="11" borderId="0" xfId="0" applyFont="1" applyFill="1"/>
    <xf numFmtId="168" fontId="19" fillId="12" borderId="6" xfId="0" applyNumberFormat="1" applyFont="1" applyFill="1" applyBorder="1" applyAlignment="1">
      <alignment vertical="center"/>
    </xf>
    <xf numFmtId="164" fontId="0" fillId="0" borderId="0" xfId="1" applyFont="1" applyAlignment="1"/>
    <xf numFmtId="4" fontId="0" fillId="0" borderId="0" xfId="0" applyNumberFormat="1"/>
    <xf numFmtId="164" fontId="0" fillId="0" borderId="0" xfId="0" applyNumberFormat="1"/>
    <xf numFmtId="0" fontId="2" fillId="0" borderId="53" xfId="2"/>
    <xf numFmtId="164" fontId="2" fillId="0" borderId="53" xfId="3" applyFont="1" applyAlignment="1"/>
    <xf numFmtId="164" fontId="2" fillId="0" borderId="53" xfId="2" applyNumberFormat="1"/>
    <xf numFmtId="168" fontId="0" fillId="0" borderId="0" xfId="0" applyNumberFormat="1"/>
    <xf numFmtId="0" fontId="6" fillId="14" borderId="6" xfId="0" applyFont="1" applyFill="1" applyBorder="1" applyAlignment="1">
      <alignment horizontal="center" vertical="center" wrapText="1"/>
    </xf>
    <xf numFmtId="10" fontId="0" fillId="0" borderId="0" xfId="0" applyNumberFormat="1"/>
    <xf numFmtId="0" fontId="6" fillId="15" borderId="6" xfId="0" applyFont="1" applyFill="1" applyBorder="1" applyAlignment="1">
      <alignment horizontal="center" vertical="center"/>
    </xf>
    <xf numFmtId="10" fontId="6" fillId="16" borderId="6" xfId="0" applyNumberFormat="1" applyFont="1" applyFill="1" applyBorder="1" applyAlignment="1">
      <alignment horizontal="right" vertical="center"/>
    </xf>
    <xf numFmtId="4" fontId="6" fillId="15" borderId="6" xfId="0" applyNumberFormat="1" applyFont="1" applyFill="1" applyBorder="1" applyAlignment="1">
      <alignment horizontal="right" vertical="center"/>
    </xf>
    <xf numFmtId="0" fontId="9" fillId="17" borderId="7" xfId="0" applyFont="1" applyFill="1" applyBorder="1" applyAlignment="1">
      <alignment horizontal="center" vertical="center" wrapText="1"/>
    </xf>
    <xf numFmtId="0" fontId="12" fillId="17" borderId="6" xfId="0" applyFont="1" applyFill="1" applyBorder="1" applyAlignment="1">
      <alignment horizontal="center" vertical="center" wrapText="1"/>
    </xf>
    <xf numFmtId="0" fontId="9" fillId="17" borderId="7" xfId="0" applyFont="1" applyFill="1" applyBorder="1" applyAlignment="1">
      <alignment horizontal="center" vertical="center"/>
    </xf>
    <xf numFmtId="4" fontId="9" fillId="18" borderId="6" xfId="0" applyNumberFormat="1" applyFont="1" applyFill="1" applyBorder="1" applyAlignment="1">
      <alignment vertical="center"/>
    </xf>
    <xf numFmtId="0" fontId="9" fillId="17" borderId="6" xfId="0" applyFont="1" applyFill="1" applyBorder="1" applyAlignment="1">
      <alignment horizontal="center" vertical="center"/>
    </xf>
    <xf numFmtId="0" fontId="9" fillId="17" borderId="6" xfId="0" applyFont="1" applyFill="1" applyBorder="1" applyAlignment="1">
      <alignment horizontal="center" vertical="center" wrapText="1"/>
    </xf>
    <xf numFmtId="0" fontId="11" fillId="18" borderId="6" xfId="0" applyFont="1" applyFill="1" applyBorder="1" applyAlignment="1">
      <alignment horizontal="center" vertical="center"/>
    </xf>
    <xf numFmtId="4" fontId="6" fillId="18" borderId="6" xfId="0" applyNumberFormat="1" applyFont="1" applyFill="1" applyBorder="1" applyAlignment="1">
      <alignment horizontal="right" vertical="center"/>
    </xf>
    <xf numFmtId="0" fontId="12" fillId="17" borderId="6" xfId="0" applyFont="1" applyFill="1" applyBorder="1" applyAlignment="1">
      <alignment horizontal="center" vertical="center"/>
    </xf>
    <xf numFmtId="0" fontId="6" fillId="19" borderId="6" xfId="0" applyFont="1" applyFill="1" applyBorder="1" applyAlignment="1">
      <alignment horizontal="center" vertical="center"/>
    </xf>
    <xf numFmtId="4" fontId="6" fillId="13" borderId="6" xfId="0" applyNumberFormat="1" applyFont="1" applyFill="1" applyBorder="1" applyAlignment="1">
      <alignment horizontal="right" vertical="center"/>
    </xf>
    <xf numFmtId="4" fontId="6" fillId="13" borderId="6" xfId="0" applyNumberFormat="1" applyFont="1" applyFill="1" applyBorder="1" applyAlignment="1">
      <alignment horizontal="right" vertical="center" wrapText="1"/>
    </xf>
    <xf numFmtId="4" fontId="6" fillId="18" borderId="6" xfId="0" applyNumberFormat="1" applyFont="1" applyFill="1" applyBorder="1" applyAlignment="1">
      <alignment horizontal="right" vertical="center" wrapText="1"/>
    </xf>
    <xf numFmtId="0" fontId="9" fillId="17" borderId="8" xfId="0" applyFont="1" applyFill="1" applyBorder="1" applyAlignment="1">
      <alignment horizontal="center" vertical="center"/>
    </xf>
    <xf numFmtId="0" fontId="6" fillId="20" borderId="6" xfId="0" applyFont="1" applyFill="1" applyBorder="1" applyAlignment="1">
      <alignment horizontal="center" vertical="center"/>
    </xf>
    <xf numFmtId="4" fontId="6" fillId="22" borderId="6" xfId="0" applyNumberFormat="1" applyFont="1" applyFill="1" applyBorder="1" applyAlignment="1">
      <alignment horizontal="right" vertical="center"/>
    </xf>
    <xf numFmtId="2" fontId="6" fillId="23" borderId="6" xfId="0" applyNumberFormat="1" applyFont="1" applyFill="1" applyBorder="1" applyAlignment="1">
      <alignment horizontal="right" vertical="center"/>
    </xf>
    <xf numFmtId="2" fontId="6" fillId="18" borderId="6" xfId="0" applyNumberFormat="1" applyFont="1" applyFill="1" applyBorder="1" applyAlignment="1">
      <alignment horizontal="right" vertical="center"/>
    </xf>
    <xf numFmtId="0" fontId="9" fillId="24" borderId="6" xfId="0" applyFont="1" applyFill="1" applyBorder="1" applyAlignment="1">
      <alignment horizontal="center"/>
    </xf>
    <xf numFmtId="0" fontId="6" fillId="20" borderId="6" xfId="0" applyFont="1" applyFill="1" applyBorder="1" applyAlignment="1">
      <alignment horizontal="center"/>
    </xf>
    <xf numFmtId="4" fontId="6" fillId="23" borderId="6" xfId="0" applyNumberFormat="1" applyFont="1" applyFill="1" applyBorder="1" applyAlignment="1">
      <alignment horizontal="right"/>
    </xf>
    <xf numFmtId="0" fontId="11" fillId="20" borderId="6" xfId="0" applyFont="1" applyFill="1" applyBorder="1" applyAlignment="1">
      <alignment horizontal="center"/>
    </xf>
    <xf numFmtId="4" fontId="6" fillId="20" borderId="6" xfId="0" applyNumberFormat="1" applyFont="1" applyFill="1" applyBorder="1" applyAlignment="1">
      <alignment horizontal="right"/>
    </xf>
    <xf numFmtId="4" fontId="6" fillId="23" borderId="6" xfId="0" applyNumberFormat="1" applyFont="1" applyFill="1" applyBorder="1" applyAlignment="1">
      <alignment horizontal="right" vertical="center"/>
    </xf>
    <xf numFmtId="0" fontId="9" fillId="24" borderId="6" xfId="0" applyFont="1" applyFill="1" applyBorder="1" applyAlignment="1">
      <alignment horizontal="center" vertical="center"/>
    </xf>
    <xf numFmtId="4" fontId="6" fillId="20" borderId="6" xfId="0" applyNumberFormat="1" applyFont="1" applyFill="1" applyBorder="1" applyAlignment="1">
      <alignment horizontal="right" vertical="center"/>
    </xf>
    <xf numFmtId="4" fontId="6" fillId="25" borderId="6" xfId="0" applyNumberFormat="1" applyFont="1" applyFill="1" applyBorder="1" applyAlignment="1">
      <alignment horizontal="right" vertical="center"/>
    </xf>
    <xf numFmtId="0" fontId="9" fillId="27" borderId="6" xfId="0" applyFont="1" applyFill="1" applyBorder="1" applyAlignment="1">
      <alignment horizontal="center" vertical="center"/>
    </xf>
    <xf numFmtId="4" fontId="9" fillId="27" borderId="6" xfId="0" applyNumberFormat="1" applyFont="1" applyFill="1" applyBorder="1" applyAlignment="1">
      <alignment horizontal="center" vertical="center"/>
    </xf>
    <xf numFmtId="0" fontId="4" fillId="0" borderId="4" xfId="0" applyFont="1" applyBorder="1"/>
    <xf numFmtId="168" fontId="12" fillId="22" borderId="6" xfId="0" applyNumberFormat="1" applyFont="1" applyFill="1" applyBorder="1" applyAlignment="1">
      <alignment vertical="center"/>
    </xf>
    <xf numFmtId="4" fontId="6" fillId="14" borderId="6" xfId="0" applyNumberFormat="1" applyFont="1" applyFill="1" applyBorder="1" applyAlignment="1">
      <alignment horizontal="right" vertical="center"/>
    </xf>
    <xf numFmtId="4" fontId="6" fillId="14" borderId="6" xfId="0" applyNumberFormat="1" applyFont="1" applyFill="1" applyBorder="1" applyAlignment="1">
      <alignment horizontal="right" vertical="center" wrapText="1"/>
    </xf>
    <xf numFmtId="10" fontId="6" fillId="14" borderId="6" xfId="0" applyNumberFormat="1" applyFont="1" applyFill="1" applyBorder="1" applyAlignment="1">
      <alignment horizontal="right" vertical="center"/>
    </xf>
    <xf numFmtId="10" fontId="6" fillId="20" borderId="6" xfId="0" applyNumberFormat="1" applyFont="1" applyFill="1" applyBorder="1" applyAlignment="1">
      <alignment horizontal="right" vertical="center"/>
    </xf>
    <xf numFmtId="0" fontId="6" fillId="20" borderId="6" xfId="0" applyFont="1" applyFill="1" applyBorder="1" applyAlignment="1">
      <alignment horizontal="right" vertical="center" wrapText="1"/>
    </xf>
    <xf numFmtId="9" fontId="6" fillId="14" borderId="6" xfId="0" applyNumberFormat="1" applyFont="1" applyFill="1" applyBorder="1" applyAlignment="1">
      <alignment horizontal="center" vertical="center" wrapText="1"/>
    </xf>
    <xf numFmtId="169" fontId="6" fillId="14" borderId="6" xfId="0" applyNumberFormat="1" applyFont="1" applyFill="1" applyBorder="1" applyAlignment="1">
      <alignment horizontal="center" vertical="center" wrapText="1"/>
    </xf>
    <xf numFmtId="170" fontId="6" fillId="20" borderId="6" xfId="0" applyNumberFormat="1" applyFont="1" applyFill="1" applyBorder="1" applyAlignment="1">
      <alignment horizontal="right" vertical="center"/>
    </xf>
    <xf numFmtId="0" fontId="49" fillId="15" borderId="66" xfId="0" applyFont="1" applyFill="1" applyBorder="1"/>
    <xf numFmtId="0" fontId="49" fillId="15" borderId="67" xfId="0" applyFont="1" applyFill="1" applyBorder="1"/>
    <xf numFmtId="4" fontId="6" fillId="19" borderId="6" xfId="4" applyNumberFormat="1" applyFont="1" applyFill="1" applyBorder="1" applyAlignment="1">
      <alignment horizontal="right" vertical="center"/>
    </xf>
    <xf numFmtId="4" fontId="6" fillId="19" borderId="6" xfId="4" applyNumberFormat="1" applyFont="1" applyFill="1" applyBorder="1" applyAlignment="1">
      <alignment horizontal="right" vertical="center" wrapText="1"/>
    </xf>
    <xf numFmtId="4" fontId="0" fillId="0" borderId="6" xfId="0" applyNumberFormat="1" applyBorder="1"/>
    <xf numFmtId="4" fontId="0" fillId="0" borderId="69" xfId="0" applyNumberFormat="1" applyBorder="1"/>
    <xf numFmtId="0" fontId="0" fillId="0" borderId="70" xfId="0" applyBorder="1"/>
    <xf numFmtId="0" fontId="0" fillId="0" borderId="71" xfId="0" applyBorder="1"/>
    <xf numFmtId="0" fontId="49" fillId="15" borderId="74" xfId="0" applyFont="1" applyFill="1" applyBorder="1" applyAlignment="1">
      <alignment horizontal="center"/>
    </xf>
    <xf numFmtId="0" fontId="45" fillId="0" borderId="76" xfId="0" applyFont="1" applyBorder="1"/>
    <xf numFmtId="0" fontId="45" fillId="0" borderId="77" xfId="0" applyFont="1" applyBorder="1"/>
    <xf numFmtId="0" fontId="0" fillId="0" borderId="78" xfId="0" applyBorder="1"/>
    <xf numFmtId="0" fontId="0" fillId="0" borderId="75" xfId="0" applyBorder="1"/>
    <xf numFmtId="4" fontId="0" fillId="0" borderId="79" xfId="0" applyNumberFormat="1" applyBorder="1"/>
    <xf numFmtId="0" fontId="45" fillId="0" borderId="66" xfId="0" applyFont="1" applyBorder="1"/>
    <xf numFmtId="0" fontId="0" fillId="0" borderId="67" xfId="0" applyBorder="1"/>
    <xf numFmtId="0" fontId="0" fillId="0" borderId="68" xfId="0" applyBorder="1"/>
    <xf numFmtId="0" fontId="0" fillId="15" borderId="67" xfId="0" applyFill="1" applyBorder="1"/>
    <xf numFmtId="0" fontId="0" fillId="15" borderId="68" xfId="0" applyFill="1" applyBorder="1"/>
    <xf numFmtId="4" fontId="0" fillId="15" borderId="70" xfId="0" applyNumberFormat="1" applyFill="1" applyBorder="1"/>
    <xf numFmtId="4" fontId="49" fillId="15" borderId="70" xfId="0" applyNumberFormat="1" applyFont="1" applyFill="1" applyBorder="1"/>
    <xf numFmtId="43" fontId="4" fillId="0" borderId="6" xfId="0" applyNumberFormat="1" applyFont="1" applyBorder="1" applyAlignment="1">
      <alignment horizontal="center"/>
    </xf>
    <xf numFmtId="43" fontId="0" fillId="0" borderId="6" xfId="0" applyNumberFormat="1" applyBorder="1"/>
    <xf numFmtId="0" fontId="49" fillId="15" borderId="72" xfId="0" applyFont="1" applyFill="1" applyBorder="1"/>
    <xf numFmtId="0" fontId="49" fillId="15" borderId="73" xfId="0" applyFont="1" applyFill="1" applyBorder="1"/>
    <xf numFmtId="10" fontId="12" fillId="6" borderId="4" xfId="0" applyNumberFormat="1" applyFont="1" applyFill="1" applyBorder="1" applyAlignment="1">
      <alignment horizontal="center" vertical="center" wrapText="1"/>
    </xf>
    <xf numFmtId="4" fontId="51" fillId="0" borderId="0" xfId="0" applyNumberFormat="1" applyFont="1"/>
    <xf numFmtId="171" fontId="12" fillId="6" borderId="5" xfId="0" applyNumberFormat="1" applyFont="1" applyFill="1" applyBorder="1" applyAlignment="1">
      <alignment vertical="center" wrapText="1"/>
    </xf>
    <xf numFmtId="0" fontId="45" fillId="0" borderId="0" xfId="0" applyFont="1"/>
    <xf numFmtId="0" fontId="46" fillId="0" borderId="4" xfId="0" applyFont="1" applyBorder="1"/>
    <xf numFmtId="0" fontId="46" fillId="0" borderId="5" xfId="0" applyFont="1" applyBorder="1"/>
    <xf numFmtId="0" fontId="53" fillId="2" borderId="3" xfId="0" applyFont="1" applyFill="1" applyBorder="1" applyAlignment="1">
      <alignment vertical="center"/>
    </xf>
    <xf numFmtId="0" fontId="9" fillId="28" borderId="7" xfId="0" applyFont="1" applyFill="1" applyBorder="1" applyAlignment="1">
      <alignment horizontal="center" vertical="center" wrapText="1"/>
    </xf>
    <xf numFmtId="0" fontId="12" fillId="28" borderId="6" xfId="0" applyFont="1" applyFill="1" applyBorder="1" applyAlignment="1">
      <alignment horizontal="center" vertical="center" wrapText="1"/>
    </xf>
    <xf numFmtId="0" fontId="9" fillId="28" borderId="7" xfId="0" applyFont="1" applyFill="1" applyBorder="1" applyAlignment="1">
      <alignment horizontal="center" vertical="center"/>
    </xf>
    <xf numFmtId="4" fontId="9" fillId="30" borderId="6" xfId="0" applyNumberFormat="1" applyFont="1" applyFill="1" applyBorder="1" applyAlignment="1">
      <alignment vertical="center"/>
    </xf>
    <xf numFmtId="0" fontId="9" fillId="28" borderId="6" xfId="0" applyFont="1" applyFill="1" applyBorder="1" applyAlignment="1">
      <alignment horizontal="center" vertical="center"/>
    </xf>
    <xf numFmtId="0" fontId="9" fillId="28" borderId="6" xfId="0" applyFont="1" applyFill="1" applyBorder="1" applyAlignment="1">
      <alignment horizontal="center" vertical="center" wrapText="1"/>
    </xf>
    <xf numFmtId="0" fontId="11" fillId="30" borderId="6" xfId="0" applyFont="1" applyFill="1" applyBorder="1" applyAlignment="1">
      <alignment horizontal="center" vertical="center"/>
    </xf>
    <xf numFmtId="4" fontId="6" fillId="30" borderId="6" xfId="0" applyNumberFormat="1" applyFont="1" applyFill="1" applyBorder="1" applyAlignment="1">
      <alignment horizontal="right" vertical="center"/>
    </xf>
    <xf numFmtId="0" fontId="12" fillId="28" borderId="6" xfId="0" applyFont="1" applyFill="1" applyBorder="1" applyAlignment="1">
      <alignment horizontal="center" vertical="center"/>
    </xf>
    <xf numFmtId="4" fontId="6" fillId="30" borderId="6" xfId="0" applyNumberFormat="1" applyFont="1" applyFill="1" applyBorder="1" applyAlignment="1">
      <alignment horizontal="right" vertical="center" wrapText="1"/>
    </xf>
    <xf numFmtId="0" fontId="9" fillId="28" borderId="8" xfId="0" applyFont="1" applyFill="1" applyBorder="1" applyAlignment="1">
      <alignment horizontal="center" vertical="center"/>
    </xf>
    <xf numFmtId="2" fontId="6" fillId="30" borderId="6" xfId="0" applyNumberFormat="1" applyFont="1" applyFill="1" applyBorder="1" applyAlignment="1">
      <alignment horizontal="right" vertical="center"/>
    </xf>
    <xf numFmtId="4" fontId="9" fillId="28" borderId="6" xfId="0" applyNumberFormat="1" applyFont="1" applyFill="1" applyBorder="1" applyAlignment="1">
      <alignment horizontal="center" vertical="center"/>
    </xf>
    <xf numFmtId="0" fontId="6" fillId="29" borderId="6" xfId="0" applyFont="1" applyFill="1" applyBorder="1" applyAlignment="1">
      <alignment horizontal="center" vertical="center"/>
    </xf>
    <xf numFmtId="10" fontId="6" fillId="31" borderId="6" xfId="0" applyNumberFormat="1" applyFont="1" applyFill="1" applyBorder="1" applyAlignment="1">
      <alignment horizontal="right" vertical="center"/>
    </xf>
    <xf numFmtId="4" fontId="6" fillId="29" borderId="6" xfId="0" applyNumberFormat="1" applyFont="1" applyFill="1" applyBorder="1" applyAlignment="1">
      <alignment horizontal="right" vertical="center"/>
    </xf>
    <xf numFmtId="0" fontId="49" fillId="29" borderId="66" xfId="0" applyFont="1" applyFill="1" applyBorder="1"/>
    <xf numFmtId="0" fontId="49" fillId="29" borderId="67" xfId="0" applyFont="1" applyFill="1" applyBorder="1"/>
    <xf numFmtId="0" fontId="49" fillId="29" borderId="72" xfId="0" applyFont="1" applyFill="1" applyBorder="1"/>
    <xf numFmtId="0" fontId="49" fillId="29" borderId="73" xfId="0" applyFont="1" applyFill="1" applyBorder="1"/>
    <xf numFmtId="0" fontId="49" fillId="29" borderId="74" xfId="0" applyFont="1" applyFill="1" applyBorder="1" applyAlignment="1">
      <alignment horizontal="center"/>
    </xf>
    <xf numFmtId="4" fontId="7" fillId="0" borderId="6" xfId="0" applyNumberFormat="1" applyFont="1" applyBorder="1" applyAlignment="1">
      <alignment vertical="center"/>
    </xf>
    <xf numFmtId="10" fontId="4" fillId="0" borderId="5" xfId="0" applyNumberFormat="1" applyFont="1" applyBorder="1"/>
    <xf numFmtId="4" fontId="4" fillId="0" borderId="4" xfId="0" applyNumberFormat="1" applyFont="1" applyBorder="1"/>
    <xf numFmtId="170" fontId="4" fillId="0" borderId="5" xfId="0" applyNumberFormat="1" applyFont="1" applyBorder="1"/>
    <xf numFmtId="0" fontId="4" fillId="20" borderId="4" xfId="0" applyFont="1" applyFill="1" applyBorder="1"/>
    <xf numFmtId="0" fontId="4" fillId="20" borderId="5" xfId="0" applyFont="1" applyFill="1" applyBorder="1"/>
    <xf numFmtId="4" fontId="4" fillId="20" borderId="4" xfId="0" applyNumberFormat="1" applyFont="1" applyFill="1" applyBorder="1"/>
    <xf numFmtId="10" fontId="4" fillId="20" borderId="5" xfId="0" applyNumberFormat="1" applyFont="1" applyFill="1" applyBorder="1"/>
    <xf numFmtId="172" fontId="0" fillId="0" borderId="0" xfId="0" applyNumberFormat="1"/>
    <xf numFmtId="173" fontId="0" fillId="0" borderId="0" xfId="0" applyNumberFormat="1"/>
    <xf numFmtId="0" fontId="49" fillId="20" borderId="80" xfId="0" applyFont="1" applyFill="1" applyBorder="1"/>
    <xf numFmtId="0" fontId="49" fillId="20" borderId="81" xfId="0" applyFont="1" applyFill="1" applyBorder="1"/>
    <xf numFmtId="0" fontId="49" fillId="20" borderId="53" xfId="0" applyFont="1" applyFill="1" applyBorder="1"/>
    <xf numFmtId="4" fontId="49" fillId="20" borderId="53" xfId="0" applyNumberFormat="1" applyFont="1" applyFill="1" applyBorder="1"/>
    <xf numFmtId="0" fontId="49" fillId="20" borderId="66" xfId="0" applyFont="1" applyFill="1" applyBorder="1"/>
    <xf numFmtId="0" fontId="49" fillId="20" borderId="67" xfId="0" applyFont="1" applyFill="1" applyBorder="1"/>
    <xf numFmtId="4" fontId="49" fillId="20" borderId="68" xfId="0" applyNumberFormat="1" applyFont="1" applyFill="1" applyBorder="1"/>
    <xf numFmtId="0" fontId="49" fillId="20" borderId="83" xfId="0" applyFont="1" applyFill="1" applyBorder="1"/>
    <xf numFmtId="4" fontId="49" fillId="15" borderId="82" xfId="0" applyNumberFormat="1" applyFont="1" applyFill="1" applyBorder="1"/>
    <xf numFmtId="4" fontId="49" fillId="20" borderId="82" xfId="0" applyNumberFormat="1" applyFont="1" applyFill="1" applyBorder="1"/>
    <xf numFmtId="9" fontId="49" fillId="15" borderId="82" xfId="0" applyNumberFormat="1" applyFont="1" applyFill="1" applyBorder="1" applyAlignment="1">
      <alignment horizontal="center"/>
    </xf>
    <xf numFmtId="9" fontId="49" fillId="20" borderId="82" xfId="0" applyNumberFormat="1" applyFont="1" applyFill="1" applyBorder="1" applyAlignment="1">
      <alignment horizontal="center"/>
    </xf>
    <xf numFmtId="10" fontId="49" fillId="20" borderId="82" xfId="0" applyNumberFormat="1" applyFont="1" applyFill="1" applyBorder="1" applyAlignment="1">
      <alignment horizontal="center"/>
    </xf>
    <xf numFmtId="0" fontId="49" fillId="15" borderId="82" xfId="0" applyFont="1" applyFill="1" applyBorder="1" applyAlignment="1">
      <alignment horizontal="center"/>
    </xf>
    <xf numFmtId="0" fontId="49" fillId="20" borderId="82" xfId="0" applyFont="1" applyFill="1" applyBorder="1" applyAlignment="1">
      <alignment horizontal="center"/>
    </xf>
    <xf numFmtId="4" fontId="49" fillId="20" borderId="81" xfId="0" applyNumberFormat="1" applyFont="1" applyFill="1" applyBorder="1"/>
    <xf numFmtId="9" fontId="49" fillId="29" borderId="82" xfId="0" applyNumberFormat="1" applyFont="1" applyFill="1" applyBorder="1" applyAlignment="1">
      <alignment horizontal="center"/>
    </xf>
    <xf numFmtId="4" fontId="49" fillId="29" borderId="82" xfId="0" applyNumberFormat="1" applyFont="1" applyFill="1" applyBorder="1"/>
    <xf numFmtId="0" fontId="49" fillId="29" borderId="82" xfId="0" applyFont="1" applyFill="1" applyBorder="1" applyAlignment="1">
      <alignment horizontal="center"/>
    </xf>
    <xf numFmtId="10" fontId="6" fillId="18" borderId="6" xfId="0" applyNumberFormat="1" applyFont="1" applyFill="1" applyBorder="1" applyAlignment="1">
      <alignment horizontal="right" vertical="center"/>
    </xf>
    <xf numFmtId="10" fontId="6" fillId="30" borderId="6" xfId="0" applyNumberFormat="1" applyFont="1" applyFill="1" applyBorder="1" applyAlignment="1">
      <alignment horizontal="right" vertical="center"/>
    </xf>
    <xf numFmtId="0" fontId="0" fillId="29" borderId="67" xfId="0" applyFill="1" applyBorder="1"/>
    <xf numFmtId="0" fontId="0" fillId="29" borderId="68" xfId="0" applyFill="1" applyBorder="1"/>
    <xf numFmtId="4" fontId="49" fillId="29" borderId="70" xfId="0" applyNumberFormat="1" applyFont="1" applyFill="1" applyBorder="1"/>
    <xf numFmtId="4" fontId="0" fillId="29" borderId="70" xfId="0" applyNumberFormat="1" applyFill="1" applyBorder="1"/>
    <xf numFmtId="3" fontId="0" fillId="0" borderId="0" xfId="0" applyNumberFormat="1"/>
    <xf numFmtId="3" fontId="45" fillId="0" borderId="66" xfId="0" applyNumberFormat="1" applyFont="1" applyBorder="1"/>
    <xf numFmtId="3" fontId="0" fillId="0" borderId="67" xfId="0" applyNumberFormat="1" applyBorder="1"/>
    <xf numFmtId="3" fontId="0" fillId="0" borderId="68" xfId="0" applyNumberFormat="1" applyBorder="1"/>
    <xf numFmtId="3" fontId="0" fillId="0" borderId="70" xfId="0" applyNumberFormat="1" applyBorder="1" applyAlignment="1">
      <alignment horizontal="center"/>
    </xf>
    <xf numFmtId="4" fontId="57" fillId="0" borderId="6" xfId="0" applyNumberFormat="1" applyFont="1" applyBorder="1"/>
    <xf numFmtId="173" fontId="49" fillId="20" borderId="53" xfId="0" applyNumberFormat="1" applyFont="1" applyFill="1" applyBorder="1"/>
    <xf numFmtId="0" fontId="61" fillId="0" borderId="53" xfId="0" applyFont="1" applyBorder="1" applyAlignment="1">
      <alignment horizontal="center"/>
    </xf>
    <xf numFmtId="0" fontId="49" fillId="0" borderId="11" xfId="0" applyFont="1" applyBorder="1" applyAlignment="1">
      <alignment horizontal="center"/>
    </xf>
    <xf numFmtId="0" fontId="6" fillId="22" borderId="8" xfId="0" applyFont="1" applyFill="1" applyBorder="1" applyAlignment="1">
      <alignment horizontal="center" vertical="center"/>
    </xf>
    <xf numFmtId="0" fontId="6" fillId="22" borderId="4" xfId="0" applyFont="1" applyFill="1" applyBorder="1" applyAlignment="1">
      <alignment horizontal="center" vertical="center"/>
    </xf>
    <xf numFmtId="0" fontId="9" fillId="28" borderId="3" xfId="0" applyFont="1" applyFill="1" applyBorder="1" applyAlignment="1">
      <alignment horizontal="center" vertical="center"/>
    </xf>
    <xf numFmtId="0" fontId="4" fillId="29" borderId="4" xfId="0" applyFont="1" applyFill="1" applyBorder="1"/>
    <xf numFmtId="0" fontId="4" fillId="29" borderId="5" xfId="0" applyFont="1" applyFill="1" applyBorder="1"/>
    <xf numFmtId="0" fontId="6" fillId="29" borderId="8" xfId="0" applyFont="1" applyFill="1" applyBorder="1" applyAlignment="1">
      <alignment horizontal="left" vertical="center"/>
    </xf>
    <xf numFmtId="0" fontId="6" fillId="29" borderId="4" xfId="0" applyFont="1" applyFill="1" applyBorder="1" applyAlignment="1">
      <alignment horizontal="left" vertical="center"/>
    </xf>
    <xf numFmtId="0" fontId="6" fillId="29" borderId="5" xfId="0" applyFont="1" applyFill="1" applyBorder="1" applyAlignment="1">
      <alignment horizontal="left" vertical="center"/>
    </xf>
    <xf numFmtId="0" fontId="52" fillId="6" borderId="8" xfId="0" applyFont="1" applyFill="1" applyBorder="1" applyAlignment="1">
      <alignment horizontal="center" vertical="center" wrapText="1"/>
    </xf>
    <xf numFmtId="0" fontId="52" fillId="6" borderId="4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52" fillId="21" borderId="8" xfId="0" applyFont="1" applyFill="1" applyBorder="1" applyAlignment="1">
      <alignment horizontal="center" vertical="center" wrapText="1"/>
    </xf>
    <xf numFmtId="0" fontId="52" fillId="21" borderId="4" xfId="0" applyFont="1" applyFill="1" applyBorder="1" applyAlignment="1">
      <alignment horizontal="center" vertical="center" wrapText="1"/>
    </xf>
    <xf numFmtId="0" fontId="6" fillId="22" borderId="8" xfId="0" applyFont="1" applyFill="1" applyBorder="1" applyAlignment="1">
      <alignment horizontal="center" vertical="center" wrapText="1"/>
    </xf>
    <xf numFmtId="0" fontId="6" fillId="22" borderId="4" xfId="0" applyFont="1" applyFill="1" applyBorder="1" applyAlignment="1">
      <alignment horizontal="center" vertical="center" wrapText="1"/>
    </xf>
    <xf numFmtId="0" fontId="6" fillId="21" borderId="8" xfId="0" applyFont="1" applyFill="1" applyBorder="1" applyAlignment="1">
      <alignment horizontal="center" vertical="center" wrapText="1"/>
    </xf>
    <xf numFmtId="0" fontId="6" fillId="21" borderId="4" xfId="0" applyFont="1" applyFill="1" applyBorder="1" applyAlignment="1">
      <alignment horizontal="center" vertical="center" wrapText="1"/>
    </xf>
    <xf numFmtId="0" fontId="6" fillId="20" borderId="8" xfId="0" applyFont="1" applyFill="1" applyBorder="1" applyAlignment="1">
      <alignment horizontal="center" vertical="center" wrapText="1"/>
    </xf>
    <xf numFmtId="0" fontId="6" fillId="20" borderId="4" xfId="0" applyFont="1" applyFill="1" applyBorder="1" applyAlignment="1">
      <alignment horizontal="center" vertical="center" wrapText="1"/>
    </xf>
    <xf numFmtId="0" fontId="6" fillId="20" borderId="3" xfId="0" applyFont="1" applyFill="1" applyBorder="1" applyAlignment="1">
      <alignment horizontal="left" vertical="center" wrapText="1"/>
    </xf>
    <xf numFmtId="0" fontId="4" fillId="20" borderId="4" xfId="0" applyFont="1" applyFill="1" applyBorder="1"/>
    <xf numFmtId="0" fontId="4" fillId="20" borderId="5" xfId="0" applyFont="1" applyFill="1" applyBorder="1"/>
    <xf numFmtId="0" fontId="6" fillId="30" borderId="3" xfId="0" applyFont="1" applyFill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/>
    <xf numFmtId="0" fontId="9" fillId="20" borderId="3" xfId="0" applyFont="1" applyFill="1" applyBorder="1" applyAlignment="1">
      <alignment horizontal="center" vertical="center"/>
    </xf>
    <xf numFmtId="0" fontId="9" fillId="24" borderId="3" xfId="0" applyFont="1" applyFill="1" applyBorder="1" applyAlignment="1">
      <alignment horizontal="center" vertical="center" wrapText="1"/>
    </xf>
    <xf numFmtId="0" fontId="6" fillId="23" borderId="3" xfId="0" applyFont="1" applyFill="1" applyBorder="1" applyAlignment="1">
      <alignment horizontal="right" vertical="center"/>
    </xf>
    <xf numFmtId="0" fontId="9" fillId="24" borderId="3" xfId="0" applyFont="1" applyFill="1" applyBorder="1" applyAlignment="1">
      <alignment horizontal="center" vertical="center"/>
    </xf>
    <xf numFmtId="0" fontId="6" fillId="22" borderId="3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53" fillId="21" borderId="8" xfId="0" applyFont="1" applyFill="1" applyBorder="1" applyAlignment="1">
      <alignment horizontal="center" vertical="center" wrapText="1"/>
    </xf>
    <xf numFmtId="0" fontId="53" fillId="21" borderId="4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6" fillId="6" borderId="3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 wrapText="1"/>
    </xf>
    <xf numFmtId="0" fontId="6" fillId="21" borderId="3" xfId="0" applyFont="1" applyFill="1" applyBorder="1" applyAlignment="1">
      <alignment horizontal="left" vertical="center" wrapText="1"/>
    </xf>
    <xf numFmtId="0" fontId="12" fillId="6" borderId="3" xfId="0" applyFont="1" applyFill="1" applyBorder="1" applyAlignment="1">
      <alignment horizontal="left" vertical="center" wrapText="1"/>
    </xf>
    <xf numFmtId="0" fontId="52" fillId="0" borderId="8" xfId="0" applyFont="1" applyBorder="1" applyAlignment="1">
      <alignment horizontal="left" vertical="center" wrapText="1"/>
    </xf>
    <xf numFmtId="0" fontId="52" fillId="0" borderId="4" xfId="0" applyFont="1" applyBorder="1" applyAlignment="1">
      <alignment horizontal="left" vertical="center" wrapText="1"/>
    </xf>
    <xf numFmtId="0" fontId="52" fillId="0" borderId="5" xfId="0" applyFont="1" applyBorder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9" fillId="28" borderId="3" xfId="0" applyFont="1" applyFill="1" applyBorder="1" applyAlignment="1">
      <alignment horizontal="center" vertical="center" wrapText="1"/>
    </xf>
    <xf numFmtId="0" fontId="58" fillId="19" borderId="3" xfId="0" applyFont="1" applyFill="1" applyBorder="1" applyAlignment="1">
      <alignment horizontal="left" vertical="center" wrapText="1"/>
    </xf>
    <xf numFmtId="0" fontId="59" fillId="19" borderId="4" xfId="0" applyFont="1" applyFill="1" applyBorder="1"/>
    <xf numFmtId="0" fontId="6" fillId="0" borderId="3" xfId="0" applyFont="1" applyBorder="1" applyAlignment="1">
      <alignment horizontal="center" vertical="center" wrapText="1"/>
    </xf>
    <xf numFmtId="0" fontId="6" fillId="30" borderId="3" xfId="0" applyFont="1" applyFill="1" applyBorder="1" applyAlignment="1">
      <alignment horizontal="right" vertical="center" wrapText="1"/>
    </xf>
    <xf numFmtId="0" fontId="48" fillId="29" borderId="4" xfId="0" applyFont="1" applyFill="1" applyBorder="1"/>
    <xf numFmtId="0" fontId="48" fillId="29" borderId="5" xfId="0" applyFont="1" applyFill="1" applyBorder="1"/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9" fillId="17" borderId="3" xfId="0" applyFont="1" applyFill="1" applyBorder="1" applyAlignment="1">
      <alignment horizontal="center" vertical="center" wrapText="1"/>
    </xf>
    <xf numFmtId="0" fontId="4" fillId="15" borderId="4" xfId="0" applyFont="1" applyFill="1" applyBorder="1"/>
    <xf numFmtId="0" fontId="4" fillId="15" borderId="5" xfId="0" applyFont="1" applyFill="1" applyBorder="1"/>
    <xf numFmtId="0" fontId="6" fillId="18" borderId="3" xfId="0" applyFont="1" applyFill="1" applyBorder="1" applyAlignment="1">
      <alignment horizontal="right" vertical="center" wrapText="1"/>
    </xf>
    <xf numFmtId="0" fontId="48" fillId="15" borderId="4" xfId="0" applyFont="1" applyFill="1" applyBorder="1"/>
    <xf numFmtId="0" fontId="48" fillId="15" borderId="5" xfId="0" applyFont="1" applyFill="1" applyBorder="1"/>
    <xf numFmtId="0" fontId="12" fillId="0" borderId="3" xfId="0" applyFont="1" applyBorder="1" applyAlignment="1">
      <alignment horizontal="left" vertical="center" wrapText="1"/>
    </xf>
    <xf numFmtId="0" fontId="52" fillId="0" borderId="8" xfId="0" applyFont="1" applyBorder="1" applyAlignment="1">
      <alignment horizontal="center" vertical="center" wrapText="1"/>
    </xf>
    <xf numFmtId="0" fontId="52" fillId="0" borderId="4" xfId="0" applyFont="1" applyBorder="1" applyAlignment="1">
      <alignment horizontal="center" vertical="center" wrapText="1"/>
    </xf>
    <xf numFmtId="0" fontId="52" fillId="0" borderId="5" xfId="0" applyFont="1" applyBorder="1" applyAlignment="1">
      <alignment horizontal="center" vertical="center" wrapText="1"/>
    </xf>
    <xf numFmtId="0" fontId="6" fillId="6" borderId="3" xfId="0" applyFont="1" applyFill="1" applyBorder="1" applyAlignment="1">
      <alignment horizontal="left" vertical="center" wrapText="1"/>
    </xf>
    <xf numFmtId="0" fontId="6" fillId="19" borderId="3" xfId="0" applyFont="1" applyFill="1" applyBorder="1" applyAlignment="1">
      <alignment horizontal="left" vertical="center" wrapText="1"/>
    </xf>
    <xf numFmtId="0" fontId="4" fillId="19" borderId="4" xfId="0" applyFont="1" applyFill="1" applyBorder="1"/>
    <xf numFmtId="0" fontId="6" fillId="18" borderId="3" xfId="0" applyFont="1" applyFill="1" applyBorder="1" applyAlignment="1">
      <alignment horizontal="right" vertical="center"/>
    </xf>
    <xf numFmtId="0" fontId="9" fillId="17" borderId="3" xfId="0" applyFont="1" applyFill="1" applyBorder="1" applyAlignment="1">
      <alignment horizontal="center" vertical="center"/>
    </xf>
    <xf numFmtId="0" fontId="6" fillId="25" borderId="3" xfId="0" applyFont="1" applyFill="1" applyBorder="1" applyAlignment="1">
      <alignment horizontal="right" vertical="center"/>
    </xf>
    <xf numFmtId="0" fontId="4" fillId="26" borderId="4" xfId="0" applyFont="1" applyFill="1" applyBorder="1"/>
    <xf numFmtId="0" fontId="4" fillId="26" borderId="5" xfId="0" applyFont="1" applyFill="1" applyBorder="1"/>
    <xf numFmtId="0" fontId="45" fillId="0" borderId="0" xfId="0" applyFont="1" applyAlignment="1">
      <alignment horizontal="left" vertical="justify"/>
    </xf>
    <xf numFmtId="0" fontId="52" fillId="22" borderId="8" xfId="0" applyFont="1" applyFill="1" applyBorder="1" applyAlignment="1">
      <alignment horizontal="center" vertical="center" wrapText="1"/>
    </xf>
    <xf numFmtId="0" fontId="52" fillId="22" borderId="4" xfId="0" applyFont="1" applyFill="1" applyBorder="1" applyAlignment="1">
      <alignment horizontal="center" vertical="center" wrapText="1"/>
    </xf>
    <xf numFmtId="0" fontId="6" fillId="22" borderId="8" xfId="0" applyFont="1" applyFill="1" applyBorder="1" applyAlignment="1">
      <alignment horizontal="left" vertical="center"/>
    </xf>
    <xf numFmtId="0" fontId="6" fillId="22" borderId="4" xfId="0" applyFont="1" applyFill="1" applyBorder="1" applyAlignment="1">
      <alignment horizontal="left" vertical="center"/>
    </xf>
    <xf numFmtId="0" fontId="9" fillId="27" borderId="3" xfId="0" applyFont="1" applyFill="1" applyBorder="1" applyAlignment="1">
      <alignment horizontal="center" vertical="center"/>
    </xf>
    <xf numFmtId="0" fontId="6" fillId="15" borderId="8" xfId="0" applyFont="1" applyFill="1" applyBorder="1" applyAlignment="1">
      <alignment horizontal="left" vertical="center"/>
    </xf>
    <xf numFmtId="0" fontId="6" fillId="15" borderId="4" xfId="0" applyFont="1" applyFill="1" applyBorder="1" applyAlignment="1">
      <alignment horizontal="left" vertical="center"/>
    </xf>
    <xf numFmtId="0" fontId="6" fillId="15" borderId="5" xfId="0" applyFont="1" applyFill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7" fillId="0" borderId="3" xfId="0" applyFont="1" applyBorder="1" applyAlignment="1">
      <alignment horizontal="center" vertical="center" wrapText="1"/>
    </xf>
    <xf numFmtId="166" fontId="8" fillId="0" borderId="3" xfId="0" applyNumberFormat="1" applyFont="1" applyBorder="1" applyAlignment="1">
      <alignment horizontal="center" vertical="center" wrapText="1"/>
    </xf>
    <xf numFmtId="167" fontId="8" fillId="0" borderId="3" xfId="0" applyNumberFormat="1" applyFont="1" applyBorder="1" applyAlignment="1">
      <alignment horizontal="center" vertical="center"/>
    </xf>
    <xf numFmtId="168" fontId="8" fillId="0" borderId="3" xfId="0" applyNumberFormat="1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6" fillId="3" borderId="3" xfId="0" applyFont="1" applyFill="1" applyBorder="1" applyAlignment="1">
      <alignment horizontal="left" wrapText="1"/>
    </xf>
    <xf numFmtId="0" fontId="9" fillId="3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right" vertical="center" wrapText="1"/>
    </xf>
    <xf numFmtId="0" fontId="6" fillId="5" borderId="3" xfId="0" applyFont="1" applyFill="1" applyBorder="1" applyAlignment="1">
      <alignment horizontal="right" vertical="center"/>
    </xf>
    <xf numFmtId="0" fontId="13" fillId="3" borderId="3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/>
    </xf>
    <xf numFmtId="0" fontId="0" fillId="0" borderId="0" xfId="0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11" xfId="0" applyFont="1" applyBorder="1" applyAlignment="1">
      <alignment horizontal="left" vertical="center"/>
    </xf>
    <xf numFmtId="49" fontId="16" fillId="0" borderId="3" xfId="0" applyNumberFormat="1" applyFont="1" applyBorder="1" applyAlignment="1">
      <alignment horizontal="center" vertical="center" wrapText="1"/>
    </xf>
    <xf numFmtId="49" fontId="6" fillId="5" borderId="3" xfId="0" applyNumberFormat="1" applyFont="1" applyFill="1" applyBorder="1" applyAlignment="1">
      <alignment horizontal="right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167" fontId="17" fillId="0" borderId="3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167" fontId="17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top"/>
    </xf>
    <xf numFmtId="0" fontId="6" fillId="3" borderId="12" xfId="0" applyFont="1" applyFill="1" applyBorder="1" applyAlignment="1">
      <alignment horizontal="center" vertical="center"/>
    </xf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6" fillId="3" borderId="1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11" fillId="0" borderId="3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left" wrapText="1"/>
    </xf>
    <xf numFmtId="0" fontId="6" fillId="3" borderId="12" xfId="0" applyFont="1" applyFill="1" applyBorder="1" applyAlignment="1">
      <alignment horizontal="center"/>
    </xf>
    <xf numFmtId="0" fontId="12" fillId="0" borderId="3" xfId="0" applyFont="1" applyBorder="1" applyAlignment="1">
      <alignment horizontal="left" vertical="center"/>
    </xf>
    <xf numFmtId="0" fontId="6" fillId="3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/>
    </xf>
    <xf numFmtId="0" fontId="6" fillId="7" borderId="3" xfId="0" applyFont="1" applyFill="1" applyBorder="1" applyAlignment="1">
      <alignment horizontal="left" vertical="center" wrapText="1"/>
    </xf>
    <xf numFmtId="0" fontId="26" fillId="3" borderId="3" xfId="0" applyFont="1" applyFill="1" applyBorder="1" applyAlignment="1">
      <alignment horizontal="center" vertical="center" wrapText="1"/>
    </xf>
    <xf numFmtId="0" fontId="27" fillId="3" borderId="3" xfId="0" applyFont="1" applyFill="1" applyBorder="1" applyAlignment="1">
      <alignment horizontal="center" vertical="center" wrapText="1"/>
    </xf>
    <xf numFmtId="168" fontId="23" fillId="0" borderId="28" xfId="0" applyNumberFormat="1" applyFont="1" applyBorder="1" applyAlignment="1">
      <alignment horizontal="center" vertical="center"/>
    </xf>
    <xf numFmtId="0" fontId="4" fillId="0" borderId="31" xfId="0" applyFont="1" applyBorder="1"/>
    <xf numFmtId="0" fontId="20" fillId="0" borderId="33" xfId="0" applyFont="1" applyBorder="1" applyAlignment="1">
      <alignment horizontal="center" vertical="center"/>
    </xf>
    <xf numFmtId="0" fontId="4" fillId="0" borderId="34" xfId="0" applyFont="1" applyBorder="1"/>
    <xf numFmtId="0" fontId="4" fillId="0" borderId="35" xfId="0" applyFont="1" applyBorder="1"/>
    <xf numFmtId="0" fontId="22" fillId="0" borderId="28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/>
    </xf>
    <xf numFmtId="0" fontId="4" fillId="0" borderId="42" xfId="0" applyFont="1" applyBorder="1"/>
    <xf numFmtId="0" fontId="24" fillId="3" borderId="3" xfId="0" applyFont="1" applyFill="1" applyBorder="1" applyAlignment="1">
      <alignment horizontal="center" vertical="center" wrapText="1"/>
    </xf>
    <xf numFmtId="0" fontId="25" fillId="3" borderId="3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4" fillId="0" borderId="17" xfId="0" applyFont="1" applyBorder="1"/>
    <xf numFmtId="0" fontId="4" fillId="0" borderId="18" xfId="0" applyFont="1" applyBorder="1"/>
    <xf numFmtId="0" fontId="20" fillId="0" borderId="19" xfId="0" applyFont="1" applyBorder="1" applyAlignment="1">
      <alignment horizontal="center" vertical="center" wrapText="1"/>
    </xf>
    <xf numFmtId="0" fontId="4" fillId="0" borderId="20" xfId="0" applyFont="1" applyBorder="1"/>
    <xf numFmtId="0" fontId="20" fillId="0" borderId="19" xfId="0" applyFont="1" applyBorder="1" applyAlignment="1">
      <alignment horizontal="left" vertical="center" wrapText="1"/>
    </xf>
    <xf numFmtId="0" fontId="20" fillId="0" borderId="21" xfId="0" applyFont="1" applyBorder="1" applyAlignment="1">
      <alignment horizontal="left" vertical="center" wrapText="1"/>
    </xf>
    <xf numFmtId="0" fontId="4" fillId="0" borderId="22" xfId="0" applyFont="1" applyBorder="1"/>
    <xf numFmtId="0" fontId="4" fillId="0" borderId="23" xfId="0" applyFont="1" applyBorder="1"/>
    <xf numFmtId="0" fontId="22" fillId="0" borderId="24" xfId="0" applyFont="1" applyBorder="1" applyAlignment="1">
      <alignment horizontal="center"/>
    </xf>
    <xf numFmtId="0" fontId="4" fillId="0" borderId="25" xfId="0" applyFont="1" applyBorder="1"/>
    <xf numFmtId="168" fontId="23" fillId="0" borderId="29" xfId="0" applyNumberFormat="1" applyFont="1" applyBorder="1" applyAlignment="1">
      <alignment horizontal="center" vertical="center"/>
    </xf>
    <xf numFmtId="0" fontId="4" fillId="0" borderId="32" xfId="0" applyFont="1" applyBorder="1"/>
    <xf numFmtId="0" fontId="22" fillId="0" borderId="27" xfId="0" applyFont="1" applyBorder="1" applyAlignment="1">
      <alignment horizontal="center" vertical="center" wrapText="1"/>
    </xf>
    <xf numFmtId="0" fontId="4" fillId="0" borderId="30" xfId="0" applyFont="1" applyBorder="1"/>
    <xf numFmtId="0" fontId="30" fillId="0" borderId="0" xfId="0" applyFont="1" applyAlignment="1">
      <alignment horizontal="center" vertical="center" wrapText="1"/>
    </xf>
    <xf numFmtId="0" fontId="30" fillId="0" borderId="33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0" xfId="0" applyFont="1" applyAlignment="1">
      <alignment horizontal="left"/>
    </xf>
    <xf numFmtId="0" fontId="30" fillId="0" borderId="3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top" wrapText="1"/>
    </xf>
    <xf numFmtId="0" fontId="28" fillId="0" borderId="33" xfId="0" applyFont="1" applyBorder="1" applyAlignment="1">
      <alignment horizontal="left" vertical="center" wrapText="1"/>
    </xf>
    <xf numFmtId="0" fontId="28" fillId="0" borderId="33" xfId="0" applyFont="1" applyBorder="1" applyAlignment="1">
      <alignment horizontal="left" vertical="center"/>
    </xf>
    <xf numFmtId="0" fontId="28" fillId="6" borderId="1" xfId="0" applyFont="1" applyFill="1" applyBorder="1" applyAlignment="1">
      <alignment horizontal="left" vertical="center" wrapText="1"/>
    </xf>
    <xf numFmtId="0" fontId="30" fillId="0" borderId="33" xfId="0" applyFont="1" applyBorder="1" applyAlignment="1">
      <alignment horizontal="right" vertical="top" wrapText="1"/>
    </xf>
    <xf numFmtId="0" fontId="28" fillId="6" borderId="33" xfId="0" applyFont="1" applyFill="1" applyBorder="1" applyAlignment="1">
      <alignment horizontal="left" vertical="center" wrapText="1"/>
    </xf>
    <xf numFmtId="0" fontId="29" fillId="9" borderId="44" xfId="0" applyFont="1" applyFill="1" applyBorder="1" applyAlignment="1">
      <alignment horizontal="center" vertical="center"/>
    </xf>
    <xf numFmtId="0" fontId="4" fillId="0" borderId="45" xfId="0" applyFont="1" applyBorder="1"/>
    <xf numFmtId="0" fontId="4" fillId="0" borderId="46" xfId="0" applyFont="1" applyBorder="1"/>
    <xf numFmtId="0" fontId="29" fillId="9" borderId="47" xfId="0" applyFont="1" applyFill="1" applyBorder="1" applyAlignment="1">
      <alignment horizontal="center" vertical="center" wrapText="1"/>
    </xf>
    <xf numFmtId="0" fontId="4" fillId="0" borderId="48" xfId="0" applyFont="1" applyBorder="1"/>
    <xf numFmtId="0" fontId="4" fillId="0" borderId="49" xfId="0" applyFont="1" applyBorder="1"/>
    <xf numFmtId="0" fontId="28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30" fillId="0" borderId="3" xfId="0" applyFont="1" applyBorder="1" applyAlignment="1">
      <alignment horizontal="center"/>
    </xf>
    <xf numFmtId="0" fontId="30" fillId="0" borderId="16" xfId="0" applyFont="1" applyBorder="1" applyAlignment="1">
      <alignment horizontal="right" vertical="center" wrapText="1"/>
    </xf>
    <xf numFmtId="0" fontId="30" fillId="0" borderId="33" xfId="0" applyFont="1" applyBorder="1" applyAlignment="1">
      <alignment horizontal="right" vertical="center" wrapText="1"/>
    </xf>
    <xf numFmtId="0" fontId="25" fillId="0" borderId="53" xfId="0" applyFont="1" applyBorder="1" applyAlignment="1">
      <alignment horizontal="center" vertical="center"/>
    </xf>
  </cellXfs>
  <cellStyles count="8">
    <cellStyle name="Moeda" xfId="1" builtinId="4"/>
    <cellStyle name="Moeda 2" xfId="3" xr:uid="{00000000-0005-0000-0000-000001000000}"/>
    <cellStyle name="Moeda 2 2" xfId="7" xr:uid="{00000000-0005-0000-0000-000002000000}"/>
    <cellStyle name="Moeda 3" xfId="5" xr:uid="{00000000-0005-0000-0000-000003000000}"/>
    <cellStyle name="Normal" xfId="0" builtinId="0"/>
    <cellStyle name="Normal 2" xfId="2" xr:uid="{00000000-0005-0000-0000-000005000000}"/>
    <cellStyle name="Normal 2 2" xfId="6" xr:uid="{00000000-0005-0000-0000-000006000000}"/>
    <cellStyle name="Normal 3" xfId="4" xr:uid="{00000000-0005-0000-0000-000007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13</xdr:col>
          <xdr:colOff>0</xdr:colOff>
          <xdr:row>52</xdr:row>
          <xdr:rowOff>66675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4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14"/>
  <sheetViews>
    <sheetView showGridLines="0" tabSelected="1" topLeftCell="L1" zoomScaleNormal="100" workbookViewId="0">
      <selection activeCell="N118" sqref="N118"/>
    </sheetView>
  </sheetViews>
  <sheetFormatPr defaultColWidth="14.42578125" defaultRowHeight="15" customHeight="1" x14ac:dyDescent="0.25"/>
  <cols>
    <col min="1" max="1" width="0" hidden="1" customWidth="1"/>
    <col min="2" max="2" width="3.85546875" hidden="1" customWidth="1"/>
    <col min="3" max="3" width="17.140625" hidden="1" customWidth="1"/>
    <col min="4" max="4" width="13.28515625" hidden="1" customWidth="1"/>
    <col min="5" max="5" width="10.140625" hidden="1" customWidth="1"/>
    <col min="6" max="6" width="12.42578125" hidden="1" customWidth="1"/>
    <col min="7" max="7" width="12.7109375" hidden="1" customWidth="1"/>
    <col min="8" max="8" width="10.28515625" hidden="1" customWidth="1"/>
    <col min="9" max="9" width="12.140625" hidden="1" customWidth="1"/>
    <col min="10" max="10" width="10.85546875" hidden="1" customWidth="1"/>
    <col min="11" max="11" width="11.5703125" hidden="1" customWidth="1"/>
    <col min="12" max="12" width="9.85546875" customWidth="1"/>
    <col min="13" max="13" width="3.85546875" customWidth="1"/>
    <col min="14" max="14" width="17.140625" customWidth="1"/>
    <col min="15" max="15" width="13.28515625" customWidth="1"/>
    <col min="16" max="16" width="10.140625" customWidth="1"/>
    <col min="17" max="17" width="18.140625" customWidth="1"/>
    <col min="18" max="18" width="12.7109375" customWidth="1"/>
    <col min="19" max="19" width="15.7109375" customWidth="1"/>
    <col min="20" max="20" width="14.28515625" customWidth="1"/>
    <col min="21" max="21" width="14.140625" customWidth="1"/>
  </cols>
  <sheetData>
    <row r="1" spans="2:21" ht="24" customHeight="1" x14ac:dyDescent="0.3">
      <c r="M1" s="280" t="s">
        <v>330</v>
      </c>
      <c r="N1" s="280"/>
      <c r="O1" s="280"/>
      <c r="P1" s="280"/>
      <c r="Q1" s="280"/>
      <c r="R1" s="280"/>
      <c r="S1" s="280"/>
      <c r="T1" s="280"/>
      <c r="U1" s="280"/>
    </row>
    <row r="2" spans="2:21" ht="15" customHeight="1" x14ac:dyDescent="0.25">
      <c r="M2" s="281" t="s">
        <v>329</v>
      </c>
      <c r="N2" s="281"/>
      <c r="O2" s="281"/>
      <c r="P2" s="281"/>
      <c r="Q2" s="281"/>
      <c r="R2" s="281"/>
      <c r="S2" s="281"/>
      <c r="T2" s="281"/>
      <c r="U2" s="281"/>
    </row>
    <row r="3" spans="2:21" ht="15" customHeight="1" x14ac:dyDescent="0.25">
      <c r="B3" s="333" t="s">
        <v>317</v>
      </c>
      <c r="C3" s="334"/>
      <c r="D3" s="334"/>
      <c r="E3" s="334"/>
      <c r="F3" s="334"/>
      <c r="G3" s="334"/>
      <c r="H3" s="334"/>
      <c r="I3" s="334"/>
      <c r="J3" s="335"/>
      <c r="M3" s="333" t="s">
        <v>319</v>
      </c>
      <c r="N3" s="334"/>
      <c r="O3" s="334"/>
      <c r="P3" s="334"/>
      <c r="Q3" s="334"/>
      <c r="R3" s="334"/>
      <c r="S3" s="334"/>
      <c r="T3" s="334"/>
      <c r="U3" s="335"/>
    </row>
    <row r="4" spans="2:21" ht="20.25" customHeight="1" x14ac:dyDescent="0.25">
      <c r="B4" s="146">
        <v>1</v>
      </c>
      <c r="C4" s="340" t="s">
        <v>13</v>
      </c>
      <c r="D4" s="341"/>
      <c r="E4" s="342"/>
      <c r="F4" s="147" t="s">
        <v>268</v>
      </c>
      <c r="G4" s="147" t="s">
        <v>14</v>
      </c>
      <c r="H4" s="147" t="s">
        <v>15</v>
      </c>
      <c r="I4" s="148" t="s">
        <v>16</v>
      </c>
      <c r="J4" s="146" t="s">
        <v>17</v>
      </c>
      <c r="M4" s="217">
        <v>1</v>
      </c>
      <c r="N4" s="326" t="s">
        <v>13</v>
      </c>
      <c r="O4" s="285"/>
      <c r="P4" s="286"/>
      <c r="Q4" s="218" t="s">
        <v>268</v>
      </c>
      <c r="R4" s="218" t="s">
        <v>14</v>
      </c>
      <c r="S4" s="218" t="s">
        <v>15</v>
      </c>
      <c r="T4" s="219" t="s">
        <v>16</v>
      </c>
      <c r="U4" s="217" t="s">
        <v>17</v>
      </c>
    </row>
    <row r="5" spans="2:21" ht="24.75" customHeight="1" x14ac:dyDescent="0.25">
      <c r="B5" s="1" t="s">
        <v>1</v>
      </c>
      <c r="C5" s="319" t="s">
        <v>292</v>
      </c>
      <c r="D5" s="307"/>
      <c r="E5" s="308"/>
      <c r="F5" s="189">
        <v>1314.09</v>
      </c>
      <c r="G5" s="141"/>
      <c r="H5" s="141">
        <v>200</v>
      </c>
      <c r="I5" s="6"/>
      <c r="J5" s="189">
        <f>F5/220*H5</f>
        <v>1194.6272727272726</v>
      </c>
      <c r="M5" s="1" t="s">
        <v>1</v>
      </c>
      <c r="N5" s="319" t="s">
        <v>292</v>
      </c>
      <c r="O5" s="307"/>
      <c r="P5" s="308"/>
      <c r="Q5" s="189">
        <v>0</v>
      </c>
      <c r="R5" s="141"/>
      <c r="S5" s="141">
        <v>200</v>
      </c>
      <c r="T5" s="6"/>
      <c r="U5" s="278">
        <v>0</v>
      </c>
    </row>
    <row r="6" spans="2:21" ht="15" customHeight="1" x14ac:dyDescent="0.25">
      <c r="B6" s="1" t="s">
        <v>3</v>
      </c>
      <c r="C6" s="336" t="s">
        <v>290</v>
      </c>
      <c r="D6" s="337"/>
      <c r="E6" s="337"/>
      <c r="F6" s="175"/>
      <c r="G6" s="175"/>
      <c r="H6" s="211">
        <f>F5</f>
        <v>1314.09</v>
      </c>
      <c r="I6" s="8">
        <v>0.2</v>
      </c>
      <c r="J6" s="7">
        <f>H6*I6</f>
        <v>262.81799999999998</v>
      </c>
      <c r="M6" s="1" t="s">
        <v>3</v>
      </c>
      <c r="N6" s="336" t="s">
        <v>318</v>
      </c>
      <c r="O6" s="337"/>
      <c r="P6" s="337"/>
      <c r="Q6" s="175"/>
      <c r="R6" s="175"/>
      <c r="S6" s="211"/>
      <c r="T6" s="8">
        <v>0</v>
      </c>
      <c r="U6" s="238">
        <f>S6*T6</f>
        <v>0</v>
      </c>
    </row>
    <row r="7" spans="2:21" ht="15" customHeight="1" x14ac:dyDescent="0.25">
      <c r="B7" s="1" t="s">
        <v>5</v>
      </c>
      <c r="C7" s="319" t="s">
        <v>18</v>
      </c>
      <c r="D7" s="307"/>
      <c r="E7" s="307"/>
      <c r="F7" s="307"/>
      <c r="G7" s="307"/>
      <c r="H7" s="307"/>
      <c r="I7" s="308"/>
      <c r="J7" s="7">
        <v>0</v>
      </c>
      <c r="M7" s="1" t="s">
        <v>5</v>
      </c>
      <c r="N7" s="319" t="s">
        <v>18</v>
      </c>
      <c r="O7" s="307"/>
      <c r="P7" s="307"/>
      <c r="Q7" s="307"/>
      <c r="R7" s="307"/>
      <c r="S7" s="307"/>
      <c r="T7" s="308"/>
      <c r="U7" s="7">
        <v>0</v>
      </c>
    </row>
    <row r="8" spans="2:21" ht="15" customHeight="1" x14ac:dyDescent="0.25">
      <c r="B8" s="343" t="s">
        <v>19</v>
      </c>
      <c r="C8" s="344"/>
      <c r="D8" s="344"/>
      <c r="E8" s="344"/>
      <c r="F8" s="344"/>
      <c r="G8" s="344"/>
      <c r="H8" s="344"/>
      <c r="I8" s="345"/>
      <c r="J8" s="149">
        <f>SUM(J5:J7)</f>
        <v>1457.4452727272726</v>
      </c>
      <c r="L8" s="135"/>
      <c r="M8" s="330" t="s">
        <v>19</v>
      </c>
      <c r="N8" s="331"/>
      <c r="O8" s="331"/>
      <c r="P8" s="331"/>
      <c r="Q8" s="331"/>
      <c r="R8" s="331"/>
      <c r="S8" s="331"/>
      <c r="T8" s="332"/>
      <c r="U8" s="220">
        <f>SUM(U5:U7)</f>
        <v>0</v>
      </c>
    </row>
    <row r="9" spans="2:21" ht="15.75" customHeight="1" x14ac:dyDescent="0.25">
      <c r="B9" s="306" t="s">
        <v>20</v>
      </c>
      <c r="C9" s="307"/>
      <c r="D9" s="307"/>
      <c r="E9" s="307"/>
      <c r="F9" s="307"/>
      <c r="G9" s="307"/>
      <c r="H9" s="307"/>
      <c r="I9" s="307"/>
      <c r="J9" s="308"/>
      <c r="M9" s="306" t="s">
        <v>20</v>
      </c>
      <c r="N9" s="307"/>
      <c r="O9" s="307"/>
      <c r="P9" s="307"/>
      <c r="Q9" s="307"/>
      <c r="R9" s="307"/>
      <c r="S9" s="307"/>
      <c r="T9" s="307"/>
      <c r="U9" s="308"/>
    </row>
    <row r="10" spans="2:21" ht="15" customHeight="1" x14ac:dyDescent="0.25">
      <c r="B10" s="150">
        <v>2</v>
      </c>
      <c r="C10" s="340" t="s">
        <v>21</v>
      </c>
      <c r="D10" s="341"/>
      <c r="E10" s="341"/>
      <c r="F10" s="341"/>
      <c r="G10" s="341"/>
      <c r="H10" s="341"/>
      <c r="I10" s="147" t="s">
        <v>22</v>
      </c>
      <c r="J10" s="151" t="s">
        <v>23</v>
      </c>
      <c r="M10" s="221">
        <v>2</v>
      </c>
      <c r="N10" s="326" t="s">
        <v>21</v>
      </c>
      <c r="O10" s="285"/>
      <c r="P10" s="285"/>
      <c r="Q10" s="285"/>
      <c r="R10" s="285"/>
      <c r="S10" s="285"/>
      <c r="T10" s="218" t="s">
        <v>22</v>
      </c>
      <c r="U10" s="222" t="s">
        <v>23</v>
      </c>
    </row>
    <row r="11" spans="2:21" ht="15" customHeight="1" x14ac:dyDescent="0.25">
      <c r="B11" s="13" t="s">
        <v>1</v>
      </c>
      <c r="C11" s="319" t="s">
        <v>24</v>
      </c>
      <c r="D11" s="307"/>
      <c r="E11" s="307"/>
      <c r="F11" s="307"/>
      <c r="G11" s="307"/>
      <c r="H11" s="307"/>
      <c r="I11" s="307"/>
      <c r="J11" s="14"/>
      <c r="M11" s="13" t="s">
        <v>1</v>
      </c>
      <c r="N11" s="319" t="s">
        <v>328</v>
      </c>
      <c r="O11" s="307"/>
      <c r="P11" s="307"/>
      <c r="Q11" s="307"/>
      <c r="R11" s="307"/>
      <c r="S11" s="307"/>
      <c r="T11" s="307"/>
      <c r="U11" s="14"/>
    </row>
    <row r="12" spans="2:21" ht="22.5" customHeight="1" x14ac:dyDescent="0.25">
      <c r="B12" s="13"/>
      <c r="C12" s="347" t="s">
        <v>302</v>
      </c>
      <c r="D12" s="348"/>
      <c r="E12" s="349"/>
      <c r="F12" s="15">
        <v>6.1</v>
      </c>
      <c r="G12" s="17">
        <v>42</v>
      </c>
      <c r="H12" s="206">
        <f>F12*G12</f>
        <v>256.2</v>
      </c>
      <c r="I12" s="207">
        <f>-J5*6%</f>
        <v>-71.677636363636353</v>
      </c>
      <c r="J12" s="14">
        <f>H12+I12</f>
        <v>184.52236363636365</v>
      </c>
      <c r="M12" s="13"/>
      <c r="N12" s="347" t="s">
        <v>320</v>
      </c>
      <c r="O12" s="348"/>
      <c r="P12" s="349"/>
      <c r="Q12" s="15">
        <v>0</v>
      </c>
      <c r="R12" s="17">
        <v>0</v>
      </c>
      <c r="S12" s="206">
        <f>Q12*R12</f>
        <v>0</v>
      </c>
      <c r="T12" s="207">
        <f>-U5*6%</f>
        <v>0</v>
      </c>
      <c r="U12" s="14">
        <f>S12+T12</f>
        <v>0</v>
      </c>
    </row>
    <row r="13" spans="2:21" ht="15" customHeight="1" x14ac:dyDescent="0.25">
      <c r="B13" s="13"/>
      <c r="C13" s="346" t="s">
        <v>26</v>
      </c>
      <c r="D13" s="307"/>
      <c r="E13" s="307"/>
      <c r="F13" s="307"/>
      <c r="G13" s="307"/>
      <c r="H13" s="308"/>
      <c r="I13" s="17"/>
      <c r="J13" s="14">
        <v>0</v>
      </c>
      <c r="M13" s="13"/>
      <c r="N13" s="346" t="s">
        <v>26</v>
      </c>
      <c r="O13" s="307"/>
      <c r="P13" s="307"/>
      <c r="Q13" s="307"/>
      <c r="R13" s="307"/>
      <c r="S13" s="308"/>
      <c r="T13" s="17"/>
      <c r="U13" s="14">
        <v>0</v>
      </c>
    </row>
    <row r="14" spans="2:21" ht="15" customHeight="1" x14ac:dyDescent="0.25">
      <c r="B14" s="13" t="s">
        <v>3</v>
      </c>
      <c r="C14" s="350" t="s">
        <v>27</v>
      </c>
      <c r="D14" s="307"/>
      <c r="E14" s="307"/>
      <c r="F14" s="307"/>
      <c r="G14" s="307"/>
      <c r="H14" s="307"/>
      <c r="I14" s="307"/>
      <c r="J14" s="14">
        <f>ROUND(((F5*I15*(1-0.19))*G5),2)</f>
        <v>0</v>
      </c>
      <c r="M14" s="13" t="s">
        <v>3</v>
      </c>
      <c r="N14" s="350" t="s">
        <v>325</v>
      </c>
      <c r="O14" s="307"/>
      <c r="P14" s="307"/>
      <c r="Q14" s="307"/>
      <c r="R14" s="307"/>
      <c r="S14" s="307"/>
      <c r="T14" s="307"/>
      <c r="U14" s="14">
        <f>ROUND(((Q5*T15*(1-0.19))*R5),2)</f>
        <v>0</v>
      </c>
    </row>
    <row r="15" spans="2:21" ht="20.25" customHeight="1" x14ac:dyDescent="0.25">
      <c r="B15" s="13"/>
      <c r="C15" s="338" t="s">
        <v>28</v>
      </c>
      <c r="D15" s="339"/>
      <c r="E15" s="339"/>
      <c r="F15" s="176">
        <v>20.43</v>
      </c>
      <c r="G15" s="210">
        <v>8.0000000000000002E-3</v>
      </c>
      <c r="H15" s="212">
        <f>(F15*G15)*100</f>
        <v>16.344000000000001</v>
      </c>
      <c r="I15" s="176">
        <v>21</v>
      </c>
      <c r="J15" s="14">
        <f>I15*H15</f>
        <v>343.22400000000005</v>
      </c>
      <c r="M15" s="13"/>
      <c r="N15" s="338" t="s">
        <v>326</v>
      </c>
      <c r="O15" s="339"/>
      <c r="P15" s="339"/>
      <c r="Q15" s="176">
        <v>0</v>
      </c>
      <c r="R15" s="210">
        <v>0</v>
      </c>
      <c r="S15" s="212">
        <f>(Q15*R15)*100</f>
        <v>0</v>
      </c>
      <c r="T15" s="176">
        <v>0</v>
      </c>
      <c r="U15" s="45">
        <f>T15*S15</f>
        <v>0</v>
      </c>
    </row>
    <row r="16" spans="2:21" ht="15" customHeight="1" x14ac:dyDescent="0.25">
      <c r="B16" s="13" t="s">
        <v>5</v>
      </c>
      <c r="C16" s="319" t="s">
        <v>29</v>
      </c>
      <c r="D16" s="307"/>
      <c r="E16" s="307"/>
      <c r="F16" s="307"/>
      <c r="G16" s="307"/>
      <c r="H16" s="307"/>
      <c r="I16" s="177"/>
      <c r="J16" s="14">
        <f>I16*G5</f>
        <v>0</v>
      </c>
      <c r="M16" s="13" t="s">
        <v>5</v>
      </c>
      <c r="N16" s="319" t="s">
        <v>29</v>
      </c>
      <c r="O16" s="307"/>
      <c r="P16" s="307"/>
      <c r="Q16" s="307"/>
      <c r="R16" s="307"/>
      <c r="S16" s="307"/>
      <c r="T16" s="177"/>
      <c r="U16" s="14">
        <f>T16*R5</f>
        <v>0</v>
      </c>
    </row>
    <row r="17" spans="2:21" ht="15" customHeight="1" x14ac:dyDescent="0.25">
      <c r="B17" s="13" t="s">
        <v>6</v>
      </c>
      <c r="C17" s="319" t="s">
        <v>30</v>
      </c>
      <c r="D17" s="307"/>
      <c r="E17" s="307"/>
      <c r="F17" s="307"/>
      <c r="G17" s="307"/>
      <c r="H17" s="307"/>
      <c r="I17" s="178"/>
      <c r="J17" s="20">
        <f>I17*G5</f>
        <v>0</v>
      </c>
      <c r="M17" s="13" t="s">
        <v>6</v>
      </c>
      <c r="N17" s="319" t="s">
        <v>30</v>
      </c>
      <c r="O17" s="307"/>
      <c r="P17" s="307"/>
      <c r="Q17" s="307"/>
      <c r="R17" s="307"/>
      <c r="S17" s="307"/>
      <c r="T17" s="178"/>
      <c r="U17" s="20">
        <f>T17*R5</f>
        <v>0</v>
      </c>
    </row>
    <row r="18" spans="2:21" ht="15" customHeight="1" x14ac:dyDescent="0.25">
      <c r="B18" s="13" t="s">
        <v>31</v>
      </c>
      <c r="C18" s="319" t="s">
        <v>32</v>
      </c>
      <c r="D18" s="307"/>
      <c r="E18" s="307"/>
      <c r="F18" s="307"/>
      <c r="G18" s="307"/>
      <c r="H18" s="307"/>
      <c r="I18" s="178">
        <v>17.32</v>
      </c>
      <c r="J18" s="14">
        <f>I18</f>
        <v>17.32</v>
      </c>
      <c r="M18" s="13" t="s">
        <v>31</v>
      </c>
      <c r="N18" s="319" t="s">
        <v>32</v>
      </c>
      <c r="O18" s="307"/>
      <c r="P18" s="307"/>
      <c r="Q18" s="307"/>
      <c r="R18" s="307"/>
      <c r="S18" s="307"/>
      <c r="T18" s="178">
        <v>0</v>
      </c>
      <c r="U18" s="45">
        <f>T18</f>
        <v>0</v>
      </c>
    </row>
    <row r="19" spans="2:21" ht="15" customHeight="1" x14ac:dyDescent="0.25">
      <c r="B19" s="13" t="s">
        <v>33</v>
      </c>
      <c r="C19" s="319" t="s">
        <v>18</v>
      </c>
      <c r="D19" s="307"/>
      <c r="E19" s="307"/>
      <c r="F19" s="307"/>
      <c r="G19" s="307"/>
      <c r="H19" s="307"/>
      <c r="I19" s="178"/>
      <c r="J19" s="14">
        <f>I19*G5</f>
        <v>0</v>
      </c>
      <c r="M19" s="13" t="s">
        <v>33</v>
      </c>
      <c r="N19" s="319" t="s">
        <v>18</v>
      </c>
      <c r="O19" s="307"/>
      <c r="P19" s="307"/>
      <c r="Q19" s="307"/>
      <c r="R19" s="307"/>
      <c r="S19" s="307"/>
      <c r="T19" s="178"/>
      <c r="U19" s="14">
        <f>T19*R5</f>
        <v>0</v>
      </c>
    </row>
    <row r="20" spans="2:21" ht="15.75" customHeight="1" x14ac:dyDescent="0.25">
      <c r="B20" s="152"/>
      <c r="C20" s="353" t="s">
        <v>34</v>
      </c>
      <c r="D20" s="341"/>
      <c r="E20" s="341"/>
      <c r="F20" s="341"/>
      <c r="G20" s="341"/>
      <c r="H20" s="341"/>
      <c r="I20" s="341"/>
      <c r="J20" s="153">
        <f>SUM(J12:J19)</f>
        <v>545.06636363636369</v>
      </c>
      <c r="L20" s="135"/>
      <c r="M20" s="223"/>
      <c r="N20" s="305" t="s">
        <v>34</v>
      </c>
      <c r="O20" s="285"/>
      <c r="P20" s="285"/>
      <c r="Q20" s="285"/>
      <c r="R20" s="285"/>
      <c r="S20" s="285"/>
      <c r="T20" s="285"/>
      <c r="U20" s="224">
        <f>SUM(U12:U19)</f>
        <v>0</v>
      </c>
    </row>
    <row r="21" spans="2:21" ht="15" customHeight="1" x14ac:dyDescent="0.25">
      <c r="B21" s="329" t="s">
        <v>36</v>
      </c>
      <c r="C21" s="307"/>
      <c r="D21" s="307"/>
      <c r="E21" s="307"/>
      <c r="F21" s="307"/>
      <c r="G21" s="307"/>
      <c r="H21" s="307"/>
      <c r="I21" s="307"/>
      <c r="J21" s="308"/>
      <c r="M21" s="329" t="s">
        <v>36</v>
      </c>
      <c r="N21" s="307"/>
      <c r="O21" s="307"/>
      <c r="P21" s="307"/>
      <c r="Q21" s="307"/>
      <c r="R21" s="307"/>
      <c r="S21" s="307"/>
      <c r="T21" s="307"/>
      <c r="U21" s="308"/>
    </row>
    <row r="22" spans="2:21" ht="15" customHeight="1" x14ac:dyDescent="0.25">
      <c r="B22" s="150">
        <v>3</v>
      </c>
      <c r="C22" s="340" t="s">
        <v>37</v>
      </c>
      <c r="D22" s="341"/>
      <c r="E22" s="341"/>
      <c r="F22" s="341"/>
      <c r="G22" s="341"/>
      <c r="H22" s="341"/>
      <c r="I22" s="154" t="s">
        <v>22</v>
      </c>
      <c r="J22" s="150" t="s">
        <v>23</v>
      </c>
      <c r="M22" s="221">
        <v>3</v>
      </c>
      <c r="N22" s="326" t="s">
        <v>37</v>
      </c>
      <c r="O22" s="285"/>
      <c r="P22" s="285"/>
      <c r="Q22" s="285"/>
      <c r="R22" s="285"/>
      <c r="S22" s="285"/>
      <c r="T22" s="225"/>
      <c r="U22" s="221" t="s">
        <v>23</v>
      </c>
    </row>
    <row r="23" spans="2:21" ht="15" customHeight="1" x14ac:dyDescent="0.25">
      <c r="B23" s="155" t="s">
        <v>1</v>
      </c>
      <c r="C23" s="351" t="s">
        <v>38</v>
      </c>
      <c r="D23" s="352"/>
      <c r="E23" s="352"/>
      <c r="F23" s="352"/>
      <c r="G23" s="352"/>
      <c r="H23" s="352"/>
      <c r="I23" s="156"/>
      <c r="J23" s="187">
        <v>31.74</v>
      </c>
      <c r="M23" s="155" t="s">
        <v>1</v>
      </c>
      <c r="N23" s="327" t="s">
        <v>321</v>
      </c>
      <c r="O23" s="328"/>
      <c r="P23" s="328"/>
      <c r="Q23" s="328"/>
      <c r="R23" s="328"/>
      <c r="S23" s="328"/>
      <c r="T23" s="156"/>
      <c r="U23" s="187">
        <v>0</v>
      </c>
    </row>
    <row r="24" spans="2:21" ht="15" customHeight="1" x14ac:dyDescent="0.25">
      <c r="B24" s="155" t="s">
        <v>3</v>
      </c>
      <c r="C24" s="351" t="s">
        <v>39</v>
      </c>
      <c r="D24" s="352"/>
      <c r="E24" s="352"/>
      <c r="F24" s="352"/>
      <c r="G24" s="352"/>
      <c r="H24" s="352"/>
      <c r="I24" s="157"/>
      <c r="J24" s="188">
        <v>0</v>
      </c>
      <c r="M24" s="155" t="s">
        <v>3</v>
      </c>
      <c r="N24" s="327" t="s">
        <v>322</v>
      </c>
      <c r="O24" s="328"/>
      <c r="P24" s="328"/>
      <c r="Q24" s="328"/>
      <c r="R24" s="328"/>
      <c r="S24" s="328"/>
      <c r="T24" s="157"/>
      <c r="U24" s="187">
        <v>0</v>
      </c>
    </row>
    <row r="25" spans="2:21" ht="15" customHeight="1" x14ac:dyDescent="0.25">
      <c r="B25" s="155" t="s">
        <v>5</v>
      </c>
      <c r="C25" s="351" t="s">
        <v>40</v>
      </c>
      <c r="D25" s="352"/>
      <c r="E25" s="352"/>
      <c r="F25" s="352"/>
      <c r="G25" s="352"/>
      <c r="H25" s="352"/>
      <c r="I25" s="157"/>
      <c r="J25" s="188">
        <v>240</v>
      </c>
      <c r="M25" s="155" t="s">
        <v>5</v>
      </c>
      <c r="N25" s="327" t="s">
        <v>323</v>
      </c>
      <c r="O25" s="328"/>
      <c r="P25" s="328"/>
      <c r="Q25" s="328"/>
      <c r="R25" s="328"/>
      <c r="S25" s="328"/>
      <c r="T25" s="157"/>
      <c r="U25" s="187">
        <v>0</v>
      </c>
    </row>
    <row r="26" spans="2:21" ht="15" customHeight="1" x14ac:dyDescent="0.25">
      <c r="B26" s="155" t="s">
        <v>6</v>
      </c>
      <c r="C26" s="351" t="s">
        <v>41</v>
      </c>
      <c r="D26" s="352"/>
      <c r="E26" s="352"/>
      <c r="F26" s="352"/>
      <c r="G26" s="352"/>
      <c r="H26" s="352"/>
      <c r="I26" s="157"/>
      <c r="J26" s="188">
        <v>0</v>
      </c>
      <c r="M26" s="155" t="s">
        <v>6</v>
      </c>
      <c r="N26" s="327" t="s">
        <v>324</v>
      </c>
      <c r="O26" s="328"/>
      <c r="P26" s="328"/>
      <c r="Q26" s="328"/>
      <c r="R26" s="328"/>
      <c r="S26" s="328"/>
      <c r="T26" s="157"/>
      <c r="U26" s="187">
        <f t="shared" ref="U26" si="0">ROUND(+J26*1.0450664,2)</f>
        <v>0</v>
      </c>
    </row>
    <row r="27" spans="2:21" ht="15.75" customHeight="1" x14ac:dyDescent="0.25">
      <c r="B27" s="353" t="s">
        <v>42</v>
      </c>
      <c r="C27" s="341"/>
      <c r="D27" s="341"/>
      <c r="E27" s="341"/>
      <c r="F27" s="341"/>
      <c r="G27" s="341"/>
      <c r="H27" s="341"/>
      <c r="I27" s="342"/>
      <c r="J27" s="158">
        <f>SUM(J23:J26)</f>
        <v>271.74</v>
      </c>
      <c r="M27" s="305" t="s">
        <v>42</v>
      </c>
      <c r="N27" s="285"/>
      <c r="O27" s="285"/>
      <c r="P27" s="285"/>
      <c r="Q27" s="285"/>
      <c r="R27" s="285"/>
      <c r="S27" s="285"/>
      <c r="T27" s="286"/>
      <c r="U27" s="226">
        <f>SUM(U23:U26)</f>
        <v>0</v>
      </c>
    </row>
    <row r="28" spans="2:21" ht="15" customHeight="1" x14ac:dyDescent="0.25">
      <c r="B28" s="325" t="s">
        <v>44</v>
      </c>
      <c r="C28" s="307"/>
      <c r="D28" s="307"/>
      <c r="E28" s="307"/>
      <c r="F28" s="307"/>
      <c r="G28" s="307"/>
      <c r="H28" s="307"/>
      <c r="I28" s="307"/>
      <c r="J28" s="308"/>
      <c r="M28" s="325" t="s">
        <v>44</v>
      </c>
      <c r="N28" s="307"/>
      <c r="O28" s="307"/>
      <c r="P28" s="307"/>
      <c r="Q28" s="307"/>
      <c r="R28" s="307"/>
      <c r="S28" s="307"/>
      <c r="T28" s="307"/>
      <c r="U28" s="308"/>
    </row>
    <row r="29" spans="2:21" ht="15" customHeight="1" x14ac:dyDescent="0.25">
      <c r="B29" s="314" t="s">
        <v>45</v>
      </c>
      <c r="C29" s="307"/>
      <c r="D29" s="307"/>
      <c r="E29" s="307"/>
      <c r="F29" s="307"/>
      <c r="G29" s="307"/>
      <c r="H29" s="307"/>
      <c r="I29" s="307"/>
      <c r="J29" s="308"/>
      <c r="M29" s="314" t="s">
        <v>45</v>
      </c>
      <c r="N29" s="307"/>
      <c r="O29" s="307"/>
      <c r="P29" s="307"/>
      <c r="Q29" s="307"/>
      <c r="R29" s="307"/>
      <c r="S29" s="307"/>
      <c r="T29" s="307"/>
      <c r="U29" s="308"/>
    </row>
    <row r="30" spans="2:21" ht="30" customHeight="1" x14ac:dyDescent="0.25">
      <c r="B30" s="159" t="s">
        <v>46</v>
      </c>
      <c r="C30" s="340" t="s">
        <v>47</v>
      </c>
      <c r="D30" s="341"/>
      <c r="E30" s="341"/>
      <c r="F30" s="341"/>
      <c r="G30" s="341"/>
      <c r="H30" s="342"/>
      <c r="I30" s="151" t="s">
        <v>48</v>
      </c>
      <c r="J30" s="151" t="s">
        <v>23</v>
      </c>
      <c r="M30" s="227" t="s">
        <v>46</v>
      </c>
      <c r="N30" s="326" t="s">
        <v>47</v>
      </c>
      <c r="O30" s="285"/>
      <c r="P30" s="285"/>
      <c r="Q30" s="285"/>
      <c r="R30" s="285"/>
      <c r="S30" s="286"/>
      <c r="T30" s="222" t="s">
        <v>48</v>
      </c>
      <c r="U30" s="222" t="s">
        <v>23</v>
      </c>
    </row>
    <row r="31" spans="2:21" ht="15" customHeight="1" x14ac:dyDescent="0.25">
      <c r="B31" s="10" t="s">
        <v>1</v>
      </c>
      <c r="C31" s="302" t="s">
        <v>49</v>
      </c>
      <c r="D31" s="303"/>
      <c r="E31" s="303"/>
      <c r="F31" s="303"/>
      <c r="G31" s="303"/>
      <c r="H31" s="304"/>
      <c r="I31" s="179">
        <v>0.2</v>
      </c>
      <c r="J31" s="27">
        <f t="shared" ref="J31:J38" si="1">ROUND($J$8*I31,2)</f>
        <v>291.49</v>
      </c>
      <c r="M31" s="10" t="s">
        <v>1</v>
      </c>
      <c r="N31" s="302" t="s">
        <v>49</v>
      </c>
      <c r="O31" s="303"/>
      <c r="P31" s="303"/>
      <c r="Q31" s="303"/>
      <c r="R31" s="303"/>
      <c r="S31" s="304"/>
      <c r="T31" s="179">
        <v>0.2</v>
      </c>
      <c r="U31" s="27">
        <f>ROUND(U$8*T31,2)</f>
        <v>0</v>
      </c>
    </row>
    <row r="32" spans="2:21" ht="15" customHeight="1" x14ac:dyDescent="0.25">
      <c r="B32" s="10" t="s">
        <v>3</v>
      </c>
      <c r="C32" s="302" t="s">
        <v>50</v>
      </c>
      <c r="D32" s="303"/>
      <c r="E32" s="303"/>
      <c r="F32" s="303"/>
      <c r="G32" s="303"/>
      <c r="H32" s="304"/>
      <c r="I32" s="179">
        <v>1.4999999999999999E-2</v>
      </c>
      <c r="J32" s="27">
        <f t="shared" si="1"/>
        <v>21.86</v>
      </c>
      <c r="M32" s="10" t="s">
        <v>3</v>
      </c>
      <c r="N32" s="302" t="s">
        <v>50</v>
      </c>
      <c r="O32" s="303"/>
      <c r="P32" s="303"/>
      <c r="Q32" s="303"/>
      <c r="R32" s="303"/>
      <c r="S32" s="304"/>
      <c r="T32" s="179">
        <v>1.4999999999999999E-2</v>
      </c>
      <c r="U32" s="27">
        <f t="shared" ref="U32:U38" si="2">ROUND(U$8*T32,2)</f>
        <v>0</v>
      </c>
    </row>
    <row r="33" spans="2:21" ht="15" customHeight="1" x14ac:dyDescent="0.25">
      <c r="B33" s="10" t="s">
        <v>5</v>
      </c>
      <c r="C33" s="302" t="s">
        <v>51</v>
      </c>
      <c r="D33" s="303"/>
      <c r="E33" s="303"/>
      <c r="F33" s="303"/>
      <c r="G33" s="303"/>
      <c r="H33" s="304"/>
      <c r="I33" s="179">
        <v>0.01</v>
      </c>
      <c r="J33" s="27">
        <f t="shared" si="1"/>
        <v>14.57</v>
      </c>
      <c r="M33" s="10" t="s">
        <v>5</v>
      </c>
      <c r="N33" s="302" t="s">
        <v>51</v>
      </c>
      <c r="O33" s="303"/>
      <c r="P33" s="303"/>
      <c r="Q33" s="303"/>
      <c r="R33" s="303"/>
      <c r="S33" s="304"/>
      <c r="T33" s="179">
        <v>0.01</v>
      </c>
      <c r="U33" s="27">
        <f t="shared" si="2"/>
        <v>0</v>
      </c>
    </row>
    <row r="34" spans="2:21" ht="15" customHeight="1" x14ac:dyDescent="0.25">
      <c r="B34" s="10" t="s">
        <v>6</v>
      </c>
      <c r="C34" s="302" t="s">
        <v>52</v>
      </c>
      <c r="D34" s="303"/>
      <c r="E34" s="303"/>
      <c r="F34" s="303"/>
      <c r="G34" s="303"/>
      <c r="H34" s="304"/>
      <c r="I34" s="179">
        <v>2E-3</v>
      </c>
      <c r="J34" s="27">
        <f t="shared" si="1"/>
        <v>2.91</v>
      </c>
      <c r="M34" s="10" t="s">
        <v>6</v>
      </c>
      <c r="N34" s="302" t="s">
        <v>52</v>
      </c>
      <c r="O34" s="303"/>
      <c r="P34" s="303"/>
      <c r="Q34" s="303"/>
      <c r="R34" s="303"/>
      <c r="S34" s="304"/>
      <c r="T34" s="179">
        <v>2E-3</v>
      </c>
      <c r="U34" s="27">
        <f t="shared" si="2"/>
        <v>0</v>
      </c>
    </row>
    <row r="35" spans="2:21" ht="15" customHeight="1" x14ac:dyDescent="0.25">
      <c r="B35" s="10" t="s">
        <v>31</v>
      </c>
      <c r="C35" s="302" t="s">
        <v>53</v>
      </c>
      <c r="D35" s="303"/>
      <c r="E35" s="303"/>
      <c r="F35" s="303"/>
      <c r="G35" s="303"/>
      <c r="H35" s="304"/>
      <c r="I35" s="179">
        <v>2.5000000000000001E-2</v>
      </c>
      <c r="J35" s="27">
        <f t="shared" si="1"/>
        <v>36.44</v>
      </c>
      <c r="M35" s="10" t="s">
        <v>31</v>
      </c>
      <c r="N35" s="302" t="s">
        <v>53</v>
      </c>
      <c r="O35" s="303"/>
      <c r="P35" s="303"/>
      <c r="Q35" s="303"/>
      <c r="R35" s="303"/>
      <c r="S35" s="304"/>
      <c r="T35" s="179">
        <v>2.5000000000000001E-2</v>
      </c>
      <c r="U35" s="27">
        <f t="shared" si="2"/>
        <v>0</v>
      </c>
    </row>
    <row r="36" spans="2:21" ht="15" customHeight="1" x14ac:dyDescent="0.25">
      <c r="B36" s="10" t="s">
        <v>33</v>
      </c>
      <c r="C36" s="302" t="s">
        <v>54</v>
      </c>
      <c r="D36" s="303"/>
      <c r="E36" s="303"/>
      <c r="F36" s="303"/>
      <c r="G36" s="303"/>
      <c r="H36" s="304"/>
      <c r="I36" s="180">
        <v>0.08</v>
      </c>
      <c r="J36" s="27">
        <f t="shared" si="1"/>
        <v>116.6</v>
      </c>
      <c r="M36" s="10" t="s">
        <v>33</v>
      </c>
      <c r="N36" s="302" t="s">
        <v>54</v>
      </c>
      <c r="O36" s="303"/>
      <c r="P36" s="303"/>
      <c r="Q36" s="303"/>
      <c r="R36" s="303"/>
      <c r="S36" s="304"/>
      <c r="T36" s="180">
        <v>0.08</v>
      </c>
      <c r="U36" s="27">
        <f t="shared" si="2"/>
        <v>0</v>
      </c>
    </row>
    <row r="37" spans="2:21" ht="15" customHeight="1" x14ac:dyDescent="0.25">
      <c r="B37" s="10" t="s">
        <v>55</v>
      </c>
      <c r="C37" s="302" t="s">
        <v>56</v>
      </c>
      <c r="D37" s="304"/>
      <c r="E37" s="181" t="s">
        <v>57</v>
      </c>
      <c r="F37" s="182">
        <v>0.03</v>
      </c>
      <c r="G37" s="181" t="s">
        <v>58</v>
      </c>
      <c r="H37" s="183">
        <v>1</v>
      </c>
      <c r="I37" s="184">
        <f>ROUND((F37*H37),6)</f>
        <v>0.03</v>
      </c>
      <c r="J37" s="27">
        <f t="shared" si="1"/>
        <v>43.72</v>
      </c>
      <c r="M37" s="10" t="s">
        <v>55</v>
      </c>
      <c r="N37" s="302" t="s">
        <v>56</v>
      </c>
      <c r="O37" s="304"/>
      <c r="P37" s="181" t="s">
        <v>57</v>
      </c>
      <c r="Q37" s="182">
        <v>0.03</v>
      </c>
      <c r="R37" s="181" t="s">
        <v>58</v>
      </c>
      <c r="S37" s="183">
        <v>1</v>
      </c>
      <c r="T37" s="184">
        <f>ROUND((Q37*S37),6)</f>
        <v>0.03</v>
      </c>
      <c r="U37" s="27">
        <f t="shared" si="2"/>
        <v>0</v>
      </c>
    </row>
    <row r="38" spans="2:21" ht="15" customHeight="1" x14ac:dyDescent="0.25">
      <c r="B38" s="10" t="s">
        <v>59</v>
      </c>
      <c r="C38" s="302" t="s">
        <v>60</v>
      </c>
      <c r="D38" s="303"/>
      <c r="E38" s="303"/>
      <c r="F38" s="303"/>
      <c r="G38" s="303"/>
      <c r="H38" s="304"/>
      <c r="I38" s="179">
        <v>6.0000000000000001E-3</v>
      </c>
      <c r="J38" s="27">
        <f t="shared" si="1"/>
        <v>8.74</v>
      </c>
      <c r="M38" s="10" t="s">
        <v>59</v>
      </c>
      <c r="N38" s="302" t="s">
        <v>60</v>
      </c>
      <c r="O38" s="303"/>
      <c r="P38" s="303"/>
      <c r="Q38" s="303"/>
      <c r="R38" s="303"/>
      <c r="S38" s="304"/>
      <c r="T38" s="179">
        <v>6.0000000000000001E-3</v>
      </c>
      <c r="U38" s="27">
        <f t="shared" si="2"/>
        <v>0</v>
      </c>
    </row>
    <row r="39" spans="2:21" ht="15.75" customHeight="1" x14ac:dyDescent="0.25">
      <c r="B39" s="353" t="s">
        <v>61</v>
      </c>
      <c r="C39" s="341"/>
      <c r="D39" s="341"/>
      <c r="E39" s="341"/>
      <c r="F39" s="341"/>
      <c r="G39" s="341"/>
      <c r="H39" s="342"/>
      <c r="I39" s="267">
        <f>SUM(I31:I38)</f>
        <v>0.3680000000000001</v>
      </c>
      <c r="J39" s="153">
        <f>SUM(J31:J38)</f>
        <v>536.33000000000004</v>
      </c>
      <c r="M39" s="305" t="s">
        <v>61</v>
      </c>
      <c r="N39" s="285"/>
      <c r="O39" s="285"/>
      <c r="P39" s="285"/>
      <c r="Q39" s="285"/>
      <c r="R39" s="285"/>
      <c r="S39" s="286"/>
      <c r="T39" s="268">
        <f>SUM(T31:T38)</f>
        <v>0.3680000000000001</v>
      </c>
      <c r="U39" s="224">
        <f>SUM(U31:U38)</f>
        <v>0</v>
      </c>
    </row>
    <row r="40" spans="2:21" ht="33" customHeight="1" x14ac:dyDescent="0.25">
      <c r="B40" s="322" t="s">
        <v>62</v>
      </c>
      <c r="C40" s="323"/>
      <c r="D40" s="323"/>
      <c r="E40" s="323"/>
      <c r="F40" s="323"/>
      <c r="G40" s="323"/>
      <c r="H40" s="323"/>
      <c r="I40" s="323"/>
      <c r="J40" s="324"/>
      <c r="M40" s="322" t="s">
        <v>62</v>
      </c>
      <c r="N40" s="323"/>
      <c r="O40" s="323"/>
      <c r="P40" s="323"/>
      <c r="Q40" s="323"/>
      <c r="R40" s="323"/>
      <c r="S40" s="323"/>
      <c r="T40" s="323"/>
      <c r="U40" s="324"/>
    </row>
    <row r="41" spans="2:21" ht="15" customHeight="1" x14ac:dyDescent="0.25">
      <c r="B41" s="314" t="s">
        <v>63</v>
      </c>
      <c r="C41" s="307"/>
      <c r="D41" s="307"/>
      <c r="E41" s="307"/>
      <c r="F41" s="307"/>
      <c r="G41" s="307"/>
      <c r="H41" s="307"/>
      <c r="I41" s="307"/>
      <c r="J41" s="308"/>
      <c r="M41" s="314" t="s">
        <v>63</v>
      </c>
      <c r="N41" s="307"/>
      <c r="O41" s="307"/>
      <c r="P41" s="307"/>
      <c r="Q41" s="307"/>
      <c r="R41" s="307"/>
      <c r="S41" s="307"/>
      <c r="T41" s="307"/>
      <c r="U41" s="308"/>
    </row>
    <row r="42" spans="2:21" ht="15" customHeight="1" x14ac:dyDescent="0.25">
      <c r="B42" s="150" t="s">
        <v>64</v>
      </c>
      <c r="C42" s="340" t="s">
        <v>65</v>
      </c>
      <c r="D42" s="341"/>
      <c r="E42" s="341"/>
      <c r="F42" s="341"/>
      <c r="G42" s="341"/>
      <c r="H42" s="341"/>
      <c r="I42" s="342"/>
      <c r="J42" s="150" t="s">
        <v>23</v>
      </c>
      <c r="M42" s="221" t="s">
        <v>64</v>
      </c>
      <c r="N42" s="326" t="s">
        <v>65</v>
      </c>
      <c r="O42" s="285"/>
      <c r="P42" s="285"/>
      <c r="Q42" s="285"/>
      <c r="R42" s="285"/>
      <c r="S42" s="285"/>
      <c r="T42" s="286"/>
      <c r="U42" s="221" t="s">
        <v>23</v>
      </c>
    </row>
    <row r="43" spans="2:21" ht="25.5" customHeight="1" x14ac:dyDescent="0.25">
      <c r="B43" s="160" t="s">
        <v>1</v>
      </c>
      <c r="C43" s="320" t="s">
        <v>66</v>
      </c>
      <c r="D43" s="303"/>
      <c r="E43" s="303"/>
      <c r="F43" s="303"/>
      <c r="G43" s="303"/>
      <c r="H43" s="303"/>
      <c r="I43" s="304"/>
      <c r="J43" s="161">
        <f>ROUND($J$8/12,2)</f>
        <v>121.45</v>
      </c>
      <c r="M43" s="160" t="s">
        <v>1</v>
      </c>
      <c r="N43" s="320" t="s">
        <v>66</v>
      </c>
      <c r="O43" s="303"/>
      <c r="P43" s="303"/>
      <c r="Q43" s="303"/>
      <c r="R43" s="303"/>
      <c r="S43" s="303"/>
      <c r="T43" s="304"/>
      <c r="U43" s="161">
        <f>ROUND(U$8/12,2)</f>
        <v>0</v>
      </c>
    </row>
    <row r="44" spans="2:21" ht="15.75" customHeight="1" x14ac:dyDescent="0.25">
      <c r="B44" s="311" t="s">
        <v>67</v>
      </c>
      <c r="C44" s="303"/>
      <c r="D44" s="303"/>
      <c r="E44" s="303"/>
      <c r="F44" s="303"/>
      <c r="G44" s="303"/>
      <c r="H44" s="303"/>
      <c r="I44" s="304"/>
      <c r="J44" s="162">
        <f>SUM(J43)</f>
        <v>121.45</v>
      </c>
      <c r="M44" s="311" t="s">
        <v>67</v>
      </c>
      <c r="N44" s="303"/>
      <c r="O44" s="303"/>
      <c r="P44" s="303"/>
      <c r="Q44" s="303"/>
      <c r="R44" s="303"/>
      <c r="S44" s="303"/>
      <c r="T44" s="304"/>
      <c r="U44" s="162">
        <f>SUM(U43)</f>
        <v>0</v>
      </c>
    </row>
    <row r="45" spans="2:21" ht="15" customHeight="1" x14ac:dyDescent="0.25">
      <c r="B45" s="13" t="s">
        <v>3</v>
      </c>
      <c r="C45" s="321" t="s">
        <v>68</v>
      </c>
      <c r="D45" s="307"/>
      <c r="E45" s="307"/>
      <c r="F45" s="307"/>
      <c r="G45" s="307"/>
      <c r="H45" s="307"/>
      <c r="I45" s="308"/>
      <c r="J45" s="35">
        <f>ROUND(I39*J44,2)</f>
        <v>44.69</v>
      </c>
      <c r="M45" s="13" t="s">
        <v>3</v>
      </c>
      <c r="N45" s="321" t="s">
        <v>68</v>
      </c>
      <c r="O45" s="307"/>
      <c r="P45" s="307"/>
      <c r="Q45" s="307"/>
      <c r="R45" s="307"/>
      <c r="S45" s="307"/>
      <c r="T45" s="308"/>
      <c r="U45" s="35">
        <f>ROUND(T39*U44,2)</f>
        <v>0</v>
      </c>
    </row>
    <row r="46" spans="2:21" ht="15.75" customHeight="1" x14ac:dyDescent="0.25">
      <c r="B46" s="353" t="s">
        <v>61</v>
      </c>
      <c r="C46" s="341"/>
      <c r="D46" s="341"/>
      <c r="E46" s="341"/>
      <c r="F46" s="341"/>
      <c r="G46" s="341"/>
      <c r="H46" s="341"/>
      <c r="I46" s="342"/>
      <c r="J46" s="163">
        <f>SUM(J44:J45)</f>
        <v>166.14</v>
      </c>
      <c r="M46" s="305" t="s">
        <v>61</v>
      </c>
      <c r="N46" s="285"/>
      <c r="O46" s="285"/>
      <c r="P46" s="285"/>
      <c r="Q46" s="285"/>
      <c r="R46" s="285"/>
      <c r="S46" s="285"/>
      <c r="T46" s="286"/>
      <c r="U46" s="228">
        <f>SUM(U44:U45)</f>
        <v>0</v>
      </c>
    </row>
    <row r="47" spans="2:21" ht="15" customHeight="1" x14ac:dyDescent="0.25">
      <c r="B47" s="314" t="s">
        <v>69</v>
      </c>
      <c r="C47" s="307"/>
      <c r="D47" s="307"/>
      <c r="E47" s="307"/>
      <c r="F47" s="307"/>
      <c r="G47" s="307"/>
      <c r="H47" s="307"/>
      <c r="I47" s="307"/>
      <c r="J47" s="308"/>
      <c r="M47" s="314" t="s">
        <v>69</v>
      </c>
      <c r="N47" s="307"/>
      <c r="O47" s="307"/>
      <c r="P47" s="307"/>
      <c r="Q47" s="307"/>
      <c r="R47" s="307"/>
      <c r="S47" s="307"/>
      <c r="T47" s="307"/>
      <c r="U47" s="308"/>
    </row>
    <row r="48" spans="2:21" ht="15.75" customHeight="1" x14ac:dyDescent="0.25">
      <c r="B48" s="150" t="s">
        <v>70</v>
      </c>
      <c r="C48" s="354" t="s">
        <v>71</v>
      </c>
      <c r="D48" s="341"/>
      <c r="E48" s="341"/>
      <c r="F48" s="341"/>
      <c r="G48" s="341"/>
      <c r="H48" s="341"/>
      <c r="I48" s="342"/>
      <c r="J48" s="150" t="s">
        <v>23</v>
      </c>
      <c r="M48" s="221" t="s">
        <v>70</v>
      </c>
      <c r="N48" s="284" t="s">
        <v>71</v>
      </c>
      <c r="O48" s="285"/>
      <c r="P48" s="285"/>
      <c r="Q48" s="285"/>
      <c r="R48" s="285"/>
      <c r="S48" s="285"/>
      <c r="T48" s="286"/>
      <c r="U48" s="221" t="s">
        <v>23</v>
      </c>
    </row>
    <row r="49" spans="1:21" ht="15" customHeight="1" x14ac:dyDescent="0.25">
      <c r="B49" s="13" t="s">
        <v>1</v>
      </c>
      <c r="C49" s="290" t="s">
        <v>303</v>
      </c>
      <c r="D49" s="291"/>
      <c r="E49" s="291"/>
      <c r="F49" s="291"/>
      <c r="G49" s="291"/>
      <c r="H49" s="240">
        <f>J8</f>
        <v>1457.4452727272726</v>
      </c>
      <c r="I49" s="241">
        <v>1.85E-4</v>
      </c>
      <c r="J49" s="27">
        <f>H49*I49</f>
        <v>0.2696273754545454</v>
      </c>
      <c r="M49" s="13" t="s">
        <v>1</v>
      </c>
      <c r="N49" s="290" t="s">
        <v>303</v>
      </c>
      <c r="O49" s="291"/>
      <c r="P49" s="291"/>
      <c r="Q49" s="291"/>
      <c r="R49" s="291"/>
      <c r="S49" s="240">
        <f>U8</f>
        <v>0</v>
      </c>
      <c r="T49" s="241">
        <v>1.85E-4</v>
      </c>
      <c r="U49" s="27">
        <f>S49*T49</f>
        <v>0</v>
      </c>
    </row>
    <row r="50" spans="1:21" ht="15" customHeight="1" x14ac:dyDescent="0.25">
      <c r="B50" s="13" t="s">
        <v>3</v>
      </c>
      <c r="C50" s="319" t="s">
        <v>72</v>
      </c>
      <c r="D50" s="307"/>
      <c r="E50" s="307"/>
      <c r="F50" s="307"/>
      <c r="G50" s="307"/>
      <c r="H50" s="307"/>
      <c r="I50" s="308"/>
      <c r="J50" s="27">
        <f>ROUND(I39*J49,2)</f>
        <v>0.1</v>
      </c>
      <c r="M50" s="13" t="s">
        <v>3</v>
      </c>
      <c r="N50" s="319" t="s">
        <v>72</v>
      </c>
      <c r="O50" s="307"/>
      <c r="P50" s="307"/>
      <c r="Q50" s="307"/>
      <c r="R50" s="307"/>
      <c r="S50" s="307"/>
      <c r="T50" s="308"/>
      <c r="U50" s="27">
        <f>ROUND(T39*U49,2)</f>
        <v>0</v>
      </c>
    </row>
    <row r="51" spans="1:21" ht="15.75" customHeight="1" x14ac:dyDescent="0.25">
      <c r="B51" s="353" t="s">
        <v>61</v>
      </c>
      <c r="C51" s="341"/>
      <c r="D51" s="341"/>
      <c r="E51" s="341"/>
      <c r="F51" s="341"/>
      <c r="G51" s="341"/>
      <c r="H51" s="341"/>
      <c r="I51" s="342"/>
      <c r="J51" s="153">
        <f>SUM(J49:J50)</f>
        <v>0.36962737545454538</v>
      </c>
      <c r="M51" s="305" t="s">
        <v>61</v>
      </c>
      <c r="N51" s="285"/>
      <c r="O51" s="285"/>
      <c r="P51" s="285"/>
      <c r="Q51" s="285"/>
      <c r="R51" s="285"/>
      <c r="S51" s="285"/>
      <c r="T51" s="286"/>
      <c r="U51" s="224">
        <f>SUM(U49:U50)</f>
        <v>0</v>
      </c>
    </row>
    <row r="52" spans="1:21" ht="15.75" customHeight="1" x14ac:dyDescent="0.25">
      <c r="B52" s="317" t="s">
        <v>73</v>
      </c>
      <c r="C52" s="307"/>
      <c r="D52" s="307"/>
      <c r="E52" s="307"/>
      <c r="F52" s="307"/>
      <c r="G52" s="307"/>
      <c r="H52" s="307"/>
      <c r="I52" s="307"/>
      <c r="J52" s="308"/>
      <c r="M52" s="317" t="s">
        <v>73</v>
      </c>
      <c r="N52" s="307"/>
      <c r="O52" s="307"/>
      <c r="P52" s="307"/>
      <c r="Q52" s="307"/>
      <c r="R52" s="307"/>
      <c r="S52" s="307"/>
      <c r="T52" s="307"/>
      <c r="U52" s="308"/>
    </row>
    <row r="53" spans="1:21" ht="15.75" customHeight="1" x14ac:dyDescent="0.25">
      <c r="B53" s="150" t="s">
        <v>74</v>
      </c>
      <c r="C53" s="354" t="s">
        <v>75</v>
      </c>
      <c r="D53" s="341"/>
      <c r="E53" s="341"/>
      <c r="F53" s="341"/>
      <c r="G53" s="341"/>
      <c r="H53" s="341"/>
      <c r="I53" s="342"/>
      <c r="J53" s="150" t="s">
        <v>23</v>
      </c>
      <c r="M53" s="221" t="s">
        <v>74</v>
      </c>
      <c r="N53" s="284" t="s">
        <v>75</v>
      </c>
      <c r="O53" s="285"/>
      <c r="P53" s="285"/>
      <c r="Q53" s="285"/>
      <c r="R53" s="285"/>
      <c r="S53" s="285"/>
      <c r="T53" s="286"/>
      <c r="U53" s="221" t="s">
        <v>23</v>
      </c>
    </row>
    <row r="54" spans="1:21" ht="26.25" customHeight="1" x14ac:dyDescent="0.25">
      <c r="B54" s="13" t="s">
        <v>1</v>
      </c>
      <c r="C54" s="292" t="s">
        <v>76</v>
      </c>
      <c r="D54" s="293"/>
      <c r="E54" s="293"/>
      <c r="F54" s="293"/>
      <c r="G54" s="293"/>
      <c r="H54" s="240">
        <f>H49</f>
        <v>1457.4452727272726</v>
      </c>
      <c r="I54" s="239">
        <v>4.2000000000000002E-4</v>
      </c>
      <c r="J54" s="27">
        <f>H54*I54</f>
        <v>0.61212701454545448</v>
      </c>
      <c r="L54" s="135"/>
      <c r="M54" s="13" t="s">
        <v>1</v>
      </c>
      <c r="N54" s="292" t="s">
        <v>327</v>
      </c>
      <c r="O54" s="293"/>
      <c r="P54" s="293"/>
      <c r="Q54" s="293"/>
      <c r="R54" s="293"/>
      <c r="S54" s="240">
        <f>S49</f>
        <v>0</v>
      </c>
      <c r="T54" s="239"/>
      <c r="U54" s="27">
        <f>S54*T54</f>
        <v>0</v>
      </c>
    </row>
    <row r="55" spans="1:21" ht="15.75" customHeight="1" x14ac:dyDescent="0.25">
      <c r="B55" s="13" t="s">
        <v>3</v>
      </c>
      <c r="C55" s="318" t="s">
        <v>77</v>
      </c>
      <c r="D55" s="307"/>
      <c r="E55" s="307"/>
      <c r="F55" s="307"/>
      <c r="G55" s="307"/>
      <c r="H55" s="307"/>
      <c r="I55" s="308"/>
      <c r="J55" s="27">
        <f>J54*8%</f>
        <v>4.897016116363636E-2</v>
      </c>
      <c r="L55" s="135"/>
      <c r="M55" s="13" t="s">
        <v>3</v>
      </c>
      <c r="N55" s="318" t="s">
        <v>77</v>
      </c>
      <c r="O55" s="307"/>
      <c r="P55" s="307"/>
      <c r="Q55" s="307"/>
      <c r="R55" s="307"/>
      <c r="S55" s="307"/>
      <c r="T55" s="308"/>
      <c r="U55" s="27">
        <f>U54*8%</f>
        <v>0</v>
      </c>
    </row>
    <row r="56" spans="1:21" ht="18" customHeight="1" x14ac:dyDescent="0.25">
      <c r="B56" s="13" t="s">
        <v>5</v>
      </c>
      <c r="C56" s="294" t="s">
        <v>304</v>
      </c>
      <c r="D56" s="295"/>
      <c r="E56" s="295"/>
      <c r="F56" s="295"/>
      <c r="G56" s="295"/>
      <c r="H56" s="244">
        <f>H54</f>
        <v>1457.4452727272726</v>
      </c>
      <c r="I56" s="239">
        <v>1.9949999999999998E-3</v>
      </c>
      <c r="J56" s="27">
        <f>H56*I56</f>
        <v>2.9076033190909087</v>
      </c>
      <c r="L56" s="135"/>
      <c r="M56" s="13" t="s">
        <v>5</v>
      </c>
      <c r="N56" s="294" t="s">
        <v>304</v>
      </c>
      <c r="O56" s="295"/>
      <c r="P56" s="295"/>
      <c r="Q56" s="295"/>
      <c r="R56" s="295"/>
      <c r="S56" s="244">
        <f>S54</f>
        <v>0</v>
      </c>
      <c r="T56" s="239"/>
      <c r="U56" s="27">
        <f>S56*T56</f>
        <v>0</v>
      </c>
    </row>
    <row r="57" spans="1:21" ht="27" customHeight="1" x14ac:dyDescent="0.25">
      <c r="B57" s="13" t="s">
        <v>6</v>
      </c>
      <c r="C57" s="296" t="s">
        <v>291</v>
      </c>
      <c r="D57" s="297"/>
      <c r="E57" s="297"/>
      <c r="F57" s="297"/>
      <c r="G57" s="242"/>
      <c r="H57" s="244">
        <f>H56</f>
        <v>1457.4452727272726</v>
      </c>
      <c r="I57" s="239">
        <v>1.9443999999999999E-2</v>
      </c>
      <c r="J57" s="27">
        <f>H57*I57</f>
        <v>28.338565882909087</v>
      </c>
      <c r="L57" s="135"/>
      <c r="M57" s="13" t="s">
        <v>6</v>
      </c>
      <c r="N57" s="296" t="s">
        <v>291</v>
      </c>
      <c r="O57" s="297"/>
      <c r="P57" s="297"/>
      <c r="Q57" s="297"/>
      <c r="R57" s="242"/>
      <c r="S57" s="244">
        <f>S56</f>
        <v>0</v>
      </c>
      <c r="T57" s="239"/>
      <c r="U57" s="27">
        <f>S57*T57</f>
        <v>0</v>
      </c>
    </row>
    <row r="58" spans="1:21" ht="15.75" customHeight="1" x14ac:dyDescent="0.25">
      <c r="B58" s="13" t="s">
        <v>31</v>
      </c>
      <c r="C58" s="313" t="s">
        <v>78</v>
      </c>
      <c r="D58" s="303"/>
      <c r="E58" s="303"/>
      <c r="F58" s="303"/>
      <c r="G58" s="303"/>
      <c r="H58" s="303"/>
      <c r="I58" s="304"/>
      <c r="J58" s="27">
        <f>ROUND($I$39*J57,2)</f>
        <v>10.43</v>
      </c>
      <c r="L58" s="135"/>
      <c r="M58" s="13" t="s">
        <v>31</v>
      </c>
      <c r="N58" s="313" t="s">
        <v>78</v>
      </c>
      <c r="O58" s="303"/>
      <c r="P58" s="303"/>
      <c r="Q58" s="303"/>
      <c r="R58" s="303"/>
      <c r="S58" s="303"/>
      <c r="T58" s="304"/>
      <c r="U58" s="27">
        <f>ROUND(T$39*U57,2)</f>
        <v>0</v>
      </c>
    </row>
    <row r="59" spans="1:21" ht="26.25" customHeight="1" x14ac:dyDescent="0.25">
      <c r="B59" s="13" t="s">
        <v>33</v>
      </c>
      <c r="C59" s="298" t="s">
        <v>79</v>
      </c>
      <c r="D59" s="299"/>
      <c r="E59" s="299"/>
      <c r="F59" s="299"/>
      <c r="G59" s="299"/>
      <c r="H59" s="244">
        <f>H57</f>
        <v>1457.4452727272726</v>
      </c>
      <c r="I59" s="239">
        <v>0.04</v>
      </c>
      <c r="J59" s="27">
        <f>H59*I59</f>
        <v>58.297810909090906</v>
      </c>
      <c r="L59" s="135"/>
      <c r="M59" s="13" t="s">
        <v>33</v>
      </c>
      <c r="N59" s="298" t="s">
        <v>79</v>
      </c>
      <c r="O59" s="299"/>
      <c r="P59" s="299"/>
      <c r="Q59" s="299"/>
      <c r="R59" s="299"/>
      <c r="S59" s="244">
        <f>S57</f>
        <v>0</v>
      </c>
      <c r="T59" s="239"/>
      <c r="U59" s="27">
        <f>S59*T59</f>
        <v>0</v>
      </c>
    </row>
    <row r="60" spans="1:21" ht="15.75" customHeight="1" x14ac:dyDescent="0.25">
      <c r="B60" s="355" t="s">
        <v>61</v>
      </c>
      <c r="C60" s="356"/>
      <c r="D60" s="356"/>
      <c r="E60" s="356"/>
      <c r="F60" s="356"/>
      <c r="G60" s="356"/>
      <c r="H60" s="356"/>
      <c r="I60" s="357"/>
      <c r="J60" s="172">
        <f>SUM(J54:J59)</f>
        <v>100.6350772868</v>
      </c>
      <c r="M60" s="305" t="s">
        <v>61</v>
      </c>
      <c r="N60" s="285"/>
      <c r="O60" s="285"/>
      <c r="P60" s="285"/>
      <c r="Q60" s="285"/>
      <c r="R60" s="285"/>
      <c r="S60" s="285"/>
      <c r="T60" s="286"/>
      <c r="U60" s="224">
        <f>SUM(U54:U59)</f>
        <v>0</v>
      </c>
    </row>
    <row r="61" spans="1:21" ht="15" customHeight="1" x14ac:dyDescent="0.25">
      <c r="B61" s="314" t="s">
        <v>80</v>
      </c>
      <c r="C61" s="307"/>
      <c r="D61" s="307"/>
      <c r="E61" s="307"/>
      <c r="F61" s="307"/>
      <c r="G61" s="307"/>
      <c r="H61" s="307"/>
      <c r="I61" s="307"/>
      <c r="J61" s="308"/>
      <c r="M61" s="314" t="s">
        <v>80</v>
      </c>
      <c r="N61" s="307"/>
      <c r="O61" s="307"/>
      <c r="P61" s="307"/>
      <c r="Q61" s="307"/>
      <c r="R61" s="307"/>
      <c r="S61" s="307"/>
      <c r="T61" s="307"/>
      <c r="U61" s="308"/>
    </row>
    <row r="62" spans="1:21" ht="15.75" customHeight="1" x14ac:dyDescent="0.25">
      <c r="B62" s="164" t="s">
        <v>81</v>
      </c>
      <c r="C62" s="312" t="s">
        <v>82</v>
      </c>
      <c r="D62" s="303"/>
      <c r="E62" s="303"/>
      <c r="F62" s="303"/>
      <c r="G62" s="303"/>
      <c r="H62" s="303"/>
      <c r="I62" s="304"/>
      <c r="J62" s="164" t="s">
        <v>23</v>
      </c>
      <c r="M62" s="164" t="s">
        <v>81</v>
      </c>
      <c r="N62" s="312" t="s">
        <v>82</v>
      </c>
      <c r="O62" s="303"/>
      <c r="P62" s="303"/>
      <c r="Q62" s="303"/>
      <c r="R62" s="303"/>
      <c r="S62" s="303"/>
      <c r="T62" s="304"/>
      <c r="U62" s="164" t="s">
        <v>23</v>
      </c>
    </row>
    <row r="63" spans="1:21" ht="15" customHeight="1" x14ac:dyDescent="0.25">
      <c r="A63">
        <v>161.91999999999999</v>
      </c>
      <c r="B63" s="165" t="s">
        <v>1</v>
      </c>
      <c r="C63" s="315" t="s">
        <v>305</v>
      </c>
      <c r="D63" s="316"/>
      <c r="E63" s="316"/>
      <c r="F63" s="316"/>
      <c r="G63" s="316"/>
      <c r="H63" s="244">
        <f>H59</f>
        <v>1457.4452727272726</v>
      </c>
      <c r="I63" s="245">
        <v>0.1111</v>
      </c>
      <c r="J63" s="27">
        <f>H63*I63</f>
        <v>161.92216979999998</v>
      </c>
      <c r="L63" s="135"/>
      <c r="M63" s="165" t="s">
        <v>1</v>
      </c>
      <c r="N63" s="315" t="s">
        <v>305</v>
      </c>
      <c r="O63" s="316"/>
      <c r="P63" s="316"/>
      <c r="Q63" s="316"/>
      <c r="R63" s="316"/>
      <c r="S63" s="244">
        <f>S59</f>
        <v>0</v>
      </c>
      <c r="T63" s="245">
        <v>0.1111</v>
      </c>
      <c r="U63" s="27">
        <f>S63*T63</f>
        <v>0</v>
      </c>
    </row>
    <row r="64" spans="1:21" ht="15.75" customHeight="1" x14ac:dyDescent="0.25">
      <c r="A64">
        <v>20.239999999999998</v>
      </c>
      <c r="B64" s="165" t="s">
        <v>3</v>
      </c>
      <c r="C64" s="282" t="s">
        <v>306</v>
      </c>
      <c r="D64" s="283"/>
      <c r="E64" s="283"/>
      <c r="F64" s="283"/>
      <c r="G64" s="283"/>
      <c r="H64" s="244">
        <f>H63</f>
        <v>1457.4452727272726</v>
      </c>
      <c r="I64" s="245">
        <v>1.389E-2</v>
      </c>
      <c r="J64" s="27">
        <f t="shared" ref="J64:J68" si="3">H64*I64</f>
        <v>20.243914838181816</v>
      </c>
      <c r="L64" s="246"/>
      <c r="M64" s="165" t="s">
        <v>3</v>
      </c>
      <c r="N64" s="282" t="s">
        <v>306</v>
      </c>
      <c r="O64" s="283"/>
      <c r="P64" s="283"/>
      <c r="Q64" s="283"/>
      <c r="R64" s="283"/>
      <c r="S64" s="244">
        <f>S63</f>
        <v>0</v>
      </c>
      <c r="T64" s="245">
        <v>1.389E-2</v>
      </c>
      <c r="U64" s="27">
        <f>S64*T64</f>
        <v>0</v>
      </c>
    </row>
    <row r="65" spans="1:21" ht="15.75" customHeight="1" x14ac:dyDescent="0.25">
      <c r="A65">
        <v>0.3</v>
      </c>
      <c r="B65" s="165" t="s">
        <v>5</v>
      </c>
      <c r="C65" s="282" t="s">
        <v>307</v>
      </c>
      <c r="D65" s="283"/>
      <c r="E65" s="283"/>
      <c r="F65" s="283"/>
      <c r="G65" s="283"/>
      <c r="H65" s="244">
        <f>H64</f>
        <v>1457.4452727272726</v>
      </c>
      <c r="I65" s="247">
        <v>2.0599999999999999E-4</v>
      </c>
      <c r="J65" s="27">
        <f t="shared" si="3"/>
        <v>0.30023372618181815</v>
      </c>
      <c r="L65" s="246"/>
      <c r="M65" s="165" t="s">
        <v>5</v>
      </c>
      <c r="N65" s="282" t="s">
        <v>307</v>
      </c>
      <c r="O65" s="283"/>
      <c r="P65" s="283"/>
      <c r="Q65" s="283"/>
      <c r="R65" s="283"/>
      <c r="S65" s="244">
        <f>S64</f>
        <v>0</v>
      </c>
      <c r="T65" s="247">
        <v>2.0599999999999999E-4</v>
      </c>
      <c r="U65" s="27">
        <f t="shared" ref="U65:U68" si="4">S65*T65</f>
        <v>0</v>
      </c>
    </row>
    <row r="66" spans="1:21" ht="15.75" customHeight="1" x14ac:dyDescent="0.25">
      <c r="A66">
        <v>11.98</v>
      </c>
      <c r="B66" s="165" t="s">
        <v>6</v>
      </c>
      <c r="C66" s="282" t="s">
        <v>308</v>
      </c>
      <c r="D66" s="283"/>
      <c r="E66" s="283"/>
      <c r="F66" s="283"/>
      <c r="G66" s="283"/>
      <c r="H66" s="244">
        <f>H65</f>
        <v>1457.4452727272726</v>
      </c>
      <c r="I66" s="245">
        <v>8.2199999999999999E-3</v>
      </c>
      <c r="J66" s="27">
        <f t="shared" si="3"/>
        <v>11.98020014181818</v>
      </c>
      <c r="L66" s="246"/>
      <c r="M66" s="165" t="s">
        <v>6</v>
      </c>
      <c r="N66" s="282" t="s">
        <v>308</v>
      </c>
      <c r="O66" s="283"/>
      <c r="P66" s="283"/>
      <c r="Q66" s="283"/>
      <c r="R66" s="283"/>
      <c r="S66" s="244">
        <f>S65</f>
        <v>0</v>
      </c>
      <c r="T66" s="245">
        <v>8.2199999999999999E-3</v>
      </c>
      <c r="U66" s="27">
        <f t="shared" si="4"/>
        <v>0</v>
      </c>
    </row>
    <row r="67" spans="1:21" ht="27" customHeight="1" x14ac:dyDescent="0.25">
      <c r="A67">
        <v>0.47</v>
      </c>
      <c r="B67" s="165" t="s">
        <v>31</v>
      </c>
      <c r="C67" s="359" t="s">
        <v>309</v>
      </c>
      <c r="D67" s="360"/>
      <c r="E67" s="360"/>
      <c r="F67" s="360"/>
      <c r="G67" s="360"/>
      <c r="H67" s="244">
        <f>H66</f>
        <v>1457.4452727272726</v>
      </c>
      <c r="I67" s="245">
        <v>3.2200000000000002E-4</v>
      </c>
      <c r="J67" s="27">
        <f t="shared" si="3"/>
        <v>0.46929737781818182</v>
      </c>
      <c r="L67" s="246"/>
      <c r="M67" s="165" t="s">
        <v>31</v>
      </c>
      <c r="N67" s="359" t="s">
        <v>309</v>
      </c>
      <c r="O67" s="360"/>
      <c r="P67" s="360"/>
      <c r="Q67" s="360"/>
      <c r="R67" s="360"/>
      <c r="S67" s="244">
        <f>S66</f>
        <v>0</v>
      </c>
      <c r="T67" s="245">
        <v>3.2200000000000002E-4</v>
      </c>
      <c r="U67" s="27">
        <f t="shared" si="4"/>
        <v>0</v>
      </c>
    </row>
    <row r="68" spans="1:21" ht="15.75" customHeight="1" x14ac:dyDescent="0.25">
      <c r="A68">
        <v>71.73</v>
      </c>
      <c r="B68" s="165" t="s">
        <v>33</v>
      </c>
      <c r="C68" s="361" t="s">
        <v>310</v>
      </c>
      <c r="D68" s="362"/>
      <c r="E68" s="362"/>
      <c r="F68" s="362"/>
      <c r="G68" s="362"/>
      <c r="H68" s="244">
        <f>H67</f>
        <v>1457.4452727272726</v>
      </c>
      <c r="I68" s="245">
        <v>4.9200000000000001E-2</v>
      </c>
      <c r="J68" s="27">
        <f t="shared" si="3"/>
        <v>71.706307418181808</v>
      </c>
      <c r="L68" s="246"/>
      <c r="M68" s="165" t="s">
        <v>33</v>
      </c>
      <c r="N68" s="361" t="s">
        <v>310</v>
      </c>
      <c r="O68" s="362"/>
      <c r="P68" s="362"/>
      <c r="Q68" s="362"/>
      <c r="R68" s="362"/>
      <c r="S68" s="244">
        <f>S67</f>
        <v>0</v>
      </c>
      <c r="T68" s="245">
        <v>4.9200000000000001E-2</v>
      </c>
      <c r="U68" s="27">
        <f t="shared" si="4"/>
        <v>0</v>
      </c>
    </row>
    <row r="69" spans="1:21" ht="15.75" customHeight="1" x14ac:dyDescent="0.25">
      <c r="B69" s="311" t="s">
        <v>67</v>
      </c>
      <c r="C69" s="303"/>
      <c r="D69" s="303"/>
      <c r="E69" s="303"/>
      <c r="F69" s="303"/>
      <c r="G69" s="303"/>
      <c r="H69" s="303"/>
      <c r="I69" s="304"/>
      <c r="J69" s="166">
        <f>SUM(J63:J68)</f>
        <v>266.62212330218176</v>
      </c>
      <c r="L69" s="135"/>
      <c r="M69" s="311" t="s">
        <v>67</v>
      </c>
      <c r="N69" s="303"/>
      <c r="O69" s="303"/>
      <c r="P69" s="303"/>
      <c r="Q69" s="303"/>
      <c r="R69" s="303"/>
      <c r="S69" s="303"/>
      <c r="T69" s="304"/>
      <c r="U69" s="166">
        <f>SUM(U63:U68)</f>
        <v>0</v>
      </c>
    </row>
    <row r="70" spans="1:21" ht="9.75" customHeight="1" x14ac:dyDescent="0.25">
      <c r="B70" s="167"/>
      <c r="C70" s="302"/>
      <c r="D70" s="303"/>
      <c r="E70" s="303"/>
      <c r="F70" s="303"/>
      <c r="G70" s="303"/>
      <c r="H70" s="303"/>
      <c r="I70" s="304"/>
      <c r="J70" s="168"/>
      <c r="L70" s="135"/>
      <c r="M70" s="167"/>
      <c r="N70" s="302"/>
      <c r="O70" s="303"/>
      <c r="P70" s="303"/>
      <c r="Q70" s="303"/>
      <c r="R70" s="303"/>
      <c r="S70" s="303"/>
      <c r="T70" s="304"/>
      <c r="U70" s="168"/>
    </row>
    <row r="71" spans="1:21" ht="15.75" customHeight="1" x14ac:dyDescent="0.25">
      <c r="B71" s="311" t="s">
        <v>61</v>
      </c>
      <c r="C71" s="303"/>
      <c r="D71" s="303"/>
      <c r="E71" s="303"/>
      <c r="F71" s="303"/>
      <c r="G71" s="303"/>
      <c r="H71" s="303"/>
      <c r="I71" s="304"/>
      <c r="J71" s="169">
        <f>SUM(J69:J70)</f>
        <v>266.62212330218176</v>
      </c>
      <c r="L71" s="135"/>
      <c r="M71" s="305" t="s">
        <v>61</v>
      </c>
      <c r="N71" s="285"/>
      <c r="O71" s="285"/>
      <c r="P71" s="285"/>
      <c r="Q71" s="285"/>
      <c r="R71" s="285"/>
      <c r="S71" s="285"/>
      <c r="T71" s="286"/>
      <c r="U71" s="224">
        <f>SUM(U69:U70)</f>
        <v>0</v>
      </c>
    </row>
    <row r="72" spans="1:21" ht="15.75" customHeight="1" x14ac:dyDescent="0.25">
      <c r="B72" s="309" t="s">
        <v>84</v>
      </c>
      <c r="C72" s="303"/>
      <c r="D72" s="303"/>
      <c r="E72" s="303"/>
      <c r="F72" s="303"/>
      <c r="G72" s="303"/>
      <c r="H72" s="303"/>
      <c r="I72" s="303"/>
      <c r="J72" s="304"/>
      <c r="L72" s="135"/>
      <c r="M72" s="309" t="s">
        <v>84</v>
      </c>
      <c r="N72" s="303"/>
      <c r="O72" s="303"/>
      <c r="P72" s="303"/>
      <c r="Q72" s="303"/>
      <c r="R72" s="303"/>
      <c r="S72" s="303"/>
      <c r="T72" s="303"/>
      <c r="U72" s="304"/>
    </row>
    <row r="73" spans="1:21" ht="15" customHeight="1" x14ac:dyDescent="0.25">
      <c r="B73" s="170">
        <v>4</v>
      </c>
      <c r="C73" s="310" t="s">
        <v>85</v>
      </c>
      <c r="D73" s="303"/>
      <c r="E73" s="303"/>
      <c r="F73" s="303"/>
      <c r="G73" s="303"/>
      <c r="H73" s="303"/>
      <c r="I73" s="304"/>
      <c r="J73" s="170" t="s">
        <v>23</v>
      </c>
      <c r="L73" s="135"/>
      <c r="M73" s="170">
        <v>4</v>
      </c>
      <c r="N73" s="310" t="s">
        <v>85</v>
      </c>
      <c r="O73" s="303"/>
      <c r="P73" s="303"/>
      <c r="Q73" s="303"/>
      <c r="R73" s="303"/>
      <c r="S73" s="303"/>
      <c r="T73" s="304"/>
      <c r="U73" s="170" t="s">
        <v>23</v>
      </c>
    </row>
    <row r="74" spans="1:21" ht="15" customHeight="1" x14ac:dyDescent="0.25">
      <c r="B74" s="160" t="s">
        <v>46</v>
      </c>
      <c r="C74" s="300" t="s">
        <v>86</v>
      </c>
      <c r="D74" s="301"/>
      <c r="E74" s="301"/>
      <c r="F74" s="301"/>
      <c r="G74" s="242"/>
      <c r="H74" s="244">
        <f>H59</f>
        <v>1457.4452727272726</v>
      </c>
      <c r="I74" s="243"/>
      <c r="J74" s="171">
        <f>J39</f>
        <v>536.33000000000004</v>
      </c>
      <c r="L74" s="135"/>
      <c r="M74" s="160" t="s">
        <v>46</v>
      </c>
      <c r="N74" s="300" t="s">
        <v>86</v>
      </c>
      <c r="O74" s="301"/>
      <c r="P74" s="301"/>
      <c r="Q74" s="301"/>
      <c r="R74" s="242"/>
      <c r="S74" s="244"/>
      <c r="T74" s="243"/>
      <c r="U74" s="171">
        <f>U39</f>
        <v>0</v>
      </c>
    </row>
    <row r="75" spans="1:21" ht="15" customHeight="1" x14ac:dyDescent="0.25">
      <c r="B75" s="160" t="s">
        <v>64</v>
      </c>
      <c r="C75" s="302" t="s">
        <v>87</v>
      </c>
      <c r="D75" s="303"/>
      <c r="E75" s="303"/>
      <c r="F75" s="303"/>
      <c r="G75" s="303"/>
      <c r="H75" s="303"/>
      <c r="I75" s="304"/>
      <c r="J75" s="171">
        <f>J46</f>
        <v>166.14</v>
      </c>
      <c r="L75" s="135"/>
      <c r="M75" s="160" t="s">
        <v>64</v>
      </c>
      <c r="N75" s="302" t="s">
        <v>87</v>
      </c>
      <c r="O75" s="303"/>
      <c r="P75" s="303"/>
      <c r="Q75" s="303"/>
      <c r="R75" s="303"/>
      <c r="S75" s="303"/>
      <c r="T75" s="304"/>
      <c r="U75" s="171">
        <f>U46</f>
        <v>0</v>
      </c>
    </row>
    <row r="76" spans="1:21" ht="15" customHeight="1" x14ac:dyDescent="0.25">
      <c r="B76" s="160" t="s">
        <v>70</v>
      </c>
      <c r="C76" s="302" t="s">
        <v>88</v>
      </c>
      <c r="D76" s="303"/>
      <c r="E76" s="303"/>
      <c r="F76" s="303"/>
      <c r="G76" s="303"/>
      <c r="H76" s="303"/>
      <c r="I76" s="304"/>
      <c r="J76" s="171">
        <f>J51</f>
        <v>0.36962737545454538</v>
      </c>
      <c r="L76" s="135"/>
      <c r="M76" s="160" t="s">
        <v>70</v>
      </c>
      <c r="N76" s="302" t="s">
        <v>88</v>
      </c>
      <c r="O76" s="303"/>
      <c r="P76" s="303"/>
      <c r="Q76" s="303"/>
      <c r="R76" s="303"/>
      <c r="S76" s="303"/>
      <c r="T76" s="304"/>
      <c r="U76" s="171">
        <f>U51</f>
        <v>0</v>
      </c>
    </row>
    <row r="77" spans="1:21" ht="15" customHeight="1" x14ac:dyDescent="0.25">
      <c r="B77" s="160" t="s">
        <v>74</v>
      </c>
      <c r="C77" s="302" t="s">
        <v>89</v>
      </c>
      <c r="D77" s="303"/>
      <c r="E77" s="303"/>
      <c r="F77" s="303"/>
      <c r="G77" s="303"/>
      <c r="H77" s="303"/>
      <c r="I77" s="304"/>
      <c r="J77" s="171">
        <f>J60</f>
        <v>100.6350772868</v>
      </c>
      <c r="L77" s="135"/>
      <c r="M77" s="160" t="s">
        <v>74</v>
      </c>
      <c r="N77" s="302" t="s">
        <v>89</v>
      </c>
      <c r="O77" s="303"/>
      <c r="P77" s="303"/>
      <c r="Q77" s="303"/>
      <c r="R77" s="303"/>
      <c r="S77" s="303"/>
      <c r="T77" s="304"/>
      <c r="U77" s="171">
        <f>U60</f>
        <v>0</v>
      </c>
    </row>
    <row r="78" spans="1:21" ht="15" customHeight="1" x14ac:dyDescent="0.25">
      <c r="B78" s="160" t="s">
        <v>81</v>
      </c>
      <c r="C78" s="302" t="s">
        <v>90</v>
      </c>
      <c r="D78" s="303"/>
      <c r="E78" s="303"/>
      <c r="F78" s="303"/>
      <c r="G78" s="303"/>
      <c r="H78" s="303"/>
      <c r="I78" s="304"/>
      <c r="J78" s="171">
        <f>J69</f>
        <v>266.62212330218176</v>
      </c>
      <c r="L78" s="135"/>
      <c r="M78" s="160" t="s">
        <v>81</v>
      </c>
      <c r="N78" s="302" t="s">
        <v>90</v>
      </c>
      <c r="O78" s="303"/>
      <c r="P78" s="303"/>
      <c r="Q78" s="303"/>
      <c r="R78" s="303"/>
      <c r="S78" s="303"/>
      <c r="T78" s="304"/>
      <c r="U78" s="171">
        <f>U69</f>
        <v>0</v>
      </c>
    </row>
    <row r="79" spans="1:21" ht="15" customHeight="1" x14ac:dyDescent="0.25">
      <c r="B79" s="160" t="s">
        <v>91</v>
      </c>
      <c r="C79" s="302"/>
      <c r="D79" s="303"/>
      <c r="E79" s="303"/>
      <c r="F79" s="303"/>
      <c r="G79" s="303"/>
      <c r="H79" s="303"/>
      <c r="I79" s="304"/>
      <c r="J79" s="171"/>
      <c r="L79" s="135"/>
      <c r="M79" s="160" t="s">
        <v>91</v>
      </c>
      <c r="N79" s="302"/>
      <c r="O79" s="303"/>
      <c r="P79" s="303"/>
      <c r="Q79" s="303"/>
      <c r="R79" s="303"/>
      <c r="S79" s="303"/>
      <c r="T79" s="304"/>
      <c r="U79" s="171"/>
    </row>
    <row r="80" spans="1:21" ht="15.75" customHeight="1" x14ac:dyDescent="0.25">
      <c r="B80" s="355" t="s">
        <v>61</v>
      </c>
      <c r="C80" s="356"/>
      <c r="D80" s="356"/>
      <c r="E80" s="356"/>
      <c r="F80" s="356"/>
      <c r="G80" s="356"/>
      <c r="H80" s="356"/>
      <c r="I80" s="357"/>
      <c r="J80" s="172">
        <f>SUM(J74:J79)</f>
        <v>1070.0968279644362</v>
      </c>
      <c r="M80" s="305" t="s">
        <v>61</v>
      </c>
      <c r="N80" s="285"/>
      <c r="O80" s="285"/>
      <c r="P80" s="285"/>
      <c r="Q80" s="285"/>
      <c r="R80" s="285"/>
      <c r="S80" s="285"/>
      <c r="T80" s="286"/>
      <c r="U80" s="224">
        <f>SUM(U74:U79)</f>
        <v>0</v>
      </c>
    </row>
    <row r="81" spans="2:21" ht="15.75" customHeight="1" x14ac:dyDescent="0.25">
      <c r="B81" s="306" t="s">
        <v>92</v>
      </c>
      <c r="C81" s="307"/>
      <c r="D81" s="307"/>
      <c r="E81" s="307"/>
      <c r="F81" s="307"/>
      <c r="G81" s="307"/>
      <c r="H81" s="307"/>
      <c r="I81" s="307"/>
      <c r="J81" s="308"/>
      <c r="M81" s="306" t="s">
        <v>92</v>
      </c>
      <c r="N81" s="307"/>
      <c r="O81" s="307"/>
      <c r="P81" s="307"/>
      <c r="Q81" s="307"/>
      <c r="R81" s="307"/>
      <c r="S81" s="307"/>
      <c r="T81" s="307"/>
      <c r="U81" s="308"/>
    </row>
    <row r="82" spans="2:21" ht="15.75" customHeight="1" x14ac:dyDescent="0.25">
      <c r="B82" s="173">
        <v>5</v>
      </c>
      <c r="C82" s="363" t="s">
        <v>93</v>
      </c>
      <c r="D82" s="356"/>
      <c r="E82" s="356"/>
      <c r="F82" s="356"/>
      <c r="G82" s="356"/>
      <c r="H82" s="357"/>
      <c r="I82" s="173" t="s">
        <v>16</v>
      </c>
      <c r="J82" s="174" t="s">
        <v>23</v>
      </c>
      <c r="M82" s="221">
        <v>5</v>
      </c>
      <c r="N82" s="284" t="s">
        <v>93</v>
      </c>
      <c r="O82" s="285"/>
      <c r="P82" s="285"/>
      <c r="Q82" s="285"/>
      <c r="R82" s="285"/>
      <c r="S82" s="286"/>
      <c r="T82" s="221" t="s">
        <v>16</v>
      </c>
      <c r="U82" s="229" t="s">
        <v>23</v>
      </c>
    </row>
    <row r="83" spans="2:21" ht="18.75" customHeight="1" x14ac:dyDescent="0.25">
      <c r="B83" s="216" t="s">
        <v>94</v>
      </c>
      <c r="C83" s="214"/>
      <c r="D83" s="214"/>
      <c r="E83" s="214"/>
      <c r="F83" s="214"/>
      <c r="G83" s="214"/>
      <c r="H83" s="215"/>
      <c r="I83" s="44" t="s">
        <v>25</v>
      </c>
      <c r="J83" s="45">
        <f>SUM(J8+J20+J27+J80)</f>
        <v>3344.3484643280722</v>
      </c>
      <c r="M83" s="216" t="s">
        <v>94</v>
      </c>
      <c r="N83" s="214"/>
      <c r="O83" s="214"/>
      <c r="P83" s="214"/>
      <c r="Q83" s="214"/>
      <c r="R83" s="214"/>
      <c r="S83" s="215"/>
      <c r="T83" s="44" t="s">
        <v>25</v>
      </c>
      <c r="U83" s="45">
        <f>SUM(U8+U20+U27+U80)</f>
        <v>0</v>
      </c>
    </row>
    <row r="84" spans="2:21" ht="15.75" customHeight="1" x14ac:dyDescent="0.25">
      <c r="B84" s="143" t="s">
        <v>1</v>
      </c>
      <c r="C84" s="364" t="s">
        <v>93</v>
      </c>
      <c r="D84" s="365"/>
      <c r="E84" s="365"/>
      <c r="F84" s="365"/>
      <c r="G84" s="365"/>
      <c r="H84" s="366"/>
      <c r="I84" s="144">
        <v>0.05</v>
      </c>
      <c r="J84" s="145">
        <f>J83*I84</f>
        <v>167.21742321640363</v>
      </c>
      <c r="M84" s="230" t="s">
        <v>1</v>
      </c>
      <c r="N84" s="287" t="s">
        <v>93</v>
      </c>
      <c r="O84" s="288"/>
      <c r="P84" s="288"/>
      <c r="Q84" s="288"/>
      <c r="R84" s="288"/>
      <c r="S84" s="289"/>
      <c r="T84" s="231">
        <v>0.05</v>
      </c>
      <c r="U84" s="232">
        <f>U83*T84</f>
        <v>0</v>
      </c>
    </row>
    <row r="85" spans="2:21" ht="15" customHeight="1" x14ac:dyDescent="0.25">
      <c r="C85" s="252" t="s">
        <v>311</v>
      </c>
      <c r="D85" s="253"/>
      <c r="E85" s="253"/>
      <c r="F85" s="253"/>
      <c r="G85" s="253"/>
      <c r="H85" s="253"/>
      <c r="I85" s="253"/>
      <c r="J85" s="254">
        <f>SUM(J83:J84)</f>
        <v>3511.565887544476</v>
      </c>
      <c r="L85" s="135"/>
      <c r="N85" s="252" t="s">
        <v>311</v>
      </c>
      <c r="O85" s="253"/>
      <c r="P85" s="253"/>
      <c r="Q85" s="253"/>
      <c r="R85" s="253"/>
      <c r="S85" s="253"/>
      <c r="T85" s="253"/>
      <c r="U85" s="254">
        <f>SUM(U83:U84)</f>
        <v>0</v>
      </c>
    </row>
    <row r="86" spans="2:21" ht="15" customHeight="1" x14ac:dyDescent="0.25">
      <c r="B86" s="213"/>
      <c r="C86" s="185" t="s">
        <v>97</v>
      </c>
      <c r="D86" s="186"/>
      <c r="E86" s="186"/>
      <c r="F86" s="186"/>
      <c r="G86" s="186"/>
      <c r="H86" s="186"/>
      <c r="I86" s="258">
        <v>0.04</v>
      </c>
      <c r="J86" s="256">
        <f>J85*I86</f>
        <v>140.46263550177903</v>
      </c>
      <c r="L86" s="135"/>
      <c r="M86" s="213"/>
      <c r="N86" s="233" t="s">
        <v>97</v>
      </c>
      <c r="O86" s="234"/>
      <c r="P86" s="234"/>
      <c r="Q86" s="234"/>
      <c r="R86" s="234"/>
      <c r="S86" s="234"/>
      <c r="T86" s="264">
        <v>0.04</v>
      </c>
      <c r="U86" s="265">
        <f>U85*T86</f>
        <v>0</v>
      </c>
    </row>
    <row r="87" spans="2:21" ht="15" customHeight="1" x14ac:dyDescent="0.25">
      <c r="C87" s="252" t="s">
        <v>312</v>
      </c>
      <c r="D87" s="253"/>
      <c r="E87" s="253"/>
      <c r="F87" s="253"/>
      <c r="G87" s="253"/>
      <c r="H87" s="253"/>
      <c r="I87" s="259"/>
      <c r="J87" s="257">
        <f>SUM(J85:J86)</f>
        <v>3652.028523046255</v>
      </c>
      <c r="L87" s="135"/>
      <c r="N87" s="252" t="s">
        <v>312</v>
      </c>
      <c r="O87" s="253"/>
      <c r="P87" s="253"/>
      <c r="Q87" s="253"/>
      <c r="R87" s="253"/>
      <c r="S87" s="253"/>
      <c r="T87" s="259"/>
      <c r="U87" s="257">
        <f>SUM(U85:U86)</f>
        <v>0</v>
      </c>
    </row>
    <row r="88" spans="2:21" ht="15" customHeight="1" x14ac:dyDescent="0.25">
      <c r="C88" s="252" t="s">
        <v>313</v>
      </c>
      <c r="D88" s="253"/>
      <c r="E88" s="253"/>
      <c r="F88" s="253"/>
      <c r="G88" s="253"/>
      <c r="H88" s="253"/>
      <c r="I88" s="260">
        <v>3.6499999999999998E-2</v>
      </c>
      <c r="J88" s="257">
        <f>J87*I88</f>
        <v>133.29904109118829</v>
      </c>
      <c r="L88" s="135"/>
      <c r="N88" s="252" t="s">
        <v>313</v>
      </c>
      <c r="O88" s="253"/>
      <c r="P88" s="253"/>
      <c r="Q88" s="253"/>
      <c r="R88" s="253"/>
      <c r="S88" s="253"/>
      <c r="T88" s="260">
        <v>3.6499999999999998E-2</v>
      </c>
      <c r="U88" s="257">
        <f>U87*T88</f>
        <v>0</v>
      </c>
    </row>
    <row r="89" spans="2:21" ht="15" customHeight="1" x14ac:dyDescent="0.25">
      <c r="C89" s="252" t="s">
        <v>314</v>
      </c>
      <c r="D89" s="253"/>
      <c r="E89" s="253"/>
      <c r="F89" s="253"/>
      <c r="G89" s="253"/>
      <c r="H89" s="253"/>
      <c r="I89" s="259">
        <v>0.03</v>
      </c>
      <c r="J89" s="257">
        <f>J87*I89</f>
        <v>109.56085569138764</v>
      </c>
      <c r="L89" s="135"/>
      <c r="N89" s="252" t="s">
        <v>314</v>
      </c>
      <c r="O89" s="253"/>
      <c r="P89" s="253"/>
      <c r="Q89" s="253"/>
      <c r="R89" s="253"/>
      <c r="S89" s="253"/>
      <c r="T89" s="259">
        <v>0.05</v>
      </c>
      <c r="U89" s="257">
        <f>U87*T89</f>
        <v>0</v>
      </c>
    </row>
    <row r="90" spans="2:21" ht="15" customHeight="1" x14ac:dyDescent="0.25">
      <c r="B90" s="213"/>
      <c r="C90" s="185" t="s">
        <v>315</v>
      </c>
      <c r="D90" s="186"/>
      <c r="E90" s="186"/>
      <c r="F90" s="186"/>
      <c r="G90" s="186"/>
      <c r="H90" s="186"/>
      <c r="I90" s="261"/>
      <c r="J90" s="256">
        <f>SUM(J88:J89)</f>
        <v>242.85989678257593</v>
      </c>
      <c r="L90" s="135"/>
      <c r="M90" s="213"/>
      <c r="N90" s="233" t="s">
        <v>315</v>
      </c>
      <c r="O90" s="234"/>
      <c r="P90" s="234"/>
      <c r="Q90" s="234"/>
      <c r="R90" s="234"/>
      <c r="S90" s="234"/>
      <c r="T90" s="266"/>
      <c r="U90" s="265">
        <f>SUM(U88:U89)</f>
        <v>0</v>
      </c>
    </row>
    <row r="91" spans="2:21" ht="15" customHeight="1" x14ac:dyDescent="0.25">
      <c r="C91" s="252" t="s">
        <v>316</v>
      </c>
      <c r="D91" s="253"/>
      <c r="E91" s="253"/>
      <c r="F91" s="253"/>
      <c r="G91" s="253"/>
      <c r="H91" s="253"/>
      <c r="I91" s="262"/>
      <c r="J91" s="257">
        <f>J84+J86+J90</f>
        <v>550.53995550075854</v>
      </c>
      <c r="L91" s="135"/>
      <c r="N91" s="252" t="s">
        <v>316</v>
      </c>
      <c r="O91" s="253"/>
      <c r="P91" s="253"/>
      <c r="Q91" s="253"/>
      <c r="R91" s="253"/>
      <c r="S91" s="253"/>
      <c r="T91" s="262"/>
      <c r="U91" s="257">
        <f>U84+U86+U90</f>
        <v>0</v>
      </c>
    </row>
    <row r="92" spans="2:21" ht="15" customHeight="1" x14ac:dyDescent="0.25">
      <c r="C92" s="248"/>
      <c r="D92" s="249"/>
      <c r="E92" s="249"/>
      <c r="F92" s="249"/>
      <c r="G92" s="249"/>
      <c r="H92" s="249"/>
      <c r="I92" s="249"/>
      <c r="J92" s="263"/>
      <c r="L92" s="135"/>
      <c r="N92" s="248"/>
      <c r="O92" s="249"/>
      <c r="P92" s="249"/>
      <c r="Q92" s="249"/>
      <c r="R92" s="249"/>
      <c r="S92" s="249"/>
      <c r="T92" s="249"/>
      <c r="U92" s="263"/>
    </row>
    <row r="93" spans="2:21" ht="15" customHeight="1" x14ac:dyDescent="0.25">
      <c r="C93" s="255"/>
      <c r="D93" s="250"/>
      <c r="E93" s="250"/>
      <c r="F93" s="250"/>
      <c r="G93" s="250"/>
      <c r="H93" s="250"/>
      <c r="I93" s="250"/>
      <c r="J93" s="251"/>
      <c r="L93" s="135"/>
      <c r="N93" s="255"/>
      <c r="O93" s="250"/>
      <c r="P93" s="250"/>
      <c r="Q93" s="250"/>
      <c r="R93" s="250"/>
      <c r="S93" s="250"/>
      <c r="T93" s="250"/>
      <c r="U93" s="251"/>
    </row>
    <row r="94" spans="2:21" ht="15" customHeight="1" x14ac:dyDescent="0.25">
      <c r="C94" s="255"/>
      <c r="D94" s="250"/>
      <c r="E94" s="250"/>
      <c r="F94" s="250"/>
      <c r="G94" s="250"/>
      <c r="H94" s="250"/>
      <c r="I94" s="250"/>
      <c r="J94" s="251"/>
      <c r="L94" s="135"/>
      <c r="N94" s="255"/>
      <c r="O94" s="250"/>
      <c r="P94" s="279"/>
      <c r="Q94" s="250"/>
      <c r="R94" s="250"/>
      <c r="S94" s="250"/>
      <c r="T94" s="250"/>
      <c r="U94" s="251"/>
    </row>
    <row r="95" spans="2:21" ht="15" customHeight="1" x14ac:dyDescent="0.25">
      <c r="C95" s="255"/>
      <c r="D95" s="250"/>
      <c r="E95" s="250"/>
      <c r="F95" s="250"/>
      <c r="G95" s="250"/>
      <c r="H95" s="250"/>
      <c r="I95" s="250"/>
      <c r="J95" s="251"/>
      <c r="L95" s="135"/>
      <c r="N95" s="255"/>
      <c r="O95" s="250"/>
      <c r="P95" s="250"/>
      <c r="Q95" s="250"/>
      <c r="R95" s="250"/>
      <c r="S95" s="250"/>
      <c r="T95" s="250"/>
      <c r="U95" s="251"/>
    </row>
    <row r="96" spans="2:21" ht="15" customHeight="1" x14ac:dyDescent="0.25">
      <c r="C96" s="208" t="s">
        <v>293</v>
      </c>
      <c r="D96" s="209"/>
      <c r="E96" s="209"/>
      <c r="F96" s="193">
        <v>2023</v>
      </c>
      <c r="K96" s="135"/>
      <c r="N96" s="235" t="s">
        <v>293</v>
      </c>
      <c r="O96" s="236"/>
      <c r="P96" s="236"/>
      <c r="Q96" s="237">
        <v>2024</v>
      </c>
    </row>
    <row r="97" spans="3:18" ht="15" customHeight="1" x14ac:dyDescent="0.25">
      <c r="C97" s="194" t="s">
        <v>294</v>
      </c>
      <c r="D97" s="196"/>
      <c r="E97" s="191"/>
      <c r="F97" s="190">
        <f>J8</f>
        <v>1457.4452727272726</v>
      </c>
      <c r="G97" s="142"/>
      <c r="N97" s="194" t="s">
        <v>294</v>
      </c>
      <c r="O97" s="196"/>
      <c r="P97" s="191"/>
      <c r="Q97" s="190">
        <f>U8</f>
        <v>0</v>
      </c>
      <c r="R97" s="142"/>
    </row>
    <row r="98" spans="3:18" ht="15" customHeight="1" x14ac:dyDescent="0.25">
      <c r="C98" s="194" t="s">
        <v>295</v>
      </c>
      <c r="D98" s="196"/>
      <c r="E98" s="191"/>
      <c r="F98" s="190">
        <f>J20</f>
        <v>545.06636363636369</v>
      </c>
      <c r="G98" s="142"/>
      <c r="N98" s="194" t="s">
        <v>295</v>
      </c>
      <c r="O98" s="196"/>
      <c r="P98" s="191"/>
      <c r="Q98" s="190">
        <f>U20</f>
        <v>0</v>
      </c>
      <c r="R98" s="142"/>
    </row>
    <row r="99" spans="3:18" ht="15" customHeight="1" x14ac:dyDescent="0.25">
      <c r="C99" s="194" t="s">
        <v>37</v>
      </c>
      <c r="D99" s="196"/>
      <c r="E99" s="191"/>
      <c r="F99" s="190">
        <f>J27</f>
        <v>271.74</v>
      </c>
      <c r="G99" s="142"/>
      <c r="N99" s="194" t="s">
        <v>37</v>
      </c>
      <c r="O99" s="196"/>
      <c r="P99" s="191"/>
      <c r="Q99" s="190">
        <f>U27</f>
        <v>0</v>
      </c>
      <c r="R99" s="142"/>
    </row>
    <row r="100" spans="3:18" ht="15" customHeight="1" x14ac:dyDescent="0.25">
      <c r="C100" s="194" t="s">
        <v>296</v>
      </c>
      <c r="D100" s="196"/>
      <c r="E100" s="191"/>
      <c r="F100" s="190">
        <f>J80</f>
        <v>1070.0968279644362</v>
      </c>
      <c r="G100" s="142"/>
      <c r="N100" s="194" t="s">
        <v>296</v>
      </c>
      <c r="O100" s="196"/>
      <c r="P100" s="191"/>
      <c r="Q100" s="190">
        <f>U80</f>
        <v>0</v>
      </c>
      <c r="R100" s="142"/>
    </row>
    <row r="101" spans="3:18" ht="15" customHeight="1" x14ac:dyDescent="0.25">
      <c r="C101" s="195" t="s">
        <v>297</v>
      </c>
      <c r="D101" s="197"/>
      <c r="E101" s="192"/>
      <c r="F101" s="198">
        <f>J91</f>
        <v>550.53995550075854</v>
      </c>
      <c r="G101" s="142"/>
      <c r="N101" s="195" t="s">
        <v>297</v>
      </c>
      <c r="O101" s="197"/>
      <c r="P101" s="192"/>
      <c r="Q101" s="198">
        <f>U91</f>
        <v>0</v>
      </c>
      <c r="R101" s="142"/>
    </row>
    <row r="102" spans="3:18" ht="15" customHeight="1" x14ac:dyDescent="0.25">
      <c r="C102" s="185" t="s">
        <v>298</v>
      </c>
      <c r="D102" s="202"/>
      <c r="E102" s="203"/>
      <c r="F102" s="205">
        <f>SUM(F97:F101)</f>
        <v>3894.8884198288306</v>
      </c>
      <c r="G102" s="142"/>
      <c r="N102" s="233" t="s">
        <v>298</v>
      </c>
      <c r="O102" s="269"/>
      <c r="P102" s="270"/>
      <c r="Q102" s="271">
        <f>SUM(Q97:Q101)</f>
        <v>0</v>
      </c>
      <c r="R102" s="142"/>
    </row>
    <row r="103" spans="3:18" ht="15" customHeight="1" x14ac:dyDescent="0.25">
      <c r="C103" s="199" t="s">
        <v>299</v>
      </c>
      <c r="D103" s="200"/>
      <c r="E103" s="201"/>
      <c r="F103" s="277">
        <v>8</v>
      </c>
      <c r="G103" s="273"/>
      <c r="H103" s="273"/>
      <c r="I103" s="273"/>
      <c r="J103" s="273"/>
      <c r="K103" s="273"/>
      <c r="L103" s="273"/>
      <c r="M103" s="273"/>
      <c r="N103" s="274" t="s">
        <v>299</v>
      </c>
      <c r="O103" s="275"/>
      <c r="P103" s="276"/>
      <c r="Q103" s="277">
        <v>0</v>
      </c>
    </row>
    <row r="104" spans="3:18" ht="15" customHeight="1" x14ac:dyDescent="0.25">
      <c r="C104" s="185" t="s">
        <v>300</v>
      </c>
      <c r="D104" s="202"/>
      <c r="E104" s="203"/>
      <c r="F104" s="204">
        <f>F102*F103</f>
        <v>31159.107358630645</v>
      </c>
      <c r="N104" s="233" t="s">
        <v>300</v>
      </c>
      <c r="O104" s="269"/>
      <c r="P104" s="270"/>
      <c r="Q104" s="272">
        <f>Q102*Q103</f>
        <v>0</v>
      </c>
    </row>
    <row r="105" spans="3:18" ht="15" customHeight="1" x14ac:dyDescent="0.25">
      <c r="C105" s="185" t="s">
        <v>301</v>
      </c>
      <c r="D105" s="202"/>
      <c r="E105" s="203"/>
      <c r="F105" s="204">
        <f>F104*12</f>
        <v>373909.28830356774</v>
      </c>
      <c r="N105" s="233" t="s">
        <v>301</v>
      </c>
      <c r="O105" s="269"/>
      <c r="P105" s="270"/>
      <c r="Q105" s="272">
        <f>Q104*12</f>
        <v>0</v>
      </c>
    </row>
    <row r="110" spans="3:18" ht="15" customHeight="1" x14ac:dyDescent="0.25">
      <c r="N110" s="213" t="s">
        <v>331</v>
      </c>
    </row>
    <row r="111" spans="3:18" ht="15" customHeight="1" x14ac:dyDescent="0.25">
      <c r="L111" s="213"/>
    </row>
    <row r="112" spans="3:18" ht="15" customHeight="1" x14ac:dyDescent="0.25">
      <c r="N112" s="213" t="s">
        <v>332</v>
      </c>
    </row>
    <row r="113" spans="14:21" ht="30" customHeight="1" x14ac:dyDescent="0.25">
      <c r="N113" s="358" t="s">
        <v>334</v>
      </c>
      <c r="O113" s="358"/>
      <c r="P113" s="358"/>
      <c r="Q113" s="358"/>
      <c r="R113" s="358"/>
      <c r="S113" s="358"/>
      <c r="T113" s="358"/>
      <c r="U113" s="358"/>
    </row>
    <row r="114" spans="14:21" ht="15" customHeight="1" x14ac:dyDescent="0.25">
      <c r="N114" s="213" t="s">
        <v>333</v>
      </c>
    </row>
  </sheetData>
  <mergeCells count="165">
    <mergeCell ref="N113:U113"/>
    <mergeCell ref="N67:R67"/>
    <mergeCell ref="N68:R68"/>
    <mergeCell ref="N74:Q74"/>
    <mergeCell ref="B80:I80"/>
    <mergeCell ref="B81:J81"/>
    <mergeCell ref="C82:H82"/>
    <mergeCell ref="C84:H84"/>
    <mergeCell ref="C78:I78"/>
    <mergeCell ref="C79:I79"/>
    <mergeCell ref="B69:I69"/>
    <mergeCell ref="C70:I70"/>
    <mergeCell ref="B71:I71"/>
    <mergeCell ref="B72:J72"/>
    <mergeCell ref="C73:I73"/>
    <mergeCell ref="C75:I75"/>
    <mergeCell ref="C76:I76"/>
    <mergeCell ref="C67:G67"/>
    <mergeCell ref="C68:G68"/>
    <mergeCell ref="B47:J47"/>
    <mergeCell ref="C48:I48"/>
    <mergeCell ref="C77:I77"/>
    <mergeCell ref="B61:J61"/>
    <mergeCell ref="C50:I50"/>
    <mergeCell ref="B51:I51"/>
    <mergeCell ref="B52:J52"/>
    <mergeCell ref="C53:I53"/>
    <mergeCell ref="C55:I55"/>
    <mergeCell ref="C62:I62"/>
    <mergeCell ref="C58:I58"/>
    <mergeCell ref="B60:I60"/>
    <mergeCell ref="C63:G63"/>
    <mergeCell ref="C64:G64"/>
    <mergeCell ref="C65:G65"/>
    <mergeCell ref="C66:G66"/>
    <mergeCell ref="C38:H38"/>
    <mergeCell ref="B39:H39"/>
    <mergeCell ref="B40:J40"/>
    <mergeCell ref="B41:J41"/>
    <mergeCell ref="C42:I42"/>
    <mergeCell ref="C43:I43"/>
    <mergeCell ref="B44:I44"/>
    <mergeCell ref="C45:I45"/>
    <mergeCell ref="B46:I46"/>
    <mergeCell ref="C37:D37"/>
    <mergeCell ref="C26:H26"/>
    <mergeCell ref="B27:I27"/>
    <mergeCell ref="B28:J28"/>
    <mergeCell ref="B29:J29"/>
    <mergeCell ref="C30:H30"/>
    <mergeCell ref="C31:H31"/>
    <mergeCell ref="C32:H32"/>
    <mergeCell ref="C33:H33"/>
    <mergeCell ref="C34:H34"/>
    <mergeCell ref="C35:H35"/>
    <mergeCell ref="C36:H36"/>
    <mergeCell ref="C25:H25"/>
    <mergeCell ref="C14:I14"/>
    <mergeCell ref="C16:H16"/>
    <mergeCell ref="C17:H17"/>
    <mergeCell ref="C18:H18"/>
    <mergeCell ref="C19:H19"/>
    <mergeCell ref="C20:I20"/>
    <mergeCell ref="B21:J21"/>
    <mergeCell ref="C22:H22"/>
    <mergeCell ref="C23:H23"/>
    <mergeCell ref="C24:H24"/>
    <mergeCell ref="M3:U3"/>
    <mergeCell ref="N4:P4"/>
    <mergeCell ref="N5:P5"/>
    <mergeCell ref="N6:P6"/>
    <mergeCell ref="C7:I7"/>
    <mergeCell ref="C15:E15"/>
    <mergeCell ref="C6:E6"/>
    <mergeCell ref="B3:J3"/>
    <mergeCell ref="C4:E4"/>
    <mergeCell ref="C5:E5"/>
    <mergeCell ref="B8:I8"/>
    <mergeCell ref="B9:J9"/>
    <mergeCell ref="C10:H10"/>
    <mergeCell ref="C11:I11"/>
    <mergeCell ref="C13:H13"/>
    <mergeCell ref="C12:E12"/>
    <mergeCell ref="N12:P12"/>
    <mergeCell ref="N13:S13"/>
    <mergeCell ref="N14:T14"/>
    <mergeCell ref="N15:P15"/>
    <mergeCell ref="N16:S16"/>
    <mergeCell ref="N7:T7"/>
    <mergeCell ref="M8:T8"/>
    <mergeCell ref="M9:U9"/>
    <mergeCell ref="N10:S10"/>
    <mergeCell ref="N11:T11"/>
    <mergeCell ref="N22:S22"/>
    <mergeCell ref="N23:S23"/>
    <mergeCell ref="N24:S24"/>
    <mergeCell ref="N25:S25"/>
    <mergeCell ref="N26:S26"/>
    <mergeCell ref="N17:S17"/>
    <mergeCell ref="N18:S18"/>
    <mergeCell ref="N19:S19"/>
    <mergeCell ref="N20:T20"/>
    <mergeCell ref="M21:U21"/>
    <mergeCell ref="N32:S32"/>
    <mergeCell ref="N33:S33"/>
    <mergeCell ref="N34:S34"/>
    <mergeCell ref="N35:S35"/>
    <mergeCell ref="N36:S36"/>
    <mergeCell ref="M27:T27"/>
    <mergeCell ref="M28:U28"/>
    <mergeCell ref="M29:U29"/>
    <mergeCell ref="N30:S30"/>
    <mergeCell ref="N31:S31"/>
    <mergeCell ref="N42:T42"/>
    <mergeCell ref="N43:T43"/>
    <mergeCell ref="M44:T44"/>
    <mergeCell ref="N45:T45"/>
    <mergeCell ref="M46:T46"/>
    <mergeCell ref="N37:O37"/>
    <mergeCell ref="N38:S38"/>
    <mergeCell ref="M39:S39"/>
    <mergeCell ref="M40:U40"/>
    <mergeCell ref="M41:U41"/>
    <mergeCell ref="M52:U52"/>
    <mergeCell ref="N53:T53"/>
    <mergeCell ref="N55:T55"/>
    <mergeCell ref="M47:U47"/>
    <mergeCell ref="N48:T48"/>
    <mergeCell ref="N50:T50"/>
    <mergeCell ref="M51:T51"/>
    <mergeCell ref="N49:R49"/>
    <mergeCell ref="N54:R54"/>
    <mergeCell ref="N56:R56"/>
    <mergeCell ref="N58:T58"/>
    <mergeCell ref="M60:T60"/>
    <mergeCell ref="M61:U61"/>
    <mergeCell ref="N57:Q57"/>
    <mergeCell ref="N59:R59"/>
    <mergeCell ref="N63:R63"/>
    <mergeCell ref="N64:R64"/>
    <mergeCell ref="N65:R65"/>
    <mergeCell ref="M1:U1"/>
    <mergeCell ref="M2:U2"/>
    <mergeCell ref="N66:R66"/>
    <mergeCell ref="N82:S82"/>
    <mergeCell ref="N84:S84"/>
    <mergeCell ref="C49:G49"/>
    <mergeCell ref="C54:G54"/>
    <mergeCell ref="C56:G56"/>
    <mergeCell ref="C57:F57"/>
    <mergeCell ref="C59:G59"/>
    <mergeCell ref="C74:F74"/>
    <mergeCell ref="N77:T77"/>
    <mergeCell ref="N78:T78"/>
    <mergeCell ref="N79:T79"/>
    <mergeCell ref="M80:T80"/>
    <mergeCell ref="M81:U81"/>
    <mergeCell ref="M72:U72"/>
    <mergeCell ref="N73:T73"/>
    <mergeCell ref="N75:T75"/>
    <mergeCell ref="N76:T76"/>
    <mergeCell ref="M69:T69"/>
    <mergeCell ref="N70:T70"/>
    <mergeCell ref="M71:T71"/>
    <mergeCell ref="N62:T62"/>
  </mergeCells>
  <pageMargins left="0.25" right="0.25" top="0.75" bottom="0.75" header="0.3" footer="0.3"/>
  <pageSetup paperSize="9" scale="8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159"/>
  <sheetViews>
    <sheetView topLeftCell="A12" workbookViewId="0">
      <selection sqref="A1:I1"/>
    </sheetView>
  </sheetViews>
  <sheetFormatPr defaultRowHeight="15" customHeight="1" x14ac:dyDescent="0.25"/>
  <cols>
    <col min="1" max="1" width="3.85546875" customWidth="1"/>
    <col min="2" max="2" width="17.140625" customWidth="1"/>
    <col min="3" max="3" width="13.28515625" customWidth="1"/>
    <col min="4" max="4" width="10.140625" customWidth="1"/>
    <col min="5" max="5" width="12.42578125" customWidth="1"/>
    <col min="6" max="6" width="12.7109375" customWidth="1"/>
    <col min="7" max="7" width="9.85546875" customWidth="1"/>
    <col min="8" max="8" width="12.42578125" customWidth="1"/>
    <col min="9" max="9" width="10.85546875" customWidth="1"/>
    <col min="10" max="13" width="8.7109375" hidden="1" customWidth="1"/>
    <col min="14" max="16" width="14.28515625" hidden="1" customWidth="1"/>
    <col min="17" max="17" width="14.28515625" bestFit="1" customWidth="1"/>
    <col min="18" max="18" width="13.28515625" bestFit="1" customWidth="1"/>
    <col min="19" max="26" width="8.7109375" customWidth="1"/>
  </cols>
  <sheetData>
    <row r="1" spans="1:15" ht="49.5" customHeight="1" x14ac:dyDescent="0.25">
      <c r="A1" s="370" t="s">
        <v>288</v>
      </c>
      <c r="B1" s="371"/>
      <c r="C1" s="371"/>
      <c r="D1" s="371"/>
      <c r="E1" s="371"/>
      <c r="F1" s="371"/>
      <c r="G1" s="371"/>
      <c r="H1" s="371"/>
      <c r="I1" s="371"/>
    </row>
    <row r="2" spans="1:15" ht="15" customHeight="1" x14ac:dyDescent="0.25">
      <c r="A2" s="319" t="s">
        <v>283</v>
      </c>
      <c r="B2" s="307"/>
      <c r="C2" s="307"/>
      <c r="D2" s="307"/>
      <c r="E2" s="308"/>
      <c r="F2" s="372"/>
      <c r="G2" s="307"/>
      <c r="H2" s="307"/>
      <c r="I2" s="308"/>
    </row>
    <row r="3" spans="1:15" ht="15" customHeight="1" x14ac:dyDescent="0.25">
      <c r="A3" s="319" t="s">
        <v>124</v>
      </c>
      <c r="B3" s="307"/>
      <c r="C3" s="307"/>
      <c r="D3" s="307"/>
      <c r="E3" s="308"/>
      <c r="F3" s="367" t="s">
        <v>287</v>
      </c>
      <c r="G3" s="307"/>
      <c r="H3" s="307"/>
      <c r="I3" s="308"/>
    </row>
    <row r="4" spans="1:15" ht="15" customHeight="1" x14ac:dyDescent="0.25">
      <c r="A4" s="319" t="s">
        <v>286</v>
      </c>
      <c r="B4" s="307"/>
      <c r="C4" s="307"/>
      <c r="D4" s="307"/>
      <c r="E4" s="307"/>
      <c r="F4" s="307"/>
      <c r="G4" s="307"/>
      <c r="H4" s="307"/>
      <c r="I4" s="308"/>
    </row>
    <row r="5" spans="1:15" ht="15" customHeight="1" x14ac:dyDescent="0.25">
      <c r="A5" s="369" t="s">
        <v>0</v>
      </c>
      <c r="B5" s="307"/>
      <c r="C5" s="307"/>
      <c r="D5" s="307"/>
      <c r="E5" s="307"/>
      <c r="F5" s="307"/>
      <c r="G5" s="307"/>
      <c r="H5" s="307"/>
      <c r="I5" s="308"/>
      <c r="O5">
        <f>1500*7</f>
        <v>10500</v>
      </c>
    </row>
    <row r="6" spans="1:15" ht="15" customHeight="1" x14ac:dyDescent="0.25">
      <c r="A6" s="1" t="s">
        <v>1</v>
      </c>
      <c r="B6" s="319" t="s">
        <v>2</v>
      </c>
      <c r="C6" s="307"/>
      <c r="D6" s="307"/>
      <c r="E6" s="307"/>
      <c r="F6" s="307"/>
      <c r="G6" s="308"/>
      <c r="H6" s="373"/>
      <c r="I6" s="308"/>
      <c r="O6" s="134">
        <f>O5*12</f>
        <v>126000</v>
      </c>
    </row>
    <row r="7" spans="1:15" ht="15" customHeight="1" x14ac:dyDescent="0.25">
      <c r="A7" s="1" t="s">
        <v>3</v>
      </c>
      <c r="B7" s="319" t="s">
        <v>4</v>
      </c>
      <c r="C7" s="307"/>
      <c r="D7" s="307"/>
      <c r="E7" s="307"/>
      <c r="F7" s="307"/>
      <c r="G7" s="308"/>
      <c r="H7" s="367" t="s">
        <v>260</v>
      </c>
      <c r="I7" s="308"/>
      <c r="O7" s="134">
        <v>40000</v>
      </c>
    </row>
    <row r="8" spans="1:15" ht="26.25" customHeight="1" x14ac:dyDescent="0.25">
      <c r="A8" s="1" t="s">
        <v>5</v>
      </c>
      <c r="B8" s="319" t="s">
        <v>261</v>
      </c>
      <c r="C8" s="307"/>
      <c r="D8" s="307"/>
      <c r="E8" s="307"/>
      <c r="F8" s="307"/>
      <c r="G8" s="308"/>
      <c r="H8" s="367" t="s">
        <v>262</v>
      </c>
      <c r="I8" s="308"/>
      <c r="O8" s="136">
        <f>12000*7</f>
        <v>84000</v>
      </c>
    </row>
    <row r="9" spans="1:15" ht="15" customHeight="1" x14ac:dyDescent="0.25">
      <c r="A9" s="1" t="s">
        <v>6</v>
      </c>
      <c r="B9" s="319" t="s">
        <v>7</v>
      </c>
      <c r="C9" s="307"/>
      <c r="D9" s="307"/>
      <c r="E9" s="307"/>
      <c r="F9" s="307"/>
      <c r="G9" s="308"/>
      <c r="H9" s="367">
        <v>12</v>
      </c>
      <c r="I9" s="308"/>
      <c r="J9" s="130" t="s">
        <v>269</v>
      </c>
      <c r="O9" s="136">
        <f>O6+O7+O8</f>
        <v>250000</v>
      </c>
    </row>
    <row r="10" spans="1:15" x14ac:dyDescent="0.25">
      <c r="A10" s="368"/>
      <c r="B10" s="307"/>
      <c r="C10" s="307"/>
      <c r="D10" s="307"/>
      <c r="E10" s="307"/>
      <c r="F10" s="307"/>
      <c r="G10" s="307"/>
      <c r="H10" s="307"/>
      <c r="I10" s="308"/>
      <c r="O10" s="136"/>
    </row>
    <row r="11" spans="1:15" ht="15" customHeight="1" x14ac:dyDescent="0.25">
      <c r="A11" s="314" t="s">
        <v>125</v>
      </c>
      <c r="B11" s="307"/>
      <c r="C11" s="307"/>
      <c r="D11" s="307"/>
      <c r="E11" s="307"/>
      <c r="F11" s="307"/>
      <c r="G11" s="307"/>
      <c r="H11" s="307"/>
      <c r="I11" s="308"/>
    </row>
    <row r="12" spans="1:15" ht="15" customHeight="1" x14ac:dyDescent="0.25">
      <c r="A12" s="369" t="s">
        <v>8</v>
      </c>
      <c r="B12" s="307"/>
      <c r="C12" s="307"/>
      <c r="D12" s="307"/>
      <c r="E12" s="307"/>
      <c r="F12" s="307"/>
      <c r="G12" s="307"/>
      <c r="H12" s="307"/>
      <c r="I12" s="308"/>
    </row>
    <row r="13" spans="1:15" ht="15" customHeight="1" x14ac:dyDescent="0.25">
      <c r="A13" s="1">
        <v>1</v>
      </c>
      <c r="B13" s="319" t="s">
        <v>9</v>
      </c>
      <c r="C13" s="307"/>
      <c r="D13" s="307"/>
      <c r="E13" s="307"/>
      <c r="F13" s="307"/>
      <c r="G13" s="308"/>
      <c r="H13" s="374" t="s">
        <v>263</v>
      </c>
      <c r="I13" s="308"/>
    </row>
    <row r="14" spans="1:15" ht="15" customHeight="1" x14ac:dyDescent="0.25">
      <c r="A14" s="1">
        <v>2</v>
      </c>
      <c r="B14" s="319" t="s">
        <v>264</v>
      </c>
      <c r="C14" s="307"/>
      <c r="D14" s="307"/>
      <c r="E14" s="307"/>
      <c r="F14" s="307"/>
      <c r="G14" s="308"/>
      <c r="H14" s="375">
        <v>1184.93</v>
      </c>
      <c r="I14" s="308"/>
      <c r="J14" s="130" t="s">
        <v>269</v>
      </c>
    </row>
    <row r="15" spans="1:15" ht="15" customHeight="1" x14ac:dyDescent="0.25">
      <c r="A15" s="1">
        <v>3</v>
      </c>
      <c r="B15" s="319" t="s">
        <v>266</v>
      </c>
      <c r="C15" s="307"/>
      <c r="D15" s="307"/>
      <c r="E15" s="307"/>
      <c r="F15" s="307"/>
      <c r="G15" s="308"/>
      <c r="H15" s="374" t="s">
        <v>265</v>
      </c>
      <c r="I15" s="308"/>
    </row>
    <row r="16" spans="1:15" ht="15" customHeight="1" x14ac:dyDescent="0.25">
      <c r="A16" s="1">
        <v>4</v>
      </c>
      <c r="B16" s="319" t="s">
        <v>10</v>
      </c>
      <c r="C16" s="307"/>
      <c r="D16" s="307"/>
      <c r="E16" s="307"/>
      <c r="F16" s="307"/>
      <c r="G16" s="308"/>
      <c r="H16" s="367" t="s">
        <v>11</v>
      </c>
      <c r="I16" s="308"/>
    </row>
    <row r="17" spans="1:11" x14ac:dyDescent="0.25">
      <c r="A17" s="376"/>
      <c r="B17" s="307"/>
      <c r="C17" s="307"/>
      <c r="D17" s="307"/>
      <c r="E17" s="307"/>
      <c r="F17" s="307"/>
      <c r="G17" s="307"/>
      <c r="H17" s="307"/>
      <c r="I17" s="308"/>
    </row>
    <row r="18" spans="1:11" x14ac:dyDescent="0.25">
      <c r="A18" s="377"/>
      <c r="B18" s="307"/>
      <c r="C18" s="307"/>
      <c r="D18" s="307"/>
      <c r="E18" s="307"/>
      <c r="F18" s="307"/>
      <c r="G18" s="307"/>
      <c r="H18" s="307"/>
      <c r="I18" s="308"/>
    </row>
    <row r="19" spans="1:11" x14ac:dyDescent="0.25">
      <c r="A19" s="378"/>
      <c r="B19" s="307"/>
      <c r="C19" s="307"/>
      <c r="D19" s="307"/>
      <c r="E19" s="307"/>
      <c r="F19" s="307"/>
      <c r="G19" s="307"/>
      <c r="H19" s="307"/>
      <c r="I19" s="308"/>
    </row>
    <row r="20" spans="1:11" ht="15" customHeight="1" x14ac:dyDescent="0.25">
      <c r="A20" s="325" t="s">
        <v>12</v>
      </c>
      <c r="B20" s="307"/>
      <c r="C20" s="307"/>
      <c r="D20" s="307"/>
      <c r="E20" s="307"/>
      <c r="F20" s="307"/>
      <c r="G20" s="307"/>
      <c r="H20" s="307"/>
      <c r="I20" s="308"/>
    </row>
    <row r="21" spans="1:11" ht="24" customHeight="1" x14ac:dyDescent="0.25">
      <c r="A21" s="2">
        <v>1</v>
      </c>
      <c r="B21" s="379" t="s">
        <v>13</v>
      </c>
      <c r="C21" s="307"/>
      <c r="D21" s="308"/>
      <c r="E21" s="3" t="s">
        <v>268</v>
      </c>
      <c r="F21" s="3" t="s">
        <v>267</v>
      </c>
      <c r="G21" s="3" t="s">
        <v>15</v>
      </c>
      <c r="H21" s="4" t="s">
        <v>16</v>
      </c>
      <c r="I21" s="2" t="s">
        <v>17</v>
      </c>
    </row>
    <row r="22" spans="1:11" ht="47.25" customHeight="1" x14ac:dyDescent="0.25">
      <c r="A22" s="1" t="s">
        <v>1</v>
      </c>
      <c r="B22" s="319" t="s">
        <v>277</v>
      </c>
      <c r="C22" s="307"/>
      <c r="D22" s="308"/>
      <c r="E22" s="5">
        <v>21</v>
      </c>
      <c r="F22" s="5">
        <v>1</v>
      </c>
      <c r="G22" s="5">
        <v>200</v>
      </c>
      <c r="H22" s="6"/>
      <c r="I22" s="7">
        <f>ROUND(((H14/220)*G22*F22*(E22/21)),2)</f>
        <v>1077.21</v>
      </c>
      <c r="J22" t="s">
        <v>270</v>
      </c>
      <c r="K22" s="130" t="s">
        <v>271</v>
      </c>
    </row>
    <row r="23" spans="1:11" ht="15" customHeight="1" x14ac:dyDescent="0.25">
      <c r="A23" s="1" t="s">
        <v>3</v>
      </c>
      <c r="B23" s="337" t="s">
        <v>276</v>
      </c>
      <c r="C23" s="307"/>
      <c r="D23" s="307"/>
      <c r="E23" s="307"/>
      <c r="F23" s="307"/>
      <c r="G23" s="308"/>
      <c r="H23" s="8">
        <v>0.4</v>
      </c>
      <c r="I23" s="7">
        <f>ROUND(H23*I22,2)</f>
        <v>430.88</v>
      </c>
      <c r="J23" t="s">
        <v>270</v>
      </c>
      <c r="K23" s="130" t="s">
        <v>272</v>
      </c>
    </row>
    <row r="24" spans="1:11" ht="15" customHeight="1" x14ac:dyDescent="0.25">
      <c r="A24" s="1" t="s">
        <v>5</v>
      </c>
      <c r="B24" s="319" t="s">
        <v>18</v>
      </c>
      <c r="C24" s="307"/>
      <c r="D24" s="307"/>
      <c r="E24" s="307"/>
      <c r="F24" s="307"/>
      <c r="G24" s="307"/>
      <c r="H24" s="308"/>
      <c r="I24" s="7">
        <f>ROUND((H24*I22),2)</f>
        <v>0</v>
      </c>
      <c r="J24" t="s">
        <v>269</v>
      </c>
    </row>
    <row r="25" spans="1:11" ht="15" customHeight="1" x14ac:dyDescent="0.25">
      <c r="A25" s="380" t="s">
        <v>19</v>
      </c>
      <c r="B25" s="307"/>
      <c r="C25" s="307"/>
      <c r="D25" s="307"/>
      <c r="E25" s="307"/>
      <c r="F25" s="307"/>
      <c r="G25" s="307"/>
      <c r="H25" s="308"/>
      <c r="I25" s="9">
        <f>SUM(I22:I24)</f>
        <v>1508.0900000000001</v>
      </c>
      <c r="J25" t="s">
        <v>270</v>
      </c>
    </row>
    <row r="26" spans="1:11" ht="15.75" customHeight="1" x14ac:dyDescent="0.25">
      <c r="A26" s="306" t="s">
        <v>20</v>
      </c>
      <c r="B26" s="307"/>
      <c r="C26" s="307"/>
      <c r="D26" s="307"/>
      <c r="E26" s="307"/>
      <c r="F26" s="307"/>
      <c r="G26" s="307"/>
      <c r="H26" s="307"/>
      <c r="I26" s="308"/>
    </row>
    <row r="27" spans="1:11" ht="15" customHeight="1" x14ac:dyDescent="0.25">
      <c r="A27" s="11">
        <v>2</v>
      </c>
      <c r="B27" s="379" t="s">
        <v>21</v>
      </c>
      <c r="C27" s="307"/>
      <c r="D27" s="307"/>
      <c r="E27" s="307"/>
      <c r="F27" s="307"/>
      <c r="G27" s="307"/>
      <c r="H27" s="3" t="s">
        <v>22</v>
      </c>
      <c r="I27" s="12" t="s">
        <v>23</v>
      </c>
    </row>
    <row r="28" spans="1:11" ht="15" customHeight="1" x14ac:dyDescent="0.25">
      <c r="A28" s="13" t="s">
        <v>1</v>
      </c>
      <c r="B28" s="319" t="s">
        <v>126</v>
      </c>
      <c r="C28" s="307"/>
      <c r="D28" s="307"/>
      <c r="E28" s="307"/>
      <c r="F28" s="307"/>
      <c r="G28" s="307"/>
      <c r="H28" s="307"/>
      <c r="I28" s="14">
        <f>ROUND(((H30*H29*E22*F22)-(0.06*I22)),2)</f>
        <v>191.57</v>
      </c>
      <c r="J28" t="s">
        <v>270</v>
      </c>
    </row>
    <row r="29" spans="1:11" ht="22.5" customHeight="1" x14ac:dyDescent="0.25">
      <c r="A29" s="13"/>
      <c r="B29" s="346" t="s">
        <v>127</v>
      </c>
      <c r="C29" s="307"/>
      <c r="D29" s="307"/>
      <c r="E29" s="307"/>
      <c r="F29" s="307"/>
      <c r="G29" s="307"/>
      <c r="H29" s="15">
        <v>6.1</v>
      </c>
      <c r="I29" s="16" t="s">
        <v>25</v>
      </c>
      <c r="J29" s="131" t="s">
        <v>273</v>
      </c>
      <c r="K29" s="115"/>
    </row>
    <row r="30" spans="1:11" ht="15" customHeight="1" x14ac:dyDescent="0.25">
      <c r="A30" s="13"/>
      <c r="B30" s="346" t="s">
        <v>26</v>
      </c>
      <c r="C30" s="307"/>
      <c r="D30" s="307"/>
      <c r="E30" s="307"/>
      <c r="F30" s="307"/>
      <c r="G30" s="308"/>
      <c r="H30" s="17">
        <v>2</v>
      </c>
      <c r="I30" s="16"/>
      <c r="J30" s="131" t="s">
        <v>273</v>
      </c>
      <c r="K30" s="115"/>
    </row>
    <row r="31" spans="1:11" ht="15" customHeight="1" x14ac:dyDescent="0.25">
      <c r="A31" s="13" t="s">
        <v>3</v>
      </c>
      <c r="B31" s="350" t="s">
        <v>128</v>
      </c>
      <c r="C31" s="307"/>
      <c r="D31" s="307"/>
      <c r="E31" s="307"/>
      <c r="F31" s="307"/>
      <c r="G31" s="307"/>
      <c r="H31" s="307"/>
      <c r="I31" s="14">
        <f>ROUND(((E22*H32*(1-0.19))*F22),2)</f>
        <v>309.58</v>
      </c>
      <c r="J31" t="s">
        <v>270</v>
      </c>
    </row>
    <row r="32" spans="1:11" ht="15" customHeight="1" x14ac:dyDescent="0.25">
      <c r="A32" s="13"/>
      <c r="B32" s="321" t="s">
        <v>129</v>
      </c>
      <c r="C32" s="307"/>
      <c r="D32" s="307"/>
      <c r="E32" s="307"/>
      <c r="F32" s="307"/>
      <c r="G32" s="307"/>
      <c r="H32" s="133">
        <v>18.2</v>
      </c>
      <c r="I32" s="16" t="s">
        <v>25</v>
      </c>
      <c r="J32" t="s">
        <v>270</v>
      </c>
      <c r="K32" s="130" t="s">
        <v>274</v>
      </c>
    </row>
    <row r="33" spans="1:18" ht="15" customHeight="1" x14ac:dyDescent="0.25">
      <c r="A33" s="13" t="s">
        <v>5</v>
      </c>
      <c r="B33" s="319" t="s">
        <v>29</v>
      </c>
      <c r="C33" s="307"/>
      <c r="D33" s="307"/>
      <c r="E33" s="307"/>
      <c r="F33" s="307"/>
      <c r="G33" s="307"/>
      <c r="H33" s="18">
        <v>0</v>
      </c>
      <c r="I33" s="14">
        <f>H33*F22</f>
        <v>0</v>
      </c>
      <c r="J33" t="s">
        <v>270</v>
      </c>
      <c r="K33" s="130" t="s">
        <v>274</v>
      </c>
      <c r="O33" s="134">
        <v>274004.40000000002</v>
      </c>
    </row>
    <row r="34" spans="1:18" ht="15" customHeight="1" x14ac:dyDescent="0.25">
      <c r="A34" s="13" t="s">
        <v>6</v>
      </c>
      <c r="B34" s="319" t="s">
        <v>30</v>
      </c>
      <c r="C34" s="307"/>
      <c r="D34" s="307"/>
      <c r="E34" s="307"/>
      <c r="F34" s="307"/>
      <c r="G34" s="307"/>
      <c r="H34" s="19">
        <v>0</v>
      </c>
      <c r="I34" s="20">
        <f>H34*F22</f>
        <v>0</v>
      </c>
      <c r="J34" t="s">
        <v>270</v>
      </c>
      <c r="K34" s="130" t="s">
        <v>274</v>
      </c>
      <c r="O34" s="134">
        <v>90032.88</v>
      </c>
    </row>
    <row r="35" spans="1:18" ht="15" customHeight="1" x14ac:dyDescent="0.25">
      <c r="A35" s="13" t="s">
        <v>31</v>
      </c>
      <c r="B35" s="319" t="s">
        <v>32</v>
      </c>
      <c r="C35" s="307"/>
      <c r="D35" s="307"/>
      <c r="E35" s="307"/>
      <c r="F35" s="307"/>
      <c r="G35" s="307"/>
      <c r="H35" s="19">
        <v>15.62</v>
      </c>
      <c r="I35" s="14">
        <f>H35*F22</f>
        <v>15.62</v>
      </c>
      <c r="J35" t="s">
        <v>270</v>
      </c>
      <c r="K35" s="130" t="s">
        <v>274</v>
      </c>
      <c r="O35" s="134"/>
    </row>
    <row r="36" spans="1:18" ht="15" customHeight="1" x14ac:dyDescent="0.25">
      <c r="A36" s="13" t="s">
        <v>33</v>
      </c>
      <c r="B36" s="319" t="s">
        <v>18</v>
      </c>
      <c r="C36" s="307"/>
      <c r="D36" s="307"/>
      <c r="E36" s="307"/>
      <c r="F36" s="307"/>
      <c r="G36" s="307"/>
      <c r="H36" s="19">
        <v>0</v>
      </c>
      <c r="I36" s="14">
        <f>H36*F22</f>
        <v>0</v>
      </c>
      <c r="J36" t="s">
        <v>270</v>
      </c>
      <c r="K36" s="130" t="s">
        <v>274</v>
      </c>
      <c r="O36" s="134">
        <f>O33+O34</f>
        <v>364037.28</v>
      </c>
    </row>
    <row r="37" spans="1:18" ht="15.75" customHeight="1" x14ac:dyDescent="0.25">
      <c r="A37" s="21"/>
      <c r="B37" s="381" t="s">
        <v>34</v>
      </c>
      <c r="C37" s="307"/>
      <c r="D37" s="307"/>
      <c r="E37" s="307"/>
      <c r="F37" s="307"/>
      <c r="G37" s="307"/>
      <c r="H37" s="307"/>
      <c r="I37" s="22">
        <f>SUM(I28:I36)</f>
        <v>516.77</v>
      </c>
      <c r="J37" t="s">
        <v>270</v>
      </c>
      <c r="O37" s="134">
        <v>283500</v>
      </c>
    </row>
    <row r="38" spans="1:18" ht="15.75" customHeight="1" x14ac:dyDescent="0.25">
      <c r="A38" s="382"/>
      <c r="B38" s="307"/>
      <c r="C38" s="307"/>
      <c r="D38" s="307"/>
      <c r="E38" s="307"/>
      <c r="F38" s="307"/>
      <c r="G38" s="307"/>
      <c r="H38" s="307"/>
      <c r="I38" s="308"/>
    </row>
    <row r="39" spans="1:18" ht="15" customHeight="1" x14ac:dyDescent="0.25">
      <c r="A39" s="384" t="s">
        <v>35</v>
      </c>
      <c r="B39" s="307"/>
      <c r="C39" s="307"/>
      <c r="D39" s="307"/>
      <c r="E39" s="307"/>
      <c r="F39" s="307"/>
      <c r="G39" s="307"/>
      <c r="H39" s="307"/>
      <c r="I39" s="308"/>
    </row>
    <row r="40" spans="1:18" ht="15.75" customHeight="1" x14ac:dyDescent="0.25">
      <c r="A40" s="382"/>
      <c r="B40" s="307"/>
      <c r="C40" s="307"/>
      <c r="D40" s="307"/>
      <c r="E40" s="307"/>
      <c r="F40" s="307"/>
      <c r="G40" s="307"/>
      <c r="H40" s="307"/>
      <c r="I40" s="308"/>
      <c r="O40" s="136">
        <f>O36-O37</f>
        <v>80537.280000000028</v>
      </c>
    </row>
    <row r="41" spans="1:18" ht="15" customHeight="1" x14ac:dyDescent="0.25">
      <c r="A41" s="329" t="s">
        <v>36</v>
      </c>
      <c r="B41" s="307"/>
      <c r="C41" s="307"/>
      <c r="D41" s="307"/>
      <c r="E41" s="307"/>
      <c r="F41" s="307"/>
      <c r="G41" s="307"/>
      <c r="H41" s="307"/>
      <c r="I41" s="308"/>
    </row>
    <row r="42" spans="1:18" ht="15" customHeight="1" x14ac:dyDescent="0.25">
      <c r="A42" s="52">
        <v>3</v>
      </c>
      <c r="B42" s="383" t="s">
        <v>37</v>
      </c>
      <c r="C42" s="307"/>
      <c r="D42" s="307"/>
      <c r="E42" s="307"/>
      <c r="F42" s="307"/>
      <c r="G42" s="307"/>
      <c r="H42" s="53" t="s">
        <v>22</v>
      </c>
      <c r="I42" s="52" t="s">
        <v>23</v>
      </c>
    </row>
    <row r="43" spans="1:18" ht="15" customHeight="1" x14ac:dyDescent="0.25">
      <c r="A43" s="13" t="s">
        <v>1</v>
      </c>
      <c r="B43" s="319" t="s">
        <v>38</v>
      </c>
      <c r="C43" s="307"/>
      <c r="D43" s="307"/>
      <c r="E43" s="307"/>
      <c r="F43" s="307"/>
      <c r="G43" s="307"/>
      <c r="H43" s="18">
        <f>99.1/12</f>
        <v>8.2583333333333329</v>
      </c>
      <c r="I43" s="14">
        <f>H43*F22</f>
        <v>8.2583333333333329</v>
      </c>
      <c r="J43" s="23" t="s">
        <v>270</v>
      </c>
      <c r="O43" s="138">
        <v>16465</v>
      </c>
      <c r="P43" s="137"/>
      <c r="Q43" s="137"/>
      <c r="R43" s="137"/>
    </row>
    <row r="44" spans="1:18" ht="15" customHeight="1" x14ac:dyDescent="0.25">
      <c r="A44" s="13" t="s">
        <v>3</v>
      </c>
      <c r="B44" s="319" t="s">
        <v>39</v>
      </c>
      <c r="C44" s="307"/>
      <c r="D44" s="307"/>
      <c r="E44" s="307"/>
      <c r="F44" s="307"/>
      <c r="G44" s="307"/>
      <c r="H44" s="19">
        <v>196.31</v>
      </c>
      <c r="I44" s="20">
        <f>H44*F22</f>
        <v>196.31</v>
      </c>
      <c r="J44" s="23" t="s">
        <v>270</v>
      </c>
      <c r="O44" s="137">
        <v>7</v>
      </c>
      <c r="P44" s="139">
        <f>O43/7</f>
        <v>2352.1428571428573</v>
      </c>
      <c r="Q44" s="137"/>
      <c r="R44" s="137"/>
    </row>
    <row r="45" spans="1:18" ht="15" customHeight="1" x14ac:dyDescent="0.25">
      <c r="A45" s="13" t="s">
        <v>5</v>
      </c>
      <c r="B45" s="319" t="s">
        <v>40</v>
      </c>
      <c r="C45" s="307"/>
      <c r="D45" s="307"/>
      <c r="E45" s="307"/>
      <c r="F45" s="307"/>
      <c r="G45" s="307"/>
      <c r="H45" s="19">
        <f>'ANEXO V'!P20</f>
        <v>0</v>
      </c>
      <c r="I45" s="20">
        <f>H45*F22</f>
        <v>0</v>
      </c>
      <c r="J45" s="23" t="s">
        <v>270</v>
      </c>
      <c r="O45" s="137">
        <v>5</v>
      </c>
      <c r="P45" s="139">
        <f>P44*5</f>
        <v>11760.714285714286</v>
      </c>
      <c r="Q45" s="139"/>
      <c r="R45" s="139"/>
    </row>
    <row r="46" spans="1:18" ht="15" customHeight="1" x14ac:dyDescent="0.25">
      <c r="A46" s="13" t="s">
        <v>6</v>
      </c>
      <c r="B46" s="319" t="s">
        <v>41</v>
      </c>
      <c r="C46" s="307"/>
      <c r="D46" s="307"/>
      <c r="E46" s="307"/>
      <c r="F46" s="307"/>
      <c r="G46" s="307"/>
      <c r="H46" s="19">
        <v>0</v>
      </c>
      <c r="I46" s="20">
        <f>H46*F22</f>
        <v>0</v>
      </c>
      <c r="J46" s="23" t="s">
        <v>270</v>
      </c>
      <c r="O46" s="137">
        <v>2</v>
      </c>
      <c r="P46" s="139">
        <f>P44*2</f>
        <v>4704.2857142857147</v>
      </c>
      <c r="Q46" s="139"/>
      <c r="R46" s="139"/>
    </row>
    <row r="47" spans="1:18" ht="15.75" customHeight="1" x14ac:dyDescent="0.25">
      <c r="A47" s="381" t="s">
        <v>42</v>
      </c>
      <c r="B47" s="307"/>
      <c r="C47" s="307"/>
      <c r="D47" s="307"/>
      <c r="E47" s="307"/>
      <c r="F47" s="307"/>
      <c r="G47" s="307"/>
      <c r="H47" s="308"/>
      <c r="I47" s="24">
        <f>SUM(I43:I46)</f>
        <v>204.56833333333333</v>
      </c>
      <c r="J47" s="23" t="s">
        <v>270</v>
      </c>
    </row>
    <row r="48" spans="1:18" ht="15.75" customHeight="1" x14ac:dyDescent="0.25">
      <c r="A48" s="382"/>
      <c r="B48" s="307"/>
      <c r="C48" s="307"/>
      <c r="D48" s="307"/>
      <c r="E48" s="307"/>
      <c r="F48" s="307"/>
      <c r="G48" s="307"/>
      <c r="H48" s="307"/>
      <c r="I48" s="308"/>
    </row>
    <row r="49" spans="1:11" ht="15.75" customHeight="1" x14ac:dyDescent="0.25">
      <c r="A49" s="377" t="s">
        <v>43</v>
      </c>
      <c r="B49" s="307"/>
      <c r="C49" s="307"/>
      <c r="D49" s="307"/>
      <c r="E49" s="307"/>
      <c r="F49" s="307"/>
      <c r="G49" s="307"/>
      <c r="H49" s="307"/>
      <c r="I49" s="308"/>
    </row>
    <row r="50" spans="1:11" ht="15.75" customHeight="1" x14ac:dyDescent="0.25">
      <c r="A50" s="382"/>
      <c r="B50" s="307"/>
      <c r="C50" s="307"/>
      <c r="D50" s="307"/>
      <c r="E50" s="307"/>
      <c r="F50" s="307"/>
      <c r="G50" s="307"/>
      <c r="H50" s="307"/>
      <c r="I50" s="308"/>
    </row>
    <row r="51" spans="1:11" ht="15" customHeight="1" x14ac:dyDescent="0.25">
      <c r="A51" s="325" t="s">
        <v>44</v>
      </c>
      <c r="B51" s="307"/>
      <c r="C51" s="307"/>
      <c r="D51" s="307"/>
      <c r="E51" s="307"/>
      <c r="F51" s="307"/>
      <c r="G51" s="307"/>
      <c r="H51" s="307"/>
      <c r="I51" s="308"/>
    </row>
    <row r="52" spans="1:11" ht="15" customHeight="1" x14ac:dyDescent="0.25">
      <c r="A52" s="314" t="s">
        <v>45</v>
      </c>
      <c r="B52" s="307"/>
      <c r="C52" s="307"/>
      <c r="D52" s="307"/>
      <c r="E52" s="307"/>
      <c r="F52" s="307"/>
      <c r="G52" s="307"/>
      <c r="H52" s="307"/>
      <c r="I52" s="308"/>
    </row>
    <row r="53" spans="1:11" ht="30" customHeight="1" x14ac:dyDescent="0.25">
      <c r="A53" s="25" t="s">
        <v>46</v>
      </c>
      <c r="B53" s="379" t="s">
        <v>47</v>
      </c>
      <c r="C53" s="307"/>
      <c r="D53" s="307"/>
      <c r="E53" s="307"/>
      <c r="F53" s="307"/>
      <c r="G53" s="308"/>
      <c r="H53" s="12" t="s">
        <v>48</v>
      </c>
      <c r="I53" s="12" t="s">
        <v>23</v>
      </c>
    </row>
    <row r="54" spans="1:11" ht="15" customHeight="1" x14ac:dyDescent="0.25">
      <c r="A54" s="10" t="s">
        <v>1</v>
      </c>
      <c r="B54" s="319" t="s">
        <v>49</v>
      </c>
      <c r="C54" s="307"/>
      <c r="D54" s="307"/>
      <c r="E54" s="307"/>
      <c r="F54" s="307"/>
      <c r="G54" s="308"/>
      <c r="H54" s="26">
        <v>0.2</v>
      </c>
      <c r="I54" s="27">
        <f t="shared" ref="I54:I61" si="0">ROUND($I$25*H54,2)</f>
        <v>301.62</v>
      </c>
      <c r="J54" t="s">
        <v>270</v>
      </c>
      <c r="K54" s="130" t="s">
        <v>274</v>
      </c>
    </row>
    <row r="55" spans="1:11" ht="15" customHeight="1" x14ac:dyDescent="0.25">
      <c r="A55" s="10" t="s">
        <v>3</v>
      </c>
      <c r="B55" s="319" t="s">
        <v>50</v>
      </c>
      <c r="C55" s="307"/>
      <c r="D55" s="307"/>
      <c r="E55" s="307"/>
      <c r="F55" s="307"/>
      <c r="G55" s="308"/>
      <c r="H55" s="26">
        <v>0</v>
      </c>
      <c r="I55" s="27">
        <f t="shared" si="0"/>
        <v>0</v>
      </c>
      <c r="J55" t="s">
        <v>270</v>
      </c>
      <c r="K55" s="130" t="s">
        <v>274</v>
      </c>
    </row>
    <row r="56" spans="1:11" ht="15" customHeight="1" x14ac:dyDescent="0.25">
      <c r="A56" s="10" t="s">
        <v>5</v>
      </c>
      <c r="B56" s="319" t="s">
        <v>51</v>
      </c>
      <c r="C56" s="307"/>
      <c r="D56" s="307"/>
      <c r="E56" s="307"/>
      <c r="F56" s="307"/>
      <c r="G56" s="308"/>
      <c r="H56" s="26">
        <v>0</v>
      </c>
      <c r="I56" s="27">
        <f t="shared" si="0"/>
        <v>0</v>
      </c>
      <c r="J56" t="s">
        <v>270</v>
      </c>
      <c r="K56" s="130" t="s">
        <v>274</v>
      </c>
    </row>
    <row r="57" spans="1:11" ht="15" customHeight="1" x14ac:dyDescent="0.25">
      <c r="A57" s="10" t="s">
        <v>6</v>
      </c>
      <c r="B57" s="319" t="s">
        <v>52</v>
      </c>
      <c r="C57" s="307"/>
      <c r="D57" s="307"/>
      <c r="E57" s="307"/>
      <c r="F57" s="307"/>
      <c r="G57" s="308"/>
      <c r="H57" s="26">
        <v>0</v>
      </c>
      <c r="I57" s="27">
        <f t="shared" si="0"/>
        <v>0</v>
      </c>
      <c r="J57" t="s">
        <v>270</v>
      </c>
      <c r="K57" s="130" t="s">
        <v>274</v>
      </c>
    </row>
    <row r="58" spans="1:11" ht="15" customHeight="1" x14ac:dyDescent="0.25">
      <c r="A58" s="10" t="s">
        <v>31</v>
      </c>
      <c r="B58" s="319" t="s">
        <v>53</v>
      </c>
      <c r="C58" s="307"/>
      <c r="D58" s="307"/>
      <c r="E58" s="307"/>
      <c r="F58" s="307"/>
      <c r="G58" s="308"/>
      <c r="H58" s="26">
        <v>0</v>
      </c>
      <c r="I58" s="27">
        <f t="shared" si="0"/>
        <v>0</v>
      </c>
      <c r="J58" t="s">
        <v>270</v>
      </c>
      <c r="K58" s="130" t="s">
        <v>274</v>
      </c>
    </row>
    <row r="59" spans="1:11" ht="15" customHeight="1" x14ac:dyDescent="0.25">
      <c r="A59" s="10" t="s">
        <v>33</v>
      </c>
      <c r="B59" s="319" t="s">
        <v>54</v>
      </c>
      <c r="C59" s="307"/>
      <c r="D59" s="307"/>
      <c r="E59" s="307"/>
      <c r="F59" s="307"/>
      <c r="G59" s="308"/>
      <c r="H59" s="129">
        <v>0.08</v>
      </c>
      <c r="I59" s="27">
        <f t="shared" si="0"/>
        <v>120.65</v>
      </c>
      <c r="J59" t="s">
        <v>270</v>
      </c>
      <c r="K59" s="130" t="s">
        <v>274</v>
      </c>
    </row>
    <row r="60" spans="1:11" x14ac:dyDescent="0.25">
      <c r="A60" s="10" t="s">
        <v>55</v>
      </c>
      <c r="B60" s="319" t="s">
        <v>130</v>
      </c>
      <c r="C60" s="308"/>
      <c r="D60" s="29" t="s">
        <v>57</v>
      </c>
      <c r="E60" s="30">
        <v>0.03</v>
      </c>
      <c r="F60" s="29" t="s">
        <v>58</v>
      </c>
      <c r="G60" s="31">
        <v>1</v>
      </c>
      <c r="H60" s="32">
        <f>ROUND((E60*G60),6)</f>
        <v>0.03</v>
      </c>
      <c r="I60" s="27">
        <f t="shared" si="0"/>
        <v>45.24</v>
      </c>
      <c r="J60" t="s">
        <v>270</v>
      </c>
      <c r="K60" s="130" t="s">
        <v>274</v>
      </c>
    </row>
    <row r="61" spans="1:11" ht="15" customHeight="1" x14ac:dyDescent="0.25">
      <c r="A61" s="10" t="s">
        <v>59</v>
      </c>
      <c r="B61" s="319" t="s">
        <v>60</v>
      </c>
      <c r="C61" s="307"/>
      <c r="D61" s="307"/>
      <c r="E61" s="307"/>
      <c r="F61" s="307"/>
      <c r="G61" s="308"/>
      <c r="H61" s="26">
        <v>0</v>
      </c>
      <c r="I61" s="27">
        <f t="shared" si="0"/>
        <v>0</v>
      </c>
      <c r="J61" t="s">
        <v>270</v>
      </c>
      <c r="K61" s="130" t="s">
        <v>274</v>
      </c>
    </row>
    <row r="62" spans="1:11" ht="15.75" customHeight="1" x14ac:dyDescent="0.25">
      <c r="A62" s="381" t="s">
        <v>61</v>
      </c>
      <c r="B62" s="307"/>
      <c r="C62" s="307"/>
      <c r="D62" s="307"/>
      <c r="E62" s="307"/>
      <c r="F62" s="307"/>
      <c r="G62" s="308"/>
      <c r="H62" s="33">
        <f>SUM(H54:H61)</f>
        <v>0.31000000000000005</v>
      </c>
      <c r="I62" s="22">
        <f>SUM(I54:I61)</f>
        <v>467.51</v>
      </c>
      <c r="J62" t="s">
        <v>270</v>
      </c>
      <c r="K62" s="130" t="s">
        <v>274</v>
      </c>
    </row>
    <row r="63" spans="1:11" ht="15.75" customHeight="1" x14ac:dyDescent="0.25">
      <c r="A63" s="382"/>
      <c r="B63" s="307"/>
      <c r="C63" s="307"/>
      <c r="D63" s="307"/>
      <c r="E63" s="307"/>
      <c r="F63" s="307"/>
      <c r="G63" s="307"/>
      <c r="H63" s="307"/>
      <c r="I63" s="308"/>
    </row>
    <row r="64" spans="1:11" ht="26.25" customHeight="1" x14ac:dyDescent="0.25">
      <c r="A64" s="319" t="s">
        <v>62</v>
      </c>
      <c r="B64" s="307"/>
      <c r="C64" s="307"/>
      <c r="D64" s="307"/>
      <c r="E64" s="307"/>
      <c r="F64" s="307"/>
      <c r="G64" s="307"/>
      <c r="H64" s="307"/>
      <c r="I64" s="308"/>
    </row>
    <row r="65" spans="1:10" ht="15.75" customHeight="1" x14ac:dyDescent="0.25">
      <c r="A65" s="382"/>
      <c r="B65" s="307"/>
      <c r="C65" s="307"/>
      <c r="D65" s="307"/>
      <c r="E65" s="307"/>
      <c r="F65" s="307"/>
      <c r="G65" s="307"/>
      <c r="H65" s="307"/>
      <c r="I65" s="308"/>
    </row>
    <row r="66" spans="1:10" ht="15" customHeight="1" x14ac:dyDescent="0.25">
      <c r="A66" s="314" t="s">
        <v>63</v>
      </c>
      <c r="B66" s="307"/>
      <c r="C66" s="307"/>
      <c r="D66" s="307"/>
      <c r="E66" s="307"/>
      <c r="F66" s="307"/>
      <c r="G66" s="307"/>
      <c r="H66" s="307"/>
      <c r="I66" s="308"/>
    </row>
    <row r="67" spans="1:10" ht="15" customHeight="1" x14ac:dyDescent="0.25">
      <c r="A67" s="11" t="s">
        <v>64</v>
      </c>
      <c r="B67" s="379" t="s">
        <v>65</v>
      </c>
      <c r="C67" s="307"/>
      <c r="D67" s="307"/>
      <c r="E67" s="307"/>
      <c r="F67" s="307"/>
      <c r="G67" s="307"/>
      <c r="H67" s="308"/>
      <c r="I67" s="11" t="s">
        <v>23</v>
      </c>
    </row>
    <row r="68" spans="1:10" ht="25.5" customHeight="1" x14ac:dyDescent="0.25">
      <c r="A68" s="13" t="s">
        <v>1</v>
      </c>
      <c r="B68" s="419" t="s">
        <v>131</v>
      </c>
      <c r="C68" s="307"/>
      <c r="D68" s="307"/>
      <c r="E68" s="307"/>
      <c r="F68" s="307"/>
      <c r="G68" s="307"/>
      <c r="H68" s="308"/>
      <c r="I68" s="27">
        <f>ROUND($I$25/12,2)</f>
        <v>125.67</v>
      </c>
      <c r="J68" t="s">
        <v>270</v>
      </c>
    </row>
    <row r="69" spans="1:10" ht="15.75" customHeight="1" x14ac:dyDescent="0.25">
      <c r="A69" s="381" t="s">
        <v>67</v>
      </c>
      <c r="B69" s="307"/>
      <c r="C69" s="307"/>
      <c r="D69" s="307"/>
      <c r="E69" s="307"/>
      <c r="F69" s="307"/>
      <c r="G69" s="307"/>
      <c r="H69" s="308"/>
      <c r="I69" s="34">
        <f>SUM(I68)</f>
        <v>125.67</v>
      </c>
      <c r="J69" t="s">
        <v>270</v>
      </c>
    </row>
    <row r="70" spans="1:10" ht="15" customHeight="1" x14ac:dyDescent="0.25">
      <c r="A70" s="13" t="s">
        <v>3</v>
      </c>
      <c r="B70" s="321" t="s">
        <v>68</v>
      </c>
      <c r="C70" s="307"/>
      <c r="D70" s="307"/>
      <c r="E70" s="307"/>
      <c r="F70" s="307"/>
      <c r="G70" s="307"/>
      <c r="H70" s="308"/>
      <c r="I70" s="35">
        <f>ROUND(H62*I69,2)</f>
        <v>38.96</v>
      </c>
      <c r="J70" t="s">
        <v>270</v>
      </c>
    </row>
    <row r="71" spans="1:10" ht="15.75" customHeight="1" x14ac:dyDescent="0.25">
      <c r="A71" s="381" t="s">
        <v>61</v>
      </c>
      <c r="B71" s="307"/>
      <c r="C71" s="307"/>
      <c r="D71" s="307"/>
      <c r="E71" s="307"/>
      <c r="F71" s="307"/>
      <c r="G71" s="307"/>
      <c r="H71" s="308"/>
      <c r="I71" s="34">
        <f>SUM(I69:I70)</f>
        <v>164.63</v>
      </c>
      <c r="J71" t="s">
        <v>270</v>
      </c>
    </row>
    <row r="72" spans="1:10" ht="15.75" customHeight="1" x14ac:dyDescent="0.25">
      <c r="A72" s="382"/>
      <c r="B72" s="307"/>
      <c r="C72" s="307"/>
      <c r="D72" s="307"/>
      <c r="E72" s="307"/>
      <c r="F72" s="307"/>
      <c r="G72" s="307"/>
      <c r="H72" s="307"/>
      <c r="I72" s="308"/>
    </row>
    <row r="73" spans="1:10" ht="15" customHeight="1" x14ac:dyDescent="0.25">
      <c r="A73" s="314" t="s">
        <v>69</v>
      </c>
      <c r="B73" s="307"/>
      <c r="C73" s="307"/>
      <c r="D73" s="307"/>
      <c r="E73" s="307"/>
      <c r="F73" s="307"/>
      <c r="G73" s="307"/>
      <c r="H73" s="307"/>
      <c r="I73" s="308"/>
    </row>
    <row r="74" spans="1:10" ht="15.75" customHeight="1" x14ac:dyDescent="0.25">
      <c r="A74" s="11" t="s">
        <v>70</v>
      </c>
      <c r="B74" s="385" t="s">
        <v>71</v>
      </c>
      <c r="C74" s="307"/>
      <c r="D74" s="307"/>
      <c r="E74" s="307"/>
      <c r="F74" s="307"/>
      <c r="G74" s="307"/>
      <c r="H74" s="308"/>
      <c r="I74" s="11" t="s">
        <v>23</v>
      </c>
    </row>
    <row r="75" spans="1:10" ht="15" customHeight="1" x14ac:dyDescent="0.25">
      <c r="A75" s="13" t="s">
        <v>1</v>
      </c>
      <c r="B75" s="350" t="s">
        <v>132</v>
      </c>
      <c r="C75" s="307"/>
      <c r="D75" s="307"/>
      <c r="E75" s="307"/>
      <c r="F75" s="307"/>
      <c r="G75" s="307"/>
      <c r="H75" s="308"/>
      <c r="I75" s="27">
        <f>ROUND(((($I$25+$I$25/3)*4/12)/12)*0.02,2)</f>
        <v>1.1200000000000001</v>
      </c>
      <c r="J75" t="s">
        <v>270</v>
      </c>
    </row>
    <row r="76" spans="1:10" ht="15" customHeight="1" x14ac:dyDescent="0.25">
      <c r="A76" s="13" t="s">
        <v>3</v>
      </c>
      <c r="B76" s="319" t="s">
        <v>72</v>
      </c>
      <c r="C76" s="307"/>
      <c r="D76" s="307"/>
      <c r="E76" s="307"/>
      <c r="F76" s="307"/>
      <c r="G76" s="307"/>
      <c r="H76" s="308"/>
      <c r="I76" s="35">
        <f>ROUND(H62*I75,2)</f>
        <v>0.35</v>
      </c>
      <c r="J76" t="s">
        <v>270</v>
      </c>
    </row>
    <row r="77" spans="1:10" ht="15.75" customHeight="1" x14ac:dyDescent="0.25">
      <c r="A77" s="381" t="s">
        <v>61</v>
      </c>
      <c r="B77" s="307"/>
      <c r="C77" s="307"/>
      <c r="D77" s="307"/>
      <c r="E77" s="307"/>
      <c r="F77" s="307"/>
      <c r="G77" s="307"/>
      <c r="H77" s="308"/>
      <c r="I77" s="22">
        <f>SUM(I75:I76)</f>
        <v>1.4700000000000002</v>
      </c>
      <c r="J77" t="s">
        <v>270</v>
      </c>
    </row>
    <row r="78" spans="1:10" ht="15.75" customHeight="1" x14ac:dyDescent="0.25">
      <c r="A78" s="317" t="s">
        <v>73</v>
      </c>
      <c r="B78" s="307"/>
      <c r="C78" s="307"/>
      <c r="D78" s="307"/>
      <c r="E78" s="307"/>
      <c r="F78" s="307"/>
      <c r="G78" s="307"/>
      <c r="H78" s="307"/>
      <c r="I78" s="308"/>
    </row>
    <row r="79" spans="1:10" ht="15.75" customHeight="1" x14ac:dyDescent="0.25">
      <c r="A79" s="11" t="s">
        <v>74</v>
      </c>
      <c r="B79" s="385" t="s">
        <v>75</v>
      </c>
      <c r="C79" s="307"/>
      <c r="D79" s="307"/>
      <c r="E79" s="307"/>
      <c r="F79" s="307"/>
      <c r="G79" s="307"/>
      <c r="H79" s="308"/>
      <c r="I79" s="11" t="s">
        <v>23</v>
      </c>
    </row>
    <row r="80" spans="1:10" ht="26.25" customHeight="1" x14ac:dyDescent="0.25">
      <c r="A80" s="13" t="s">
        <v>1</v>
      </c>
      <c r="B80" s="350" t="s">
        <v>133</v>
      </c>
      <c r="C80" s="307"/>
      <c r="D80" s="307"/>
      <c r="E80" s="307"/>
      <c r="F80" s="307"/>
      <c r="G80" s="307"/>
      <c r="H80" s="308"/>
      <c r="I80" s="27">
        <f>ROUND(($I$25/12)*(33/30)*0.05,2)</f>
        <v>6.91</v>
      </c>
      <c r="J80" t="s">
        <v>270</v>
      </c>
    </row>
    <row r="81" spans="1:10" ht="15.75" customHeight="1" x14ac:dyDescent="0.25">
      <c r="A81" s="13" t="s">
        <v>3</v>
      </c>
      <c r="B81" s="318" t="s">
        <v>77</v>
      </c>
      <c r="C81" s="307"/>
      <c r="D81" s="307"/>
      <c r="E81" s="307"/>
      <c r="F81" s="307"/>
      <c r="G81" s="307"/>
      <c r="H81" s="308"/>
      <c r="I81" s="27">
        <f>ROUND($H$59*I80,2)</f>
        <v>0.55000000000000004</v>
      </c>
      <c r="J81" t="s">
        <v>270</v>
      </c>
    </row>
    <row r="82" spans="1:10" ht="26.25" customHeight="1" x14ac:dyDescent="0.25">
      <c r="A82" s="13" t="s">
        <v>5</v>
      </c>
      <c r="B82" s="419" t="s">
        <v>134</v>
      </c>
      <c r="C82" s="307"/>
      <c r="D82" s="307"/>
      <c r="E82" s="307"/>
      <c r="F82" s="307"/>
      <c r="G82" s="307"/>
      <c r="H82" s="308"/>
      <c r="I82" s="27">
        <f>ROUND(I25*50%*8%*5%,2)</f>
        <v>3.02</v>
      </c>
      <c r="J82" t="s">
        <v>270</v>
      </c>
    </row>
    <row r="83" spans="1:10" ht="27" customHeight="1" x14ac:dyDescent="0.25">
      <c r="A83" s="13" t="s">
        <v>6</v>
      </c>
      <c r="B83" s="350" t="s">
        <v>135</v>
      </c>
      <c r="C83" s="307"/>
      <c r="D83" s="307"/>
      <c r="E83" s="307"/>
      <c r="F83" s="307"/>
      <c r="G83" s="307"/>
      <c r="H83" s="308"/>
      <c r="I83" s="27">
        <f>ROUND(((($I$25/30)*7)/$H$9),2)</f>
        <v>29.32</v>
      </c>
      <c r="J83" t="s">
        <v>270</v>
      </c>
    </row>
    <row r="84" spans="1:10" ht="15.75" customHeight="1" x14ac:dyDescent="0.25">
      <c r="A84" s="13" t="s">
        <v>31</v>
      </c>
      <c r="B84" s="318" t="s">
        <v>78</v>
      </c>
      <c r="C84" s="307"/>
      <c r="D84" s="307"/>
      <c r="E84" s="307"/>
      <c r="F84" s="307"/>
      <c r="G84" s="307"/>
      <c r="H84" s="308"/>
      <c r="I84" s="27">
        <f>ROUND($H$62*I83,2)</f>
        <v>9.09</v>
      </c>
      <c r="J84" t="s">
        <v>270</v>
      </c>
    </row>
    <row r="85" spans="1:10" ht="26.25" customHeight="1" x14ac:dyDescent="0.25">
      <c r="A85" s="13" t="s">
        <v>33</v>
      </c>
      <c r="B85" s="419" t="s">
        <v>136</v>
      </c>
      <c r="C85" s="307"/>
      <c r="D85" s="307"/>
      <c r="E85" s="307"/>
      <c r="F85" s="307"/>
      <c r="G85" s="307"/>
      <c r="H85" s="308"/>
      <c r="I85" s="27">
        <f>ROUND($I$25*(40%+10%)*8%*100%,2)</f>
        <v>60.32</v>
      </c>
      <c r="J85" t="s">
        <v>270</v>
      </c>
    </row>
    <row r="86" spans="1:10" ht="15.75" customHeight="1" x14ac:dyDescent="0.25">
      <c r="A86" s="381" t="s">
        <v>61</v>
      </c>
      <c r="B86" s="307"/>
      <c r="C86" s="307"/>
      <c r="D86" s="307"/>
      <c r="E86" s="307"/>
      <c r="F86" s="307"/>
      <c r="G86" s="307"/>
      <c r="H86" s="308"/>
      <c r="I86" s="22">
        <f>SUM(I80:I85)</f>
        <v>109.21000000000001</v>
      </c>
    </row>
    <row r="87" spans="1:10" ht="15" customHeight="1" x14ac:dyDescent="0.25">
      <c r="A87" s="314" t="s">
        <v>80</v>
      </c>
      <c r="B87" s="307"/>
      <c r="C87" s="307"/>
      <c r="D87" s="307"/>
      <c r="E87" s="307"/>
      <c r="F87" s="307"/>
      <c r="G87" s="307"/>
      <c r="H87" s="307"/>
      <c r="I87" s="308"/>
    </row>
    <row r="88" spans="1:10" ht="15.75" customHeight="1" x14ac:dyDescent="0.25">
      <c r="A88" s="36" t="s">
        <v>81</v>
      </c>
      <c r="B88" s="385" t="s">
        <v>82</v>
      </c>
      <c r="C88" s="307"/>
      <c r="D88" s="307"/>
      <c r="E88" s="307"/>
      <c r="F88" s="307"/>
      <c r="G88" s="307"/>
      <c r="H88" s="308"/>
      <c r="I88" s="36" t="s">
        <v>23</v>
      </c>
    </row>
    <row r="89" spans="1:10" ht="15" customHeight="1" x14ac:dyDescent="0.25">
      <c r="A89" s="37" t="s">
        <v>1</v>
      </c>
      <c r="B89" s="419" t="s">
        <v>137</v>
      </c>
      <c r="C89" s="307"/>
      <c r="D89" s="307"/>
      <c r="E89" s="307"/>
      <c r="F89" s="307"/>
      <c r="G89" s="307"/>
      <c r="H89" s="308"/>
      <c r="I89" s="27">
        <f>ROUND($I$25*11.11%,2)</f>
        <v>167.55</v>
      </c>
      <c r="J89" t="s">
        <v>270</v>
      </c>
    </row>
    <row r="90" spans="1:10" ht="15.75" customHeight="1" x14ac:dyDescent="0.25">
      <c r="A90" s="37" t="s">
        <v>3</v>
      </c>
      <c r="B90" s="318" t="s">
        <v>138</v>
      </c>
      <c r="C90" s="307"/>
      <c r="D90" s="307"/>
      <c r="E90" s="307"/>
      <c r="F90" s="307"/>
      <c r="G90" s="307"/>
      <c r="H90" s="308"/>
      <c r="I90" s="38">
        <f>ROUND(((($I$25/30)*5)/12),2)</f>
        <v>20.95</v>
      </c>
      <c r="J90" t="s">
        <v>270</v>
      </c>
    </row>
    <row r="91" spans="1:10" ht="15.75" customHeight="1" x14ac:dyDescent="0.25">
      <c r="A91" s="37" t="s">
        <v>5</v>
      </c>
      <c r="B91" s="318" t="s">
        <v>139</v>
      </c>
      <c r="C91" s="307"/>
      <c r="D91" s="307"/>
      <c r="E91" s="307"/>
      <c r="F91" s="307"/>
      <c r="G91" s="307"/>
      <c r="H91" s="308"/>
      <c r="I91" s="38">
        <f>ROUND((($I$25/30)*5)/12*0.015,2)</f>
        <v>0.31</v>
      </c>
      <c r="J91" t="s">
        <v>270</v>
      </c>
    </row>
    <row r="92" spans="1:10" ht="15.75" customHeight="1" x14ac:dyDescent="0.25">
      <c r="A92" s="37" t="s">
        <v>6</v>
      </c>
      <c r="B92" s="318" t="s">
        <v>140</v>
      </c>
      <c r="C92" s="307"/>
      <c r="D92" s="307"/>
      <c r="E92" s="307"/>
      <c r="F92" s="307"/>
      <c r="G92" s="307"/>
      <c r="H92" s="308"/>
      <c r="I92" s="38">
        <f>ROUND((($I$25/30)*2.96)/12,2)</f>
        <v>12.4</v>
      </c>
      <c r="J92" t="s">
        <v>270</v>
      </c>
    </row>
    <row r="93" spans="1:10" ht="27" customHeight="1" x14ac:dyDescent="0.25">
      <c r="A93" s="37" t="s">
        <v>31</v>
      </c>
      <c r="B93" s="350" t="s">
        <v>141</v>
      </c>
      <c r="C93" s="307"/>
      <c r="D93" s="307"/>
      <c r="E93" s="307"/>
      <c r="F93" s="307"/>
      <c r="G93" s="307"/>
      <c r="H93" s="308"/>
      <c r="I93" s="39">
        <f>ROUND(((($I$25/30)*15)/12)*0.0078,2)</f>
        <v>0.49</v>
      </c>
      <c r="J93" t="s">
        <v>270</v>
      </c>
    </row>
    <row r="94" spans="1:10" ht="15.75" customHeight="1" x14ac:dyDescent="0.25">
      <c r="A94" s="37" t="s">
        <v>33</v>
      </c>
      <c r="B94" s="318" t="s">
        <v>18</v>
      </c>
      <c r="C94" s="307"/>
      <c r="D94" s="307"/>
      <c r="E94" s="307"/>
      <c r="F94" s="307"/>
      <c r="G94" s="307"/>
      <c r="H94" s="308"/>
      <c r="I94" s="39">
        <v>0</v>
      </c>
    </row>
    <row r="95" spans="1:10" ht="15.75" customHeight="1" x14ac:dyDescent="0.25">
      <c r="A95" s="381" t="s">
        <v>67</v>
      </c>
      <c r="B95" s="307"/>
      <c r="C95" s="307"/>
      <c r="D95" s="307"/>
      <c r="E95" s="307"/>
      <c r="F95" s="307"/>
      <c r="G95" s="307"/>
      <c r="H95" s="308"/>
      <c r="I95" s="40">
        <f>SUM(I89:I94)</f>
        <v>201.70000000000002</v>
      </c>
      <c r="J95" t="s">
        <v>269</v>
      </c>
    </row>
    <row r="96" spans="1:10" ht="26.25" customHeight="1" x14ac:dyDescent="0.25">
      <c r="A96" s="41" t="s">
        <v>55</v>
      </c>
      <c r="B96" s="319" t="s">
        <v>83</v>
      </c>
      <c r="C96" s="307"/>
      <c r="D96" s="307"/>
      <c r="E96" s="307"/>
      <c r="F96" s="307"/>
      <c r="G96" s="307"/>
      <c r="H96" s="308"/>
      <c r="I96" s="42">
        <f>ROUND(H62*I95,2)</f>
        <v>62.53</v>
      </c>
      <c r="J96" s="23" t="s">
        <v>270</v>
      </c>
    </row>
    <row r="97" spans="1:18" ht="15.75" customHeight="1" x14ac:dyDescent="0.25">
      <c r="A97" s="381" t="s">
        <v>61</v>
      </c>
      <c r="B97" s="307"/>
      <c r="C97" s="307"/>
      <c r="D97" s="307"/>
      <c r="E97" s="307"/>
      <c r="F97" s="307"/>
      <c r="G97" s="307"/>
      <c r="H97" s="308"/>
      <c r="I97" s="22">
        <f>SUM(I95:I96)</f>
        <v>264.23</v>
      </c>
      <c r="J97" t="s">
        <v>270</v>
      </c>
    </row>
    <row r="98" spans="1:18" ht="15.75" customHeight="1" x14ac:dyDescent="0.25">
      <c r="A98" s="317" t="s">
        <v>84</v>
      </c>
      <c r="B98" s="307"/>
      <c r="C98" s="307"/>
      <c r="D98" s="307"/>
      <c r="E98" s="307"/>
      <c r="F98" s="307"/>
      <c r="G98" s="307"/>
      <c r="H98" s="307"/>
      <c r="I98" s="308"/>
    </row>
    <row r="99" spans="1:18" ht="15" customHeight="1" x14ac:dyDescent="0.25">
      <c r="A99" s="11">
        <v>4</v>
      </c>
      <c r="B99" s="379" t="s">
        <v>85</v>
      </c>
      <c r="C99" s="307"/>
      <c r="D99" s="307"/>
      <c r="E99" s="307"/>
      <c r="F99" s="307"/>
      <c r="G99" s="307"/>
      <c r="H99" s="308"/>
      <c r="I99" s="11" t="s">
        <v>23</v>
      </c>
    </row>
    <row r="100" spans="1:18" ht="15" customHeight="1" x14ac:dyDescent="0.25">
      <c r="A100" s="13" t="s">
        <v>46</v>
      </c>
      <c r="B100" s="319" t="s">
        <v>86</v>
      </c>
      <c r="C100" s="307"/>
      <c r="D100" s="307"/>
      <c r="E100" s="307"/>
      <c r="F100" s="307"/>
      <c r="G100" s="307"/>
      <c r="H100" s="308"/>
      <c r="I100" s="14">
        <f>I62</f>
        <v>467.51</v>
      </c>
      <c r="J100" t="s">
        <v>270</v>
      </c>
    </row>
    <row r="101" spans="1:18" ht="15" customHeight="1" x14ac:dyDescent="0.25">
      <c r="A101" s="13" t="s">
        <v>64</v>
      </c>
      <c r="B101" s="319" t="s">
        <v>87</v>
      </c>
      <c r="C101" s="307"/>
      <c r="D101" s="307"/>
      <c r="E101" s="307"/>
      <c r="F101" s="307"/>
      <c r="G101" s="307"/>
      <c r="H101" s="308"/>
      <c r="I101" s="14">
        <f>I71</f>
        <v>164.63</v>
      </c>
      <c r="J101" t="s">
        <v>270</v>
      </c>
    </row>
    <row r="102" spans="1:18" ht="15" customHeight="1" x14ac:dyDescent="0.25">
      <c r="A102" s="13" t="s">
        <v>70</v>
      </c>
      <c r="B102" s="319" t="s">
        <v>88</v>
      </c>
      <c r="C102" s="307"/>
      <c r="D102" s="307"/>
      <c r="E102" s="307"/>
      <c r="F102" s="307"/>
      <c r="G102" s="307"/>
      <c r="H102" s="308"/>
      <c r="I102" s="14">
        <f>I77</f>
        <v>1.4700000000000002</v>
      </c>
      <c r="J102" t="s">
        <v>270</v>
      </c>
    </row>
    <row r="103" spans="1:18" ht="15" customHeight="1" x14ac:dyDescent="0.25">
      <c r="A103" s="13" t="s">
        <v>74</v>
      </c>
      <c r="B103" s="319" t="s">
        <v>89</v>
      </c>
      <c r="C103" s="307"/>
      <c r="D103" s="307"/>
      <c r="E103" s="307"/>
      <c r="F103" s="307"/>
      <c r="G103" s="307"/>
      <c r="H103" s="308"/>
      <c r="I103" s="14">
        <f>I86</f>
        <v>109.21000000000001</v>
      </c>
      <c r="J103" t="s">
        <v>270</v>
      </c>
    </row>
    <row r="104" spans="1:18" ht="15" customHeight="1" x14ac:dyDescent="0.25">
      <c r="A104" s="13" t="s">
        <v>81</v>
      </c>
      <c r="B104" s="319" t="s">
        <v>90</v>
      </c>
      <c r="C104" s="307"/>
      <c r="D104" s="307"/>
      <c r="E104" s="307"/>
      <c r="F104" s="307"/>
      <c r="G104" s="307"/>
      <c r="H104" s="308"/>
      <c r="I104" s="14">
        <f>I97</f>
        <v>264.23</v>
      </c>
      <c r="J104" t="s">
        <v>270</v>
      </c>
    </row>
    <row r="105" spans="1:18" ht="15" customHeight="1" x14ac:dyDescent="0.25">
      <c r="A105" s="13" t="s">
        <v>91</v>
      </c>
      <c r="B105" s="319" t="s">
        <v>18</v>
      </c>
      <c r="C105" s="307"/>
      <c r="D105" s="307"/>
      <c r="E105" s="307"/>
      <c r="F105" s="307"/>
      <c r="G105" s="307"/>
      <c r="H105" s="308"/>
      <c r="I105" s="14">
        <v>0</v>
      </c>
      <c r="J105" t="s">
        <v>269</v>
      </c>
    </row>
    <row r="106" spans="1:18" ht="15.75" customHeight="1" x14ac:dyDescent="0.25">
      <c r="A106" s="381" t="s">
        <v>61</v>
      </c>
      <c r="B106" s="307"/>
      <c r="C106" s="307"/>
      <c r="D106" s="307"/>
      <c r="E106" s="307"/>
      <c r="F106" s="307"/>
      <c r="G106" s="307"/>
      <c r="H106" s="308"/>
      <c r="I106" s="22">
        <f>SUM(I100:I105)</f>
        <v>1007.0500000000001</v>
      </c>
    </row>
    <row r="107" spans="1:18" ht="15.75" customHeight="1" x14ac:dyDescent="0.25">
      <c r="A107" s="306" t="s">
        <v>92</v>
      </c>
      <c r="B107" s="307"/>
      <c r="C107" s="307"/>
      <c r="D107" s="307"/>
      <c r="E107" s="307"/>
      <c r="F107" s="307"/>
      <c r="G107" s="307"/>
      <c r="H107" s="307"/>
      <c r="I107" s="308"/>
    </row>
    <row r="108" spans="1:18" ht="15.75" customHeight="1" x14ac:dyDescent="0.25">
      <c r="A108" s="11">
        <v>5</v>
      </c>
      <c r="B108" s="385" t="s">
        <v>93</v>
      </c>
      <c r="C108" s="307"/>
      <c r="D108" s="307"/>
      <c r="E108" s="307"/>
      <c r="F108" s="307"/>
      <c r="G108" s="308"/>
      <c r="H108" s="11" t="s">
        <v>16</v>
      </c>
      <c r="I108" s="43" t="s">
        <v>23</v>
      </c>
    </row>
    <row r="109" spans="1:18" ht="40.5" customHeight="1" x14ac:dyDescent="0.25">
      <c r="A109" s="387" t="s">
        <v>94</v>
      </c>
      <c r="B109" s="307"/>
      <c r="C109" s="307"/>
      <c r="D109" s="307"/>
      <c r="E109" s="307"/>
      <c r="F109" s="307"/>
      <c r="G109" s="308"/>
      <c r="H109" s="44" t="s">
        <v>25</v>
      </c>
      <c r="I109" s="45">
        <f>SUM(I25+I37+I47+I106)</f>
        <v>3236.4783333333335</v>
      </c>
      <c r="J109" t="s">
        <v>270</v>
      </c>
    </row>
    <row r="110" spans="1:18" ht="15.75" customHeight="1" x14ac:dyDescent="0.25">
      <c r="A110" s="13" t="s">
        <v>1</v>
      </c>
      <c r="B110" s="388" t="s">
        <v>95</v>
      </c>
      <c r="C110" s="307"/>
      <c r="D110" s="307"/>
      <c r="E110" s="307"/>
      <c r="F110" s="307"/>
      <c r="G110" s="308"/>
      <c r="H110" s="26">
        <v>1E-4</v>
      </c>
      <c r="I110" s="14">
        <f>ROUND(H110*I109,2)</f>
        <v>0.32</v>
      </c>
      <c r="J110" t="s">
        <v>270</v>
      </c>
      <c r="K110" s="130" t="s">
        <v>274</v>
      </c>
    </row>
    <row r="111" spans="1:18" ht="39.75" customHeight="1" x14ac:dyDescent="0.25">
      <c r="A111" s="387" t="s">
        <v>96</v>
      </c>
      <c r="B111" s="307"/>
      <c r="C111" s="307"/>
      <c r="D111" s="307"/>
      <c r="E111" s="307"/>
      <c r="F111" s="307"/>
      <c r="G111" s="308"/>
      <c r="H111" s="46" t="s">
        <v>25</v>
      </c>
      <c r="I111" s="45">
        <f>SUM(I25+I37+I47+I106+I110)</f>
        <v>3236.7983333333336</v>
      </c>
      <c r="J111" t="s">
        <v>270</v>
      </c>
    </row>
    <row r="112" spans="1:18" ht="15.75" customHeight="1" x14ac:dyDescent="0.25">
      <c r="A112" s="13" t="s">
        <v>3</v>
      </c>
      <c r="B112" s="388" t="s">
        <v>97</v>
      </c>
      <c r="C112" s="307"/>
      <c r="D112" s="307"/>
      <c r="E112" s="307"/>
      <c r="F112" s="307"/>
      <c r="G112" s="308"/>
      <c r="H112" s="26">
        <v>2.23E-4</v>
      </c>
      <c r="I112" s="14">
        <f>ROUND(H112*I111,2)</f>
        <v>0.72</v>
      </c>
      <c r="J112" t="s">
        <v>270</v>
      </c>
      <c r="K112" s="130" t="s">
        <v>274</v>
      </c>
      <c r="R112" s="136"/>
    </row>
    <row r="113" spans="1:16" ht="15" customHeight="1" x14ac:dyDescent="0.25">
      <c r="A113" s="389" t="s">
        <v>98</v>
      </c>
      <c r="B113" s="307"/>
      <c r="C113" s="307"/>
      <c r="D113" s="307"/>
      <c r="E113" s="307"/>
      <c r="F113" s="307"/>
      <c r="G113" s="308"/>
      <c r="H113" s="46" t="s">
        <v>25</v>
      </c>
      <c r="I113" s="45">
        <f>SUM(I25+I37+I47+I106+I110+I112)</f>
        <v>3237.5183333333334</v>
      </c>
    </row>
    <row r="114" spans="1:16" ht="15.75" customHeight="1" x14ac:dyDescent="0.25">
      <c r="A114" s="13" t="s">
        <v>5</v>
      </c>
      <c r="B114" s="388" t="s">
        <v>99</v>
      </c>
      <c r="C114" s="307"/>
      <c r="D114" s="307"/>
      <c r="E114" s="307"/>
      <c r="F114" s="307"/>
      <c r="G114" s="308"/>
      <c r="H114" s="47" t="s">
        <v>25</v>
      </c>
      <c r="I114" s="16" t="s">
        <v>25</v>
      </c>
    </row>
    <row r="115" spans="1:16" ht="15.75" customHeight="1" x14ac:dyDescent="0.25">
      <c r="A115" s="13"/>
      <c r="B115" s="388" t="s">
        <v>100</v>
      </c>
      <c r="C115" s="307"/>
      <c r="D115" s="307"/>
      <c r="E115" s="307"/>
      <c r="F115" s="307"/>
      <c r="G115" s="308"/>
      <c r="H115" s="47" t="s">
        <v>25</v>
      </c>
      <c r="I115" s="16" t="s">
        <v>25</v>
      </c>
    </row>
    <row r="116" spans="1:16" ht="15" customHeight="1" x14ac:dyDescent="0.25">
      <c r="A116" s="13"/>
      <c r="B116" s="386" t="s">
        <v>142</v>
      </c>
      <c r="C116" s="307"/>
      <c r="D116" s="307"/>
      <c r="E116" s="307"/>
      <c r="F116" s="307"/>
      <c r="G116" s="308"/>
      <c r="H116" s="48">
        <v>1.2699999999999999E-2</v>
      </c>
      <c r="I116" s="14">
        <f>ROUND(($I$113/(1-$H$123))*H116,2)</f>
        <v>42.84</v>
      </c>
      <c r="J116" s="132" t="s">
        <v>275</v>
      </c>
      <c r="K116" s="116" t="s">
        <v>255</v>
      </c>
      <c r="L116" s="116" t="s">
        <v>255</v>
      </c>
      <c r="M116" s="116" t="s">
        <v>256</v>
      </c>
      <c r="N116" s="116" t="s">
        <v>257</v>
      </c>
      <c r="O116" s="116" t="s">
        <v>258</v>
      </c>
      <c r="P116" s="116" t="s">
        <v>259</v>
      </c>
    </row>
    <row r="117" spans="1:16" ht="15" customHeight="1" x14ac:dyDescent="0.25">
      <c r="A117" s="13"/>
      <c r="B117" s="386" t="s">
        <v>143</v>
      </c>
      <c r="C117" s="307"/>
      <c r="D117" s="307"/>
      <c r="E117" s="307"/>
      <c r="F117" s="307"/>
      <c r="G117" s="308"/>
      <c r="H117" s="48">
        <v>2.8E-3</v>
      </c>
      <c r="I117" s="14">
        <f>ROUND(($I$113/(1-$H$123))*H117,2)</f>
        <v>9.44</v>
      </c>
      <c r="J117" s="132" t="s">
        <v>275</v>
      </c>
      <c r="K117" s="117">
        <v>4.4499999999999998E-2</v>
      </c>
      <c r="L117" s="117">
        <v>4.4499999999999998E-2</v>
      </c>
      <c r="M117" s="117">
        <v>0.20549999999999999</v>
      </c>
      <c r="N117" s="117">
        <v>0.4</v>
      </c>
      <c r="O117" s="117">
        <v>0.152</v>
      </c>
      <c r="P117" s="117">
        <v>0.19800000000000001</v>
      </c>
    </row>
    <row r="118" spans="1:16" ht="15" customHeight="1" x14ac:dyDescent="0.25">
      <c r="A118" s="13"/>
      <c r="B118" s="319" t="s">
        <v>101</v>
      </c>
      <c r="C118" s="307"/>
      <c r="D118" s="307"/>
      <c r="E118" s="307"/>
      <c r="F118" s="307"/>
      <c r="G118" s="307"/>
      <c r="H118" s="49" t="s">
        <v>25</v>
      </c>
      <c r="I118" s="16" t="s">
        <v>25</v>
      </c>
      <c r="K118" s="117">
        <v>6.1800000000000001E-2</v>
      </c>
      <c r="L118" s="117">
        <v>6.1800000000000001E-2</v>
      </c>
      <c r="M118" s="117">
        <v>6.1800000000000001E-2</v>
      </c>
      <c r="N118" s="117">
        <v>6.1800000000000001E-2</v>
      </c>
      <c r="O118" s="117">
        <v>6.1800000000000001E-2</v>
      </c>
      <c r="P118" s="117">
        <v>6.1800000000000001E-2</v>
      </c>
    </row>
    <row r="119" spans="1:16" ht="15" customHeight="1" x14ac:dyDescent="0.25">
      <c r="A119" s="13"/>
      <c r="B119" s="319" t="s">
        <v>102</v>
      </c>
      <c r="C119" s="307"/>
      <c r="D119" s="307"/>
      <c r="E119" s="307"/>
      <c r="F119" s="307"/>
      <c r="G119" s="307"/>
      <c r="H119" s="49" t="s">
        <v>25</v>
      </c>
      <c r="I119" s="16" t="s">
        <v>25</v>
      </c>
      <c r="K119" s="118"/>
      <c r="L119" s="118"/>
      <c r="M119" s="118"/>
      <c r="N119" s="118"/>
      <c r="O119" s="118"/>
      <c r="P119" s="118"/>
    </row>
    <row r="120" spans="1:16" ht="15" customHeight="1" x14ac:dyDescent="0.25">
      <c r="A120" s="13"/>
      <c r="B120" s="386" t="s">
        <v>144</v>
      </c>
      <c r="C120" s="307"/>
      <c r="D120" s="307"/>
      <c r="E120" s="307"/>
      <c r="F120" s="307"/>
      <c r="G120" s="308"/>
      <c r="H120" s="48">
        <v>2.47E-2</v>
      </c>
      <c r="I120" s="14">
        <f>ROUND(($I$113/(1-$H$123))*H120,2)</f>
        <v>83.32</v>
      </c>
      <c r="J120" s="132" t="s">
        <v>275</v>
      </c>
      <c r="K120" s="117">
        <f t="shared" ref="K120:P120" si="1">K117*K118</f>
        <v>2.7501000000000001E-3</v>
      </c>
      <c r="L120" s="117">
        <f t="shared" si="1"/>
        <v>2.7501000000000001E-3</v>
      </c>
      <c r="M120" s="117">
        <f t="shared" si="1"/>
        <v>1.26999E-2</v>
      </c>
      <c r="N120" s="117">
        <f t="shared" si="1"/>
        <v>2.4720000000000002E-2</v>
      </c>
      <c r="O120" s="117">
        <f t="shared" si="1"/>
        <v>9.3936000000000002E-3</v>
      </c>
      <c r="P120" s="117">
        <f t="shared" si="1"/>
        <v>1.2236400000000001E-2</v>
      </c>
    </row>
    <row r="121" spans="1:16" ht="15.75" customHeight="1" x14ac:dyDescent="0.25">
      <c r="A121" s="381" t="s">
        <v>61</v>
      </c>
      <c r="B121" s="307"/>
      <c r="C121" s="307"/>
      <c r="D121" s="307"/>
      <c r="E121" s="307"/>
      <c r="F121" s="307"/>
      <c r="G121" s="307"/>
      <c r="H121" s="308"/>
      <c r="I121" s="22">
        <f>SUM(I110+I112+I116+I117+I120)</f>
        <v>136.63999999999999</v>
      </c>
      <c r="J121" s="23" t="s">
        <v>270</v>
      </c>
    </row>
    <row r="122" spans="1:16" ht="15.75" customHeight="1" x14ac:dyDescent="0.25">
      <c r="A122" s="382"/>
      <c r="B122" s="307"/>
      <c r="C122" s="307"/>
      <c r="D122" s="307"/>
      <c r="E122" s="307"/>
      <c r="F122" s="307"/>
      <c r="G122" s="307"/>
      <c r="H122" s="307"/>
      <c r="I122" s="308"/>
    </row>
    <row r="123" spans="1:16" ht="15" customHeight="1" x14ac:dyDescent="0.25">
      <c r="A123" s="319" t="s">
        <v>103</v>
      </c>
      <c r="B123" s="307"/>
      <c r="C123" s="307"/>
      <c r="D123" s="307"/>
      <c r="E123" s="307"/>
      <c r="F123" s="307"/>
      <c r="G123" s="308"/>
      <c r="H123" s="28">
        <f>SUM(H116:H120)</f>
        <v>4.02E-2</v>
      </c>
      <c r="I123" s="14">
        <f>SUM(I116:I120)</f>
        <v>135.6</v>
      </c>
      <c r="J123" t="s">
        <v>270</v>
      </c>
      <c r="K123" s="14"/>
    </row>
    <row r="124" spans="1:16" ht="15.75" customHeight="1" x14ac:dyDescent="0.25">
      <c r="A124" s="390" t="s">
        <v>104</v>
      </c>
      <c r="B124" s="391"/>
      <c r="C124" s="395" t="s">
        <v>105</v>
      </c>
      <c r="D124" s="391"/>
      <c r="E124" s="391"/>
      <c r="F124" s="391"/>
      <c r="G124" s="391"/>
      <c r="H124" s="391"/>
      <c r="I124" s="391"/>
      <c r="O124" s="134"/>
    </row>
    <row r="125" spans="1:16" ht="15.75" customHeight="1" x14ac:dyDescent="0.25">
      <c r="A125" s="392"/>
      <c r="B125" s="391"/>
      <c r="C125" s="396" t="s">
        <v>106</v>
      </c>
      <c r="D125" s="391"/>
      <c r="E125" s="391"/>
      <c r="F125" s="391"/>
      <c r="G125" s="391"/>
      <c r="H125" s="391"/>
      <c r="I125" s="391"/>
      <c r="O125" s="134"/>
    </row>
    <row r="126" spans="1:16" ht="15.75" customHeight="1" x14ac:dyDescent="0.25">
      <c r="A126" s="393"/>
      <c r="B126" s="394"/>
      <c r="C126" s="397" t="s">
        <v>107</v>
      </c>
      <c r="D126" s="394"/>
      <c r="E126" s="394"/>
      <c r="F126" s="394"/>
      <c r="G126" s="394"/>
      <c r="H126" s="394"/>
      <c r="I126" s="394"/>
    </row>
    <row r="127" spans="1:16" ht="15.75" customHeight="1" x14ac:dyDescent="0.25">
      <c r="A127" s="382"/>
      <c r="B127" s="307"/>
      <c r="C127" s="307"/>
      <c r="D127" s="307"/>
      <c r="E127" s="307"/>
      <c r="F127" s="307"/>
      <c r="G127" s="307"/>
      <c r="H127" s="307"/>
      <c r="I127" s="308"/>
      <c r="O127" s="134"/>
    </row>
    <row r="128" spans="1:16" ht="28.5" customHeight="1" x14ac:dyDescent="0.25">
      <c r="A128" s="319" t="s">
        <v>108</v>
      </c>
      <c r="B128" s="307"/>
      <c r="C128" s="307"/>
      <c r="D128" s="307"/>
      <c r="E128" s="307"/>
      <c r="F128" s="307"/>
      <c r="G128" s="307"/>
      <c r="H128" s="307"/>
      <c r="I128" s="308"/>
      <c r="O128" s="134"/>
    </row>
    <row r="129" spans="1:18" ht="15.75" customHeight="1" x14ac:dyDescent="0.25">
      <c r="A129" s="382"/>
      <c r="B129" s="307"/>
      <c r="C129" s="307"/>
      <c r="D129" s="307"/>
      <c r="E129" s="307"/>
      <c r="F129" s="307"/>
      <c r="G129" s="307"/>
      <c r="H129" s="307"/>
      <c r="I129" s="308"/>
    </row>
    <row r="130" spans="1:18" ht="15" customHeight="1" x14ac:dyDescent="0.25">
      <c r="A130" s="398" t="s">
        <v>145</v>
      </c>
      <c r="B130" s="307"/>
      <c r="C130" s="307"/>
      <c r="D130" s="307"/>
      <c r="E130" s="307"/>
      <c r="F130" s="307"/>
      <c r="G130" s="307"/>
      <c r="H130" s="307"/>
      <c r="I130" s="308"/>
    </row>
    <row r="131" spans="1:18" ht="15" customHeight="1" x14ac:dyDescent="0.25">
      <c r="A131" s="379" t="s">
        <v>109</v>
      </c>
      <c r="B131" s="307"/>
      <c r="C131" s="307"/>
      <c r="D131" s="307"/>
      <c r="E131" s="307"/>
      <c r="F131" s="307"/>
      <c r="G131" s="307"/>
      <c r="H131" s="307"/>
      <c r="I131" s="50" t="s">
        <v>23</v>
      </c>
      <c r="O131" s="136"/>
    </row>
    <row r="132" spans="1:18" ht="15" customHeight="1" x14ac:dyDescent="0.25">
      <c r="A132" s="51" t="s">
        <v>1</v>
      </c>
      <c r="B132" s="337" t="s">
        <v>110</v>
      </c>
      <c r="C132" s="307"/>
      <c r="D132" s="307"/>
      <c r="E132" s="307"/>
      <c r="F132" s="307"/>
      <c r="G132" s="307"/>
      <c r="H132" s="307"/>
      <c r="I132" s="20">
        <f>I25</f>
        <v>1508.0900000000001</v>
      </c>
      <c r="J132" t="s">
        <v>270</v>
      </c>
    </row>
    <row r="133" spans="1:18" ht="15" customHeight="1" x14ac:dyDescent="0.25">
      <c r="A133" s="51" t="s">
        <v>3</v>
      </c>
      <c r="B133" s="337" t="s">
        <v>111</v>
      </c>
      <c r="C133" s="307"/>
      <c r="D133" s="307"/>
      <c r="E133" s="307"/>
      <c r="F133" s="307"/>
      <c r="G133" s="307"/>
      <c r="H133" s="307"/>
      <c r="I133" s="20">
        <f>I37</f>
        <v>516.77</v>
      </c>
      <c r="J133" t="s">
        <v>270</v>
      </c>
    </row>
    <row r="134" spans="1:18" ht="15" customHeight="1" x14ac:dyDescent="0.25">
      <c r="A134" s="51" t="s">
        <v>5</v>
      </c>
      <c r="B134" s="337" t="s">
        <v>112</v>
      </c>
      <c r="C134" s="307"/>
      <c r="D134" s="307"/>
      <c r="E134" s="307"/>
      <c r="F134" s="307"/>
      <c r="G134" s="307"/>
      <c r="H134" s="307"/>
      <c r="I134" s="20">
        <f>I47</f>
        <v>204.56833333333333</v>
      </c>
      <c r="J134" t="s">
        <v>270</v>
      </c>
    </row>
    <row r="135" spans="1:18" ht="15" customHeight="1" x14ac:dyDescent="0.25">
      <c r="A135" s="51" t="s">
        <v>6</v>
      </c>
      <c r="B135" s="337" t="s">
        <v>85</v>
      </c>
      <c r="C135" s="307"/>
      <c r="D135" s="307"/>
      <c r="E135" s="307"/>
      <c r="F135" s="307"/>
      <c r="G135" s="307"/>
      <c r="H135" s="307"/>
      <c r="I135" s="20">
        <f>I106</f>
        <v>1007.0500000000001</v>
      </c>
      <c r="J135" t="s">
        <v>270</v>
      </c>
    </row>
    <row r="136" spans="1:18" ht="15" customHeight="1" x14ac:dyDescent="0.25">
      <c r="A136" s="399" t="s">
        <v>113</v>
      </c>
      <c r="B136" s="307"/>
      <c r="C136" s="307"/>
      <c r="D136" s="307"/>
      <c r="E136" s="307"/>
      <c r="F136" s="307"/>
      <c r="G136" s="307"/>
      <c r="H136" s="307"/>
      <c r="I136" s="24">
        <f>SUM(I132:I135)+0.01</f>
        <v>3236.4883333333337</v>
      </c>
      <c r="J136" t="s">
        <v>270</v>
      </c>
    </row>
    <row r="137" spans="1:18" ht="15" customHeight="1" x14ac:dyDescent="0.25">
      <c r="A137" s="51" t="s">
        <v>31</v>
      </c>
      <c r="B137" s="337" t="s">
        <v>114</v>
      </c>
      <c r="C137" s="307"/>
      <c r="D137" s="307"/>
      <c r="E137" s="307"/>
      <c r="F137" s="307"/>
      <c r="G137" s="307"/>
      <c r="H137" s="307"/>
      <c r="I137" s="20">
        <f>I121</f>
        <v>136.63999999999999</v>
      </c>
      <c r="J137" t="s">
        <v>270</v>
      </c>
    </row>
    <row r="138" spans="1:18" ht="15" customHeight="1" x14ac:dyDescent="0.25">
      <c r="A138" s="399" t="s">
        <v>115</v>
      </c>
      <c r="B138" s="307"/>
      <c r="C138" s="307"/>
      <c r="D138" s="307"/>
      <c r="E138" s="307"/>
      <c r="F138" s="307"/>
      <c r="G138" s="307"/>
      <c r="H138" s="307"/>
      <c r="I138" s="24">
        <f>SUM(I136:I137)</f>
        <v>3373.1283333333336</v>
      </c>
      <c r="J138" t="s">
        <v>270</v>
      </c>
    </row>
    <row r="139" spans="1:18" ht="15.75" customHeight="1" x14ac:dyDescent="0.25">
      <c r="A139" s="400"/>
      <c r="B139" s="307"/>
      <c r="C139" s="307"/>
      <c r="D139" s="307"/>
      <c r="E139" s="307"/>
      <c r="F139" s="307"/>
      <c r="G139" s="307"/>
      <c r="H139" s="307"/>
      <c r="I139" s="308"/>
    </row>
    <row r="140" spans="1:18" ht="15.75" customHeight="1" x14ac:dyDescent="0.25">
      <c r="A140" s="382"/>
      <c r="B140" s="307"/>
      <c r="C140" s="307"/>
      <c r="D140" s="307"/>
      <c r="E140" s="307"/>
      <c r="F140" s="307"/>
      <c r="G140" s="307"/>
      <c r="H140" s="307"/>
      <c r="I140" s="308"/>
    </row>
    <row r="141" spans="1:18" ht="18" customHeight="1" x14ac:dyDescent="0.25">
      <c r="A141" s="401" t="s">
        <v>116</v>
      </c>
      <c r="B141" s="307"/>
      <c r="C141" s="307"/>
      <c r="D141" s="307"/>
      <c r="E141" s="307"/>
      <c r="F141" s="308"/>
      <c r="G141" s="402">
        <f>+I138*H150</f>
        <v>16865.641666666666</v>
      </c>
      <c r="H141" s="307"/>
      <c r="I141" s="308"/>
      <c r="J141" t="s">
        <v>270</v>
      </c>
      <c r="Q141" s="134"/>
      <c r="R141" s="134"/>
    </row>
    <row r="142" spans="1:18" ht="15.75" customHeight="1" x14ac:dyDescent="0.25">
      <c r="A142" s="382"/>
      <c r="B142" s="307"/>
      <c r="C142" s="307"/>
      <c r="D142" s="307"/>
      <c r="E142" s="307"/>
      <c r="F142" s="307"/>
      <c r="G142" s="307"/>
      <c r="H142" s="307"/>
      <c r="I142" s="308"/>
    </row>
    <row r="143" spans="1:18" ht="18" customHeight="1" x14ac:dyDescent="0.25">
      <c r="A143" s="401" t="s">
        <v>117</v>
      </c>
      <c r="B143" s="307"/>
      <c r="C143" s="307"/>
      <c r="D143" s="307"/>
      <c r="E143" s="307"/>
      <c r="F143" s="308"/>
      <c r="G143" s="403">
        <f>H9</f>
        <v>12</v>
      </c>
      <c r="H143" s="307"/>
      <c r="I143" s="308"/>
      <c r="J143" t="s">
        <v>270</v>
      </c>
    </row>
    <row r="144" spans="1:18" ht="15.75" customHeight="1" x14ac:dyDescent="0.25">
      <c r="A144" s="382"/>
      <c r="B144" s="307"/>
      <c r="C144" s="307"/>
      <c r="D144" s="307"/>
      <c r="E144" s="307"/>
      <c r="F144" s="307"/>
      <c r="G144" s="307"/>
      <c r="H144" s="307"/>
      <c r="I144" s="308"/>
    </row>
    <row r="145" spans="1:10" ht="18" customHeight="1" x14ac:dyDescent="0.25">
      <c r="A145" s="401" t="s">
        <v>146</v>
      </c>
      <c r="B145" s="307"/>
      <c r="C145" s="307"/>
      <c r="D145" s="307"/>
      <c r="E145" s="307"/>
      <c r="F145" s="308"/>
      <c r="G145" s="404">
        <f>G141*G143</f>
        <v>202387.7</v>
      </c>
      <c r="H145" s="307"/>
      <c r="I145" s="308"/>
      <c r="J145" t="s">
        <v>270</v>
      </c>
    </row>
    <row r="146" spans="1:10" ht="15.75" customHeight="1" x14ac:dyDescent="0.25">
      <c r="A146" s="382"/>
      <c r="B146" s="307"/>
      <c r="C146" s="307"/>
      <c r="D146" s="307"/>
      <c r="E146" s="307"/>
      <c r="F146" s="307"/>
      <c r="G146" s="307"/>
      <c r="H146" s="307"/>
      <c r="I146" s="308"/>
    </row>
    <row r="147" spans="1:10" ht="15.75" customHeight="1" x14ac:dyDescent="0.25">
      <c r="A147" s="405" t="s">
        <v>118</v>
      </c>
      <c r="B147" s="307"/>
      <c r="C147" s="307"/>
      <c r="D147" s="307"/>
      <c r="E147" s="307"/>
      <c r="F147" s="307"/>
      <c r="G147" s="307"/>
      <c r="H147" s="307"/>
      <c r="I147" s="308"/>
    </row>
    <row r="148" spans="1:10" ht="15" customHeight="1" x14ac:dyDescent="0.25">
      <c r="A148" s="406" t="s">
        <v>119</v>
      </c>
      <c r="B148" s="407"/>
      <c r="C148" s="407"/>
      <c r="D148" s="407"/>
      <c r="E148" s="407"/>
      <c r="F148" s="407"/>
      <c r="G148" s="408"/>
      <c r="H148" s="410" t="s">
        <v>120</v>
      </c>
      <c r="I148" s="408"/>
    </row>
    <row r="149" spans="1:10" ht="15.75" customHeight="1" x14ac:dyDescent="0.25">
      <c r="A149" s="393"/>
      <c r="B149" s="394"/>
      <c r="C149" s="394"/>
      <c r="D149" s="394"/>
      <c r="E149" s="394"/>
      <c r="F149" s="394"/>
      <c r="G149" s="409"/>
      <c r="H149" s="393"/>
      <c r="I149" s="409"/>
    </row>
    <row r="150" spans="1:10" ht="15.75" customHeight="1" x14ac:dyDescent="0.25">
      <c r="A150" s="411" t="s">
        <v>278</v>
      </c>
      <c r="B150" s="307"/>
      <c r="C150" s="307"/>
      <c r="D150" s="307"/>
      <c r="E150" s="307"/>
      <c r="F150" s="307"/>
      <c r="G150" s="308"/>
      <c r="H150" s="411">
        <v>5</v>
      </c>
      <c r="I150" s="308"/>
      <c r="J150" s="130" t="s">
        <v>269</v>
      </c>
    </row>
    <row r="151" spans="1:10" ht="15.75" customHeight="1" x14ac:dyDescent="0.25">
      <c r="A151" s="412"/>
      <c r="B151" s="307"/>
      <c r="C151" s="307"/>
      <c r="D151" s="307"/>
      <c r="E151" s="307"/>
      <c r="F151" s="307"/>
      <c r="G151" s="308"/>
      <c r="H151" s="411"/>
      <c r="I151" s="308"/>
    </row>
    <row r="152" spans="1:10" ht="15.75" customHeight="1" x14ac:dyDescent="0.25">
      <c r="A152" s="414" t="s">
        <v>285</v>
      </c>
      <c r="B152" s="307"/>
      <c r="C152" s="307"/>
      <c r="D152" s="307"/>
      <c r="E152" s="307"/>
      <c r="F152" s="307"/>
      <c r="G152" s="307"/>
      <c r="H152" s="307"/>
      <c r="I152" s="308"/>
    </row>
    <row r="153" spans="1:10" ht="15.75" hidden="1" customHeight="1" x14ac:dyDescent="0.25">
      <c r="A153" s="415"/>
      <c r="B153" s="407"/>
      <c r="C153" s="407"/>
      <c r="D153" s="407"/>
      <c r="E153" s="407"/>
      <c r="F153" s="407"/>
      <c r="G153" s="407"/>
      <c r="H153" s="407"/>
      <c r="I153" s="408"/>
    </row>
    <row r="154" spans="1:10" ht="15.75" hidden="1" customHeight="1" x14ac:dyDescent="0.25">
      <c r="A154" s="393"/>
      <c r="B154" s="394"/>
      <c r="C154" s="394"/>
      <c r="D154" s="394"/>
      <c r="E154" s="394"/>
      <c r="F154" s="394"/>
      <c r="G154" s="394"/>
      <c r="H154" s="394"/>
      <c r="I154" s="409"/>
    </row>
    <row r="155" spans="1:10" ht="15.75" hidden="1" customHeight="1" x14ac:dyDescent="0.25">
      <c r="A155" s="416" t="s">
        <v>121</v>
      </c>
      <c r="B155" s="307"/>
      <c r="C155" s="307"/>
      <c r="D155" s="307"/>
      <c r="E155" s="307"/>
      <c r="F155" s="307"/>
      <c r="G155" s="307"/>
      <c r="H155" s="307"/>
      <c r="I155" s="307"/>
    </row>
    <row r="156" spans="1:10" ht="15" hidden="1" customHeight="1" x14ac:dyDescent="0.25">
      <c r="A156" s="417" t="s">
        <v>122</v>
      </c>
      <c r="B156" s="307"/>
      <c r="C156" s="307"/>
      <c r="D156" s="307"/>
      <c r="E156" s="307"/>
      <c r="F156" s="307"/>
      <c r="G156" s="308"/>
      <c r="H156" s="417" t="s">
        <v>123</v>
      </c>
      <c r="I156" s="308"/>
    </row>
    <row r="157" spans="1:10" ht="15.75" hidden="1" customHeight="1" x14ac:dyDescent="0.25">
      <c r="A157" s="418"/>
      <c r="B157" s="307"/>
      <c r="C157" s="307"/>
      <c r="D157" s="307"/>
      <c r="E157" s="307"/>
      <c r="F157" s="307"/>
      <c r="G157" s="308"/>
      <c r="H157" s="329"/>
      <c r="I157" s="308"/>
    </row>
    <row r="158" spans="1:10" ht="15.75" hidden="1" customHeight="1" x14ac:dyDescent="0.25">
      <c r="A158" s="413"/>
      <c r="B158" s="307"/>
      <c r="C158" s="307"/>
      <c r="D158" s="307"/>
      <c r="E158" s="307"/>
      <c r="F158" s="307"/>
      <c r="G158" s="308"/>
      <c r="H158" s="329"/>
      <c r="I158" s="308"/>
    </row>
    <row r="159" spans="1:10" ht="15.75" hidden="1" customHeight="1" x14ac:dyDescent="0.25">
      <c r="A159" s="414"/>
      <c r="B159" s="307"/>
      <c r="C159" s="307"/>
      <c r="D159" s="307"/>
      <c r="E159" s="307"/>
      <c r="F159" s="307"/>
      <c r="G159" s="308"/>
      <c r="H159" s="329"/>
      <c r="I159" s="308"/>
    </row>
  </sheetData>
  <mergeCells count="178">
    <mergeCell ref="A86:H86"/>
    <mergeCell ref="A87:I87"/>
    <mergeCell ref="B88:H88"/>
    <mergeCell ref="B89:H89"/>
    <mergeCell ref="B90:H90"/>
    <mergeCell ref="B91:H91"/>
    <mergeCell ref="B92:H92"/>
    <mergeCell ref="B93:H93"/>
    <mergeCell ref="B94:H94"/>
    <mergeCell ref="A77:H77"/>
    <mergeCell ref="A78:I78"/>
    <mergeCell ref="B79:H79"/>
    <mergeCell ref="B80:H80"/>
    <mergeCell ref="B81:H81"/>
    <mergeCell ref="B82:H82"/>
    <mergeCell ref="B83:H83"/>
    <mergeCell ref="B84:H84"/>
    <mergeCell ref="B85:H85"/>
    <mergeCell ref="B68:H68"/>
    <mergeCell ref="A69:H69"/>
    <mergeCell ref="B70:H70"/>
    <mergeCell ref="A71:H71"/>
    <mergeCell ref="A72:I72"/>
    <mergeCell ref="A73:I73"/>
    <mergeCell ref="B74:H74"/>
    <mergeCell ref="B75:H75"/>
    <mergeCell ref="B76:H76"/>
    <mergeCell ref="A151:G151"/>
    <mergeCell ref="H151:I151"/>
    <mergeCell ref="A158:G158"/>
    <mergeCell ref="H158:I158"/>
    <mergeCell ref="A159:G159"/>
    <mergeCell ref="H159:I159"/>
    <mergeCell ref="A152:I152"/>
    <mergeCell ref="A153:I154"/>
    <mergeCell ref="A155:I155"/>
    <mergeCell ref="A156:G156"/>
    <mergeCell ref="H156:I156"/>
    <mergeCell ref="A157:G157"/>
    <mergeCell ref="H157:I157"/>
    <mergeCell ref="A144:I144"/>
    <mergeCell ref="A145:F145"/>
    <mergeCell ref="G145:I145"/>
    <mergeCell ref="A146:I146"/>
    <mergeCell ref="A147:I147"/>
    <mergeCell ref="A148:G149"/>
    <mergeCell ref="H148:I149"/>
    <mergeCell ref="A150:G150"/>
    <mergeCell ref="H150:I150"/>
    <mergeCell ref="A136:H136"/>
    <mergeCell ref="B137:H137"/>
    <mergeCell ref="A138:H138"/>
    <mergeCell ref="A139:I139"/>
    <mergeCell ref="A140:I140"/>
    <mergeCell ref="A141:F141"/>
    <mergeCell ref="G141:I141"/>
    <mergeCell ref="A142:I142"/>
    <mergeCell ref="A143:F143"/>
    <mergeCell ref="G143:I143"/>
    <mergeCell ref="A127:I127"/>
    <mergeCell ref="A128:I128"/>
    <mergeCell ref="A129:I129"/>
    <mergeCell ref="A130:I130"/>
    <mergeCell ref="A131:H131"/>
    <mergeCell ref="B132:H132"/>
    <mergeCell ref="B133:H133"/>
    <mergeCell ref="B134:H134"/>
    <mergeCell ref="B135:H135"/>
    <mergeCell ref="B117:G117"/>
    <mergeCell ref="B118:G118"/>
    <mergeCell ref="B119:G119"/>
    <mergeCell ref="B120:G120"/>
    <mergeCell ref="A121:H121"/>
    <mergeCell ref="A122:I122"/>
    <mergeCell ref="A123:G123"/>
    <mergeCell ref="A124:B126"/>
    <mergeCell ref="C124:I124"/>
    <mergeCell ref="C125:I125"/>
    <mergeCell ref="C126:I126"/>
    <mergeCell ref="B101:H101"/>
    <mergeCell ref="B102:H102"/>
    <mergeCell ref="B103:H103"/>
    <mergeCell ref="B104:H104"/>
    <mergeCell ref="B105:H105"/>
    <mergeCell ref="A106:H106"/>
    <mergeCell ref="A107:I107"/>
    <mergeCell ref="B108:G108"/>
    <mergeCell ref="B116:G116"/>
    <mergeCell ref="A109:G109"/>
    <mergeCell ref="B110:G110"/>
    <mergeCell ref="A111:G111"/>
    <mergeCell ref="B112:G112"/>
    <mergeCell ref="A113:G113"/>
    <mergeCell ref="B114:G114"/>
    <mergeCell ref="B115:G115"/>
    <mergeCell ref="A50:I50"/>
    <mergeCell ref="A51:I51"/>
    <mergeCell ref="A52:I52"/>
    <mergeCell ref="A95:H95"/>
    <mergeCell ref="B96:H96"/>
    <mergeCell ref="A97:H97"/>
    <mergeCell ref="A98:I98"/>
    <mergeCell ref="B99:H99"/>
    <mergeCell ref="B100:H100"/>
    <mergeCell ref="B53:G53"/>
    <mergeCell ref="B54:G54"/>
    <mergeCell ref="B55:G55"/>
    <mergeCell ref="B56:G56"/>
    <mergeCell ref="B57:G57"/>
    <mergeCell ref="B58:G58"/>
    <mergeCell ref="B59:G59"/>
    <mergeCell ref="B60:C60"/>
    <mergeCell ref="B61:G61"/>
    <mergeCell ref="A62:G62"/>
    <mergeCell ref="A63:I63"/>
    <mergeCell ref="A64:I64"/>
    <mergeCell ref="A65:I65"/>
    <mergeCell ref="A66:I66"/>
    <mergeCell ref="B67:H67"/>
    <mergeCell ref="B27:G27"/>
    <mergeCell ref="B28:H28"/>
    <mergeCell ref="B29:G29"/>
    <mergeCell ref="B30:G30"/>
    <mergeCell ref="B31:H31"/>
    <mergeCell ref="B46:G46"/>
    <mergeCell ref="A47:H47"/>
    <mergeCell ref="A48:I48"/>
    <mergeCell ref="A49:I49"/>
    <mergeCell ref="A41:I41"/>
    <mergeCell ref="B42:G42"/>
    <mergeCell ref="B43:G43"/>
    <mergeCell ref="B44:G44"/>
    <mergeCell ref="B45:G45"/>
    <mergeCell ref="B32:G32"/>
    <mergeCell ref="B33:G33"/>
    <mergeCell ref="B34:G34"/>
    <mergeCell ref="B35:G35"/>
    <mergeCell ref="B36:G36"/>
    <mergeCell ref="B37:H37"/>
    <mergeCell ref="A38:I38"/>
    <mergeCell ref="A39:I39"/>
    <mergeCell ref="A40:I40"/>
    <mergeCell ref="A18:I18"/>
    <mergeCell ref="A19:I19"/>
    <mergeCell ref="A20:I20"/>
    <mergeCell ref="B21:D21"/>
    <mergeCell ref="B22:D22"/>
    <mergeCell ref="B23:G23"/>
    <mergeCell ref="B24:H24"/>
    <mergeCell ref="A25:H25"/>
    <mergeCell ref="A26:I26"/>
    <mergeCell ref="B13:G13"/>
    <mergeCell ref="H13:I13"/>
    <mergeCell ref="B14:G14"/>
    <mergeCell ref="H14:I14"/>
    <mergeCell ref="B15:G15"/>
    <mergeCell ref="H15:I15"/>
    <mergeCell ref="B16:G16"/>
    <mergeCell ref="H16:I16"/>
    <mergeCell ref="A17:I17"/>
    <mergeCell ref="A1:I1"/>
    <mergeCell ref="A2:E2"/>
    <mergeCell ref="F2:I2"/>
    <mergeCell ref="A3:E3"/>
    <mergeCell ref="F3:I3"/>
    <mergeCell ref="A4:I4"/>
    <mergeCell ref="A5:I5"/>
    <mergeCell ref="B6:G6"/>
    <mergeCell ref="H6:I6"/>
    <mergeCell ref="B7:G7"/>
    <mergeCell ref="H7:I7"/>
    <mergeCell ref="B8:G8"/>
    <mergeCell ref="H8:I8"/>
    <mergeCell ref="B9:G9"/>
    <mergeCell ref="H9:I9"/>
    <mergeCell ref="A10:I10"/>
    <mergeCell ref="A11:I11"/>
    <mergeCell ref="A12:I12"/>
  </mergeCells>
  <pageMargins left="0.51180555555555496" right="0.51180555555555496" top="0.78749999999999998" bottom="0.78749999999999998" header="0" footer="0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Z32"/>
  <sheetViews>
    <sheetView workbookViewId="0">
      <selection activeCell="J5" sqref="J5"/>
    </sheetView>
  </sheetViews>
  <sheetFormatPr defaultColWidth="14.42578125" defaultRowHeight="15" customHeight="1" x14ac:dyDescent="0.25"/>
  <cols>
    <col min="1" max="1" width="6.28515625" customWidth="1"/>
    <col min="2" max="2" width="24.42578125" customWidth="1"/>
    <col min="3" max="3" width="9.28515625" customWidth="1"/>
    <col min="4" max="4" width="8.7109375" customWidth="1"/>
    <col min="5" max="5" width="16.85546875" customWidth="1"/>
    <col min="6" max="6" width="16.5703125" customWidth="1"/>
    <col min="7" max="7" width="17.7109375" customWidth="1"/>
    <col min="8" max="8" width="17.28515625" customWidth="1"/>
    <col min="9" max="9" width="18.140625" customWidth="1"/>
    <col min="10" max="10" width="19.85546875" customWidth="1"/>
    <col min="11" max="11" width="15.85546875" bestFit="1" customWidth="1"/>
    <col min="12" max="13" width="14.28515625" bestFit="1" customWidth="1"/>
    <col min="14" max="26" width="8.7109375" customWidth="1"/>
  </cols>
  <sheetData>
    <row r="2" spans="1:26" ht="15.75" customHeight="1" x14ac:dyDescent="0.25">
      <c r="A2" s="432" t="s">
        <v>147</v>
      </c>
      <c r="B2" s="433"/>
      <c r="C2" s="433"/>
      <c r="D2" s="433"/>
      <c r="E2" s="433"/>
      <c r="F2" s="433"/>
      <c r="G2" s="433"/>
      <c r="H2" s="43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</row>
    <row r="3" spans="1:26" ht="15.75" customHeight="1" x14ac:dyDescent="0.25">
      <c r="A3" s="435" t="s">
        <v>148</v>
      </c>
      <c r="B3" s="391"/>
      <c r="C3" s="391"/>
      <c r="D3" s="391"/>
      <c r="E3" s="391"/>
      <c r="F3" s="391"/>
      <c r="G3" s="391"/>
      <c r="H3" s="436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</row>
    <row r="4" spans="1:26" ht="15.75" customHeight="1" x14ac:dyDescent="0.25">
      <c r="A4" s="437" t="s">
        <v>284</v>
      </c>
      <c r="B4" s="391"/>
      <c r="C4" s="391"/>
      <c r="D4" s="391"/>
      <c r="E4" s="391"/>
      <c r="F4" s="391"/>
      <c r="G4" s="391"/>
      <c r="H4" s="436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</row>
    <row r="5" spans="1:26" ht="15.75" customHeight="1" x14ac:dyDescent="0.25">
      <c r="A5" s="438" t="s">
        <v>289</v>
      </c>
      <c r="B5" s="439"/>
      <c r="C5" s="439"/>
      <c r="D5" s="439"/>
      <c r="E5" s="439"/>
      <c r="F5" s="439"/>
      <c r="G5" s="439"/>
      <c r="H5" s="440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</row>
    <row r="6" spans="1:26" ht="48.75" customHeight="1" x14ac:dyDescent="0.25">
      <c r="A6" s="441"/>
      <c r="B6" s="442"/>
      <c r="C6" s="55" t="s">
        <v>149</v>
      </c>
      <c r="D6" s="56" t="s">
        <v>150</v>
      </c>
      <c r="E6" s="57" t="s">
        <v>151</v>
      </c>
      <c r="F6" s="57" t="s">
        <v>152</v>
      </c>
      <c r="G6" s="57" t="s">
        <v>153</v>
      </c>
      <c r="H6" s="57" t="s">
        <v>154</v>
      </c>
      <c r="I6" s="57" t="s">
        <v>155</v>
      </c>
      <c r="J6" s="57" t="s">
        <v>156</v>
      </c>
      <c r="K6" s="58" t="s">
        <v>157</v>
      </c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</row>
    <row r="7" spans="1:26" ht="15.75" customHeight="1" x14ac:dyDescent="0.25">
      <c r="A7" s="445" t="s">
        <v>265</v>
      </c>
      <c r="B7" s="408"/>
      <c r="C7" s="427" t="s">
        <v>158</v>
      </c>
      <c r="D7" s="427">
        <f>'auxiliar de limpeza - 40hs'!F22</f>
        <v>1</v>
      </c>
      <c r="E7" s="422">
        <f>+'auxiliar de limpeza - 40hs'!I132</f>
        <v>1508.0900000000001</v>
      </c>
      <c r="F7" s="422">
        <f>+'auxiliar de limpeza - 40hs'!I133</f>
        <v>516.77</v>
      </c>
      <c r="G7" s="422">
        <f>+'auxiliar de limpeza - 40hs'!I134</f>
        <v>204.56833333333333</v>
      </c>
      <c r="H7" s="422">
        <f>+'auxiliar de limpeza - 40hs'!I135</f>
        <v>1007.0500000000001</v>
      </c>
      <c r="I7" s="422">
        <f>+'auxiliar de limpeza - 40hs'!I137</f>
        <v>136.63999999999999</v>
      </c>
      <c r="J7" s="422">
        <f>(+I7+H7+G7+F7+E7)/D7</f>
        <v>3373.1183333333338</v>
      </c>
      <c r="K7" s="443">
        <f>+J7*D7</f>
        <v>3373.1183333333338</v>
      </c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</row>
    <row r="8" spans="1:26" ht="15.75" x14ac:dyDescent="0.25">
      <c r="A8" s="446"/>
      <c r="B8" s="409"/>
      <c r="C8" s="423"/>
      <c r="D8" s="423"/>
      <c r="E8" s="423"/>
      <c r="F8" s="423"/>
      <c r="G8" s="423"/>
      <c r="H8" s="423"/>
      <c r="I8" s="423"/>
      <c r="J8" s="423"/>
      <c r="K8" s="444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ht="15.75" customHeight="1" x14ac:dyDescent="0.25">
      <c r="A9" s="445" t="s">
        <v>265</v>
      </c>
      <c r="B9" s="408"/>
      <c r="C9" s="427" t="s">
        <v>281</v>
      </c>
      <c r="D9" s="427" t="e">
        <f>#REF!</f>
        <v>#REF!</v>
      </c>
      <c r="E9" s="422" t="e">
        <f>+#REF!</f>
        <v>#REF!</v>
      </c>
      <c r="F9" s="422" t="e">
        <f>+#REF!</f>
        <v>#REF!</v>
      </c>
      <c r="G9" s="422" t="e">
        <f>+#REF!</f>
        <v>#REF!</v>
      </c>
      <c r="H9" s="422" t="e">
        <f>+#REF!</f>
        <v>#REF!</v>
      </c>
      <c r="I9" s="422" t="e">
        <f>+#REF!</f>
        <v>#REF!</v>
      </c>
      <c r="J9" s="422" t="e">
        <f>(+I9+H9+G9+F9+E9)/D9</f>
        <v>#REF!</v>
      </c>
      <c r="K9" s="443" t="e">
        <f>+J9*D9</f>
        <v>#REF!</v>
      </c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</row>
    <row r="10" spans="1:26" ht="15.75" x14ac:dyDescent="0.25">
      <c r="A10" s="446"/>
      <c r="B10" s="409"/>
      <c r="C10" s="423"/>
      <c r="D10" s="423"/>
      <c r="E10" s="423"/>
      <c r="F10" s="423"/>
      <c r="G10" s="423"/>
      <c r="H10" s="423"/>
      <c r="I10" s="423"/>
      <c r="J10" s="423"/>
      <c r="K10" s="444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</row>
    <row r="11" spans="1:26" ht="22.5" customHeight="1" x14ac:dyDescent="0.25">
      <c r="A11" s="424" t="s">
        <v>159</v>
      </c>
      <c r="B11" s="425"/>
      <c r="C11" s="425"/>
      <c r="D11" s="425"/>
      <c r="E11" s="425"/>
      <c r="F11" s="425"/>
      <c r="G11" s="425"/>
      <c r="H11" s="425"/>
      <c r="I11" s="425"/>
      <c r="J11" s="426"/>
      <c r="K11" s="60" t="e">
        <f>SUM(K7:K10)</f>
        <v>#REF!</v>
      </c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</row>
    <row r="12" spans="1:26" ht="11.25" customHeight="1" x14ac:dyDescent="0.25">
      <c r="A12" s="61"/>
      <c r="B12" s="61"/>
      <c r="C12" s="61"/>
      <c r="D12" s="61"/>
      <c r="E12" s="61"/>
      <c r="F12" s="61"/>
      <c r="G12" s="61"/>
      <c r="H12" s="61"/>
      <c r="I12" s="61"/>
      <c r="J12" s="62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</row>
    <row r="13" spans="1:26" ht="44.25" customHeight="1" x14ac:dyDescent="0.25">
      <c r="A13" s="63" t="s">
        <v>160</v>
      </c>
      <c r="B13" s="64" t="s">
        <v>161</v>
      </c>
      <c r="C13" s="64" t="s">
        <v>162</v>
      </c>
      <c r="D13" s="64" t="s">
        <v>163</v>
      </c>
      <c r="E13" s="57" t="s">
        <v>151</v>
      </c>
      <c r="F13" s="57" t="s">
        <v>152</v>
      </c>
      <c r="G13" s="57" t="s">
        <v>153</v>
      </c>
      <c r="H13" s="57" t="s">
        <v>154</v>
      </c>
      <c r="I13" s="57" t="s">
        <v>155</v>
      </c>
      <c r="J13" s="58" t="s">
        <v>157</v>
      </c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</row>
    <row r="14" spans="1:26" ht="21" customHeight="1" x14ac:dyDescent="0.25">
      <c r="A14" s="65" t="s">
        <v>164</v>
      </c>
      <c r="B14" s="66" t="s">
        <v>265</v>
      </c>
      <c r="C14" s="66">
        <v>200</v>
      </c>
      <c r="D14" s="66">
        <v>5</v>
      </c>
      <c r="E14" s="67">
        <f>+E7*$D14</f>
        <v>7540.4500000000007</v>
      </c>
      <c r="F14" s="67">
        <f>+F7*$D14</f>
        <v>2583.85</v>
      </c>
      <c r="G14" s="67">
        <f>+G7*$D14</f>
        <v>1022.8416666666667</v>
      </c>
      <c r="H14" s="67">
        <f>+H7*$D14</f>
        <v>5035.25</v>
      </c>
      <c r="I14" s="67">
        <f>+I7*$D14</f>
        <v>683.19999999999993</v>
      </c>
      <c r="J14" s="67">
        <f>+I14+H14+G14+F14+E14</f>
        <v>16865.591666666667</v>
      </c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</row>
    <row r="15" spans="1:26" ht="21" customHeight="1" x14ac:dyDescent="0.25">
      <c r="A15" s="65" t="s">
        <v>165</v>
      </c>
      <c r="B15" s="66" t="s">
        <v>265</v>
      </c>
      <c r="C15" s="66" t="s">
        <v>281</v>
      </c>
      <c r="D15" s="66">
        <v>2</v>
      </c>
      <c r="E15" s="67" t="e">
        <f>+E9*D15</f>
        <v>#REF!</v>
      </c>
      <c r="F15" s="67" t="e">
        <f>+F9*D15</f>
        <v>#REF!</v>
      </c>
      <c r="G15" s="67" t="e">
        <f>+G9*D15</f>
        <v>#REF!</v>
      </c>
      <c r="H15" s="67" t="e">
        <f>+H9*D15</f>
        <v>#REF!</v>
      </c>
      <c r="I15" s="67" t="e">
        <f>+I9*D15</f>
        <v>#REF!</v>
      </c>
      <c r="J15" s="67" t="e">
        <f>+I15+H15+G15+F15+E15</f>
        <v>#REF!</v>
      </c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</row>
    <row r="16" spans="1:26" ht="21" customHeight="1" x14ac:dyDescent="0.25">
      <c r="A16" s="68"/>
      <c r="B16" s="428" t="s">
        <v>166</v>
      </c>
      <c r="C16" s="429"/>
      <c r="D16" s="69">
        <f t="shared" ref="D16:J16" si="0">SUM(D14:D15)</f>
        <v>7</v>
      </c>
      <c r="E16" s="70" t="e">
        <f t="shared" si="0"/>
        <v>#REF!</v>
      </c>
      <c r="F16" s="70" t="e">
        <f t="shared" si="0"/>
        <v>#REF!</v>
      </c>
      <c r="G16" s="70" t="e">
        <f t="shared" si="0"/>
        <v>#REF!</v>
      </c>
      <c r="H16" s="70" t="e">
        <f t="shared" si="0"/>
        <v>#REF!</v>
      </c>
      <c r="I16" s="70" t="e">
        <f t="shared" si="0"/>
        <v>#REF!</v>
      </c>
      <c r="J16" s="70" t="e">
        <f t="shared" si="0"/>
        <v>#REF!</v>
      </c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</row>
    <row r="18" spans="1:13" ht="21" customHeight="1" x14ac:dyDescent="0.25">
      <c r="A18" s="430" t="s">
        <v>167</v>
      </c>
      <c r="B18" s="307"/>
      <c r="C18" s="307"/>
      <c r="D18" s="307"/>
      <c r="E18" s="307"/>
      <c r="F18" s="307"/>
      <c r="G18" s="307"/>
      <c r="H18" s="307"/>
      <c r="I18" s="308"/>
    </row>
    <row r="19" spans="1:13" ht="55.5" customHeight="1" x14ac:dyDescent="0.25">
      <c r="A19" s="431" t="s">
        <v>168</v>
      </c>
      <c r="B19" s="307"/>
      <c r="C19" s="307"/>
      <c r="D19" s="307"/>
      <c r="E19" s="307"/>
      <c r="F19" s="308"/>
      <c r="G19" s="71" t="s">
        <v>169</v>
      </c>
      <c r="H19" s="71" t="s">
        <v>170</v>
      </c>
      <c r="I19" s="71" t="s">
        <v>116</v>
      </c>
    </row>
    <row r="20" spans="1:13" ht="15.75" customHeight="1" x14ac:dyDescent="0.25">
      <c r="A20" s="420" t="s">
        <v>279</v>
      </c>
      <c r="B20" s="307"/>
      <c r="C20" s="307"/>
      <c r="D20" s="307"/>
      <c r="E20" s="307"/>
      <c r="F20" s="308"/>
      <c r="G20" s="72">
        <f>+J7</f>
        <v>3373.1183333333338</v>
      </c>
      <c r="H20" s="71">
        <v>5</v>
      </c>
      <c r="I20" s="73">
        <f>G20*H20</f>
        <v>16865.591666666667</v>
      </c>
      <c r="K20" s="134"/>
      <c r="L20" s="136"/>
      <c r="M20" s="136"/>
    </row>
    <row r="21" spans="1:13" ht="15.75" customHeight="1" x14ac:dyDescent="0.25">
      <c r="A21" s="420" t="s">
        <v>280</v>
      </c>
      <c r="B21" s="307"/>
      <c r="C21" s="307"/>
      <c r="D21" s="307"/>
      <c r="E21" s="307"/>
      <c r="F21" s="308"/>
      <c r="G21" s="72" t="e">
        <f>+J9</f>
        <v>#REF!</v>
      </c>
      <c r="H21" s="71">
        <v>2</v>
      </c>
      <c r="I21" s="73" t="e">
        <f>G21*H21</f>
        <v>#REF!</v>
      </c>
      <c r="K21" s="134"/>
      <c r="L21" s="136"/>
      <c r="M21" s="136"/>
    </row>
    <row r="22" spans="1:13" ht="18.75" customHeight="1" x14ac:dyDescent="0.25">
      <c r="A22" s="421" t="s">
        <v>171</v>
      </c>
      <c r="B22" s="307"/>
      <c r="C22" s="307"/>
      <c r="D22" s="307"/>
      <c r="E22" s="307"/>
      <c r="F22" s="307"/>
      <c r="G22" s="307"/>
      <c r="H22" s="308"/>
      <c r="I22" s="74" t="e">
        <f>SUM(I20:I21)</f>
        <v>#REF!</v>
      </c>
      <c r="M22" s="136"/>
    </row>
    <row r="23" spans="1:13" ht="15.75" customHeight="1" x14ac:dyDescent="0.25">
      <c r="K23" s="134"/>
      <c r="M23" s="136"/>
    </row>
    <row r="24" spans="1:13" ht="15" customHeight="1" x14ac:dyDescent="0.25">
      <c r="I24" s="115"/>
    </row>
    <row r="25" spans="1:13" ht="15" customHeight="1" x14ac:dyDescent="0.25">
      <c r="G25" s="140"/>
      <c r="I25" s="134"/>
    </row>
    <row r="26" spans="1:13" ht="15" customHeight="1" x14ac:dyDescent="0.25">
      <c r="G26" s="140"/>
      <c r="I26" s="115"/>
      <c r="K26" s="134"/>
      <c r="L26" s="136"/>
    </row>
    <row r="27" spans="1:13" ht="15" customHeight="1" x14ac:dyDescent="0.25">
      <c r="K27" s="134"/>
      <c r="L27" s="136"/>
    </row>
    <row r="28" spans="1:13" ht="15" customHeight="1" x14ac:dyDescent="0.25">
      <c r="K28" s="134"/>
    </row>
    <row r="29" spans="1:13" ht="15" customHeight="1" x14ac:dyDescent="0.25">
      <c r="K29" s="134"/>
    </row>
    <row r="30" spans="1:13" ht="15" customHeight="1" x14ac:dyDescent="0.25">
      <c r="K30" s="134"/>
    </row>
    <row r="31" spans="1:13" ht="15" customHeight="1" x14ac:dyDescent="0.25">
      <c r="K31" s="134"/>
    </row>
    <row r="32" spans="1:13" ht="15" customHeight="1" x14ac:dyDescent="0.25">
      <c r="K32" s="134"/>
    </row>
  </sheetData>
  <mergeCells count="32">
    <mergeCell ref="K9:K10"/>
    <mergeCell ref="A7:B8"/>
    <mergeCell ref="A9:B10"/>
    <mergeCell ref="C9:C10"/>
    <mergeCell ref="D9:D10"/>
    <mergeCell ref="E9:E10"/>
    <mergeCell ref="F9:F10"/>
    <mergeCell ref="G9:G10"/>
    <mergeCell ref="J7:J8"/>
    <mergeCell ref="K7:K8"/>
    <mergeCell ref="C7:C8"/>
    <mergeCell ref="H7:H8"/>
    <mergeCell ref="A2:H2"/>
    <mergeCell ref="A3:H3"/>
    <mergeCell ref="A4:H4"/>
    <mergeCell ref="A5:H5"/>
    <mergeCell ref="A6:B6"/>
    <mergeCell ref="A20:F20"/>
    <mergeCell ref="A21:F21"/>
    <mergeCell ref="A22:H22"/>
    <mergeCell ref="F7:F8"/>
    <mergeCell ref="G7:G8"/>
    <mergeCell ref="H9:H10"/>
    <mergeCell ref="A11:J11"/>
    <mergeCell ref="D7:D8"/>
    <mergeCell ref="E7:E8"/>
    <mergeCell ref="B16:C16"/>
    <mergeCell ref="A18:I18"/>
    <mergeCell ref="A19:F19"/>
    <mergeCell ref="I7:I8"/>
    <mergeCell ref="I9:I10"/>
    <mergeCell ref="J9:J10"/>
  </mergeCells>
  <pageMargins left="0.51180555555555496" right="0.51180555555555496" top="0.78749999999999998" bottom="0.78749999999999998" header="0" footer="0"/>
  <pageSetup paperSize="9" scale="9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000"/>
  <sheetViews>
    <sheetView workbookViewId="0">
      <selection activeCell="Q35" sqref="Q35"/>
    </sheetView>
  </sheetViews>
  <sheetFormatPr defaultColWidth="14.42578125" defaultRowHeight="15" customHeight="1" x14ac:dyDescent="0.25"/>
  <cols>
    <col min="1" max="1" width="15.7109375" customWidth="1"/>
    <col min="2" max="2" width="24.5703125" customWidth="1"/>
    <col min="3" max="3" width="40" customWidth="1"/>
    <col min="4" max="4" width="14.5703125" customWidth="1"/>
    <col min="5" max="5" width="17" customWidth="1"/>
    <col min="6" max="6" width="15.5703125" customWidth="1"/>
    <col min="7" max="7" width="12.42578125" customWidth="1"/>
    <col min="8" max="11" width="8.7109375" customWidth="1"/>
    <col min="12" max="12" width="14.85546875" customWidth="1"/>
    <col min="13" max="13" width="8.7109375" customWidth="1"/>
    <col min="14" max="14" width="14.140625" customWidth="1"/>
    <col min="15" max="15" width="16.7109375" customWidth="1"/>
    <col min="16" max="16" width="35.5703125" customWidth="1"/>
    <col min="17" max="23" width="8.7109375" customWidth="1"/>
    <col min="24" max="24" width="15.7109375" customWidth="1"/>
    <col min="25" max="25" width="13.28515625" customWidth="1"/>
    <col min="26" max="26" width="8.5703125" customWidth="1"/>
    <col min="27" max="27" width="10.28515625" customWidth="1"/>
    <col min="28" max="28" width="8.7109375" customWidth="1"/>
  </cols>
  <sheetData>
    <row r="1" spans="1:28" x14ac:dyDescent="0.25">
      <c r="A1" s="75"/>
    </row>
    <row r="2" spans="1:28" ht="15.75" x14ac:dyDescent="0.25">
      <c r="A2" s="458" t="s">
        <v>172</v>
      </c>
      <c r="B2" s="459"/>
      <c r="C2" s="459"/>
      <c r="D2" s="459"/>
      <c r="E2" s="459"/>
      <c r="F2" s="460"/>
    </row>
    <row r="3" spans="1:28" ht="33" customHeight="1" x14ac:dyDescent="0.25">
      <c r="A3" s="461" t="s">
        <v>173</v>
      </c>
      <c r="B3" s="462"/>
      <c r="C3" s="462"/>
      <c r="D3" s="462"/>
      <c r="E3" s="462"/>
      <c r="F3" s="463"/>
    </row>
    <row r="4" spans="1:28" x14ac:dyDescent="0.25">
      <c r="A4" s="75"/>
    </row>
    <row r="5" spans="1:28" x14ac:dyDescent="0.25">
      <c r="A5" s="464" t="s">
        <v>174</v>
      </c>
      <c r="B5" s="391"/>
      <c r="C5" s="391"/>
      <c r="D5" s="391"/>
      <c r="E5" s="391"/>
      <c r="F5" s="391"/>
    </row>
    <row r="6" spans="1:28" x14ac:dyDescent="0.25">
      <c r="A6" s="464" t="s">
        <v>175</v>
      </c>
      <c r="B6" s="391"/>
      <c r="C6" s="391"/>
      <c r="D6" s="391"/>
      <c r="E6" s="391"/>
      <c r="F6" s="391"/>
    </row>
    <row r="7" spans="1:28" x14ac:dyDescent="0.25">
      <c r="A7" s="464" t="s">
        <v>176</v>
      </c>
      <c r="B7" s="391"/>
      <c r="C7" s="391"/>
      <c r="D7" s="391"/>
      <c r="E7" s="391"/>
      <c r="F7" s="391"/>
    </row>
    <row r="8" spans="1:28" x14ac:dyDescent="0.25">
      <c r="A8" s="464" t="s">
        <v>177</v>
      </c>
      <c r="B8" s="391"/>
      <c r="C8" s="391"/>
      <c r="D8" s="391"/>
      <c r="E8" s="391"/>
      <c r="F8" s="391"/>
    </row>
    <row r="9" spans="1:28" x14ac:dyDescent="0.25">
      <c r="A9" s="465"/>
      <c r="B9" s="391"/>
      <c r="C9" s="391"/>
      <c r="D9" s="391"/>
      <c r="E9" s="391"/>
      <c r="F9" s="391"/>
    </row>
    <row r="10" spans="1:28" x14ac:dyDescent="0.25">
      <c r="A10" s="466" t="s">
        <v>178</v>
      </c>
      <c r="B10" s="307"/>
      <c r="C10" s="307"/>
      <c r="D10" s="307"/>
      <c r="E10" s="307"/>
      <c r="F10" s="308"/>
    </row>
    <row r="11" spans="1:28" x14ac:dyDescent="0.25">
      <c r="A11" s="450"/>
      <c r="B11" s="391"/>
      <c r="C11" s="391"/>
      <c r="D11" s="391"/>
      <c r="E11" s="391"/>
      <c r="F11" s="391"/>
    </row>
    <row r="12" spans="1:28" x14ac:dyDescent="0.25">
      <c r="A12" s="466" t="s">
        <v>179</v>
      </c>
      <c r="B12" s="307"/>
      <c r="C12" s="307"/>
      <c r="D12" s="307"/>
      <c r="E12" s="307"/>
      <c r="F12" s="308"/>
    </row>
    <row r="13" spans="1:28" ht="31.5" customHeight="1" thickBot="1" x14ac:dyDescent="0.3">
      <c r="A13" s="77" t="s">
        <v>180</v>
      </c>
      <c r="B13" s="78" t="s">
        <v>181</v>
      </c>
      <c r="C13" s="78" t="s">
        <v>182</v>
      </c>
      <c r="D13" s="78" t="s">
        <v>183</v>
      </c>
      <c r="E13" s="78" t="s">
        <v>184</v>
      </c>
      <c r="F13" s="125" t="s">
        <v>185</v>
      </c>
      <c r="K13" s="451" t="s">
        <v>186</v>
      </c>
      <c r="L13" s="307"/>
      <c r="M13" s="307"/>
      <c r="N13" s="307"/>
      <c r="O13" s="307"/>
      <c r="P13" s="308"/>
      <c r="V13" s="451" t="s">
        <v>187</v>
      </c>
      <c r="W13" s="307"/>
      <c r="X13" s="307"/>
      <c r="Y13" s="307"/>
      <c r="Z13" s="307"/>
      <c r="AA13" s="308"/>
    </row>
    <row r="14" spans="1:28" ht="39" customHeight="1" thickBot="1" x14ac:dyDescent="0.3">
      <c r="A14" s="77">
        <v>4</v>
      </c>
      <c r="B14" s="79" t="s">
        <v>188</v>
      </c>
      <c r="C14" s="80">
        <v>40</v>
      </c>
      <c r="D14" s="81" t="s">
        <v>189</v>
      </c>
      <c r="E14" s="119">
        <f>ROUND(C14*A14,2)</f>
        <v>160</v>
      </c>
      <c r="F14" s="126">
        <f t="shared" ref="F14:F19" si="0">E14/12</f>
        <v>13.333333333333334</v>
      </c>
      <c r="G14" s="122"/>
      <c r="K14" s="77" t="s">
        <v>180</v>
      </c>
      <c r="L14" s="449" t="s">
        <v>181</v>
      </c>
      <c r="M14" s="440"/>
      <c r="N14" s="78" t="s">
        <v>190</v>
      </c>
      <c r="O14" s="78" t="s">
        <v>183</v>
      </c>
      <c r="P14" s="78" t="s">
        <v>185</v>
      </c>
      <c r="V14" s="77" t="s">
        <v>180</v>
      </c>
      <c r="W14" s="449" t="s">
        <v>181</v>
      </c>
      <c r="X14" s="440"/>
      <c r="Y14" s="78" t="s">
        <v>190</v>
      </c>
      <c r="Z14" s="78" t="s">
        <v>183</v>
      </c>
      <c r="AA14" s="78" t="s">
        <v>185</v>
      </c>
    </row>
    <row r="15" spans="1:28" ht="40.5" customHeight="1" thickBot="1" x14ac:dyDescent="0.3">
      <c r="A15" s="77">
        <v>4</v>
      </c>
      <c r="B15" s="79" t="s">
        <v>191</v>
      </c>
      <c r="C15" s="80">
        <v>25</v>
      </c>
      <c r="D15" s="81" t="s">
        <v>189</v>
      </c>
      <c r="E15" s="119">
        <f>C15*A15</f>
        <v>100</v>
      </c>
      <c r="F15" s="127">
        <f t="shared" si="0"/>
        <v>8.3333333333333339</v>
      </c>
      <c r="G15" s="122"/>
      <c r="K15" s="83">
        <v>1</v>
      </c>
      <c r="L15" s="457" t="s">
        <v>192</v>
      </c>
      <c r="M15" s="426"/>
      <c r="N15" s="84">
        <v>0</v>
      </c>
      <c r="O15" s="85">
        <v>120</v>
      </c>
      <c r="P15" s="86">
        <f>(N15*K15)/O15</f>
        <v>0</v>
      </c>
      <c r="Q15" s="87"/>
      <c r="R15" s="87"/>
      <c r="S15" s="87"/>
      <c r="T15" s="87"/>
      <c r="V15" s="83">
        <v>1</v>
      </c>
      <c r="W15" s="457" t="s">
        <v>193</v>
      </c>
      <c r="X15" s="426"/>
      <c r="Y15" s="84"/>
      <c r="Z15" s="85">
        <v>120</v>
      </c>
      <c r="AA15" s="86">
        <f t="shared" ref="AA15:AA35" si="1">(Y15*V15)/Z15</f>
        <v>0</v>
      </c>
      <c r="AB15" s="87"/>
    </row>
    <row r="16" spans="1:28" ht="58.5" customHeight="1" thickBot="1" x14ac:dyDescent="0.3">
      <c r="A16" s="77">
        <v>2</v>
      </c>
      <c r="B16" s="79" t="s">
        <v>194</v>
      </c>
      <c r="C16" s="80">
        <v>30</v>
      </c>
      <c r="D16" s="81" t="s">
        <v>189</v>
      </c>
      <c r="E16" s="119">
        <f>C16*A16</f>
        <v>60</v>
      </c>
      <c r="F16" s="127">
        <f t="shared" si="0"/>
        <v>5</v>
      </c>
      <c r="G16" s="122"/>
      <c r="K16" s="83">
        <v>2</v>
      </c>
      <c r="L16" s="88" t="s">
        <v>195</v>
      </c>
      <c r="M16" s="89"/>
      <c r="N16" s="84">
        <v>0</v>
      </c>
      <c r="O16" s="85">
        <v>120</v>
      </c>
      <c r="P16" s="86">
        <f>(N16*K16)/O16</f>
        <v>0</v>
      </c>
      <c r="Q16" s="87"/>
      <c r="R16" s="87"/>
      <c r="S16" s="87"/>
      <c r="T16" s="87"/>
      <c r="V16" s="83">
        <v>1</v>
      </c>
      <c r="W16" s="457" t="s">
        <v>196</v>
      </c>
      <c r="X16" s="426"/>
      <c r="Y16" s="84"/>
      <c r="Z16" s="85">
        <v>120</v>
      </c>
      <c r="AA16" s="86">
        <f t="shared" si="1"/>
        <v>0</v>
      </c>
      <c r="AB16" s="87"/>
    </row>
    <row r="17" spans="1:28" ht="39.75" customHeight="1" thickBot="1" x14ac:dyDescent="0.3">
      <c r="A17" s="77">
        <v>1</v>
      </c>
      <c r="B17" s="79" t="s">
        <v>197</v>
      </c>
      <c r="C17" s="80">
        <v>40</v>
      </c>
      <c r="D17" s="81" t="s">
        <v>189</v>
      </c>
      <c r="E17" s="119">
        <f>C17*A17</f>
        <v>40</v>
      </c>
      <c r="F17" s="127">
        <f t="shared" si="0"/>
        <v>3.3333333333333335</v>
      </c>
      <c r="G17" s="122"/>
      <c r="K17" s="83">
        <v>1</v>
      </c>
      <c r="L17" s="88" t="s">
        <v>198</v>
      </c>
      <c r="M17" s="89"/>
      <c r="N17" s="84">
        <v>0</v>
      </c>
      <c r="O17" s="85">
        <v>120</v>
      </c>
      <c r="P17" s="86">
        <f>(N17*K17)/O17</f>
        <v>0</v>
      </c>
      <c r="Q17" s="87"/>
      <c r="R17" s="87"/>
      <c r="S17" s="87"/>
      <c r="T17" s="87"/>
      <c r="V17" s="83">
        <v>2</v>
      </c>
      <c r="W17" s="457" t="s">
        <v>199</v>
      </c>
      <c r="X17" s="426"/>
      <c r="Y17" s="84"/>
      <c r="Z17" s="85">
        <v>120</v>
      </c>
      <c r="AA17" s="86">
        <f t="shared" si="1"/>
        <v>0</v>
      </c>
      <c r="AB17" s="87"/>
    </row>
    <row r="18" spans="1:28" ht="25.5" customHeight="1" thickBot="1" x14ac:dyDescent="0.3">
      <c r="A18" s="90">
        <v>2</v>
      </c>
      <c r="B18" s="91" t="s">
        <v>200</v>
      </c>
      <c r="C18" s="92">
        <v>40</v>
      </c>
      <c r="D18" s="81" t="s">
        <v>189</v>
      </c>
      <c r="E18" s="119">
        <f>C18*A18</f>
        <v>80</v>
      </c>
      <c r="F18" s="127">
        <f t="shared" si="0"/>
        <v>6.666666666666667</v>
      </c>
      <c r="G18" s="122"/>
      <c r="K18" s="93">
        <v>1</v>
      </c>
      <c r="L18" s="94" t="s">
        <v>201</v>
      </c>
      <c r="M18" s="95"/>
      <c r="N18" s="96">
        <v>0</v>
      </c>
      <c r="O18" s="97">
        <v>120</v>
      </c>
      <c r="P18" s="98">
        <f>(N18*K18)/O18</f>
        <v>0</v>
      </c>
      <c r="Q18" s="87"/>
      <c r="R18" s="87"/>
      <c r="S18" s="87"/>
      <c r="T18" s="87"/>
      <c r="V18" s="83">
        <v>2</v>
      </c>
      <c r="W18" s="457" t="s">
        <v>202</v>
      </c>
      <c r="X18" s="426"/>
      <c r="Y18" s="84"/>
      <c r="Z18" s="85">
        <v>120</v>
      </c>
      <c r="AA18" s="86">
        <f t="shared" si="1"/>
        <v>0</v>
      </c>
      <c r="AB18" s="87"/>
    </row>
    <row r="19" spans="1:28" ht="51.75" customHeight="1" thickBot="1" x14ac:dyDescent="0.3">
      <c r="A19" s="99">
        <v>1</v>
      </c>
      <c r="B19" s="100" t="s">
        <v>203</v>
      </c>
      <c r="C19" s="101">
        <v>10</v>
      </c>
      <c r="D19" s="102" t="s">
        <v>189</v>
      </c>
      <c r="E19" s="122">
        <f>C19*A19</f>
        <v>10</v>
      </c>
      <c r="F19" s="128">
        <f t="shared" si="0"/>
        <v>0.83333333333333337</v>
      </c>
      <c r="G19" s="122"/>
      <c r="K19" s="448" t="s">
        <v>204</v>
      </c>
      <c r="L19" s="425"/>
      <c r="M19" s="425"/>
      <c r="N19" s="425"/>
      <c r="O19" s="426"/>
      <c r="P19" s="103">
        <f>SUM(P15:P18)</f>
        <v>0</v>
      </c>
      <c r="Q19" s="87"/>
      <c r="R19" s="87"/>
      <c r="S19" s="87"/>
      <c r="T19" s="87"/>
      <c r="V19" s="83">
        <v>1</v>
      </c>
      <c r="W19" s="457" t="s">
        <v>205</v>
      </c>
      <c r="X19" s="426"/>
      <c r="Y19" s="84"/>
      <c r="Z19" s="85">
        <v>120</v>
      </c>
      <c r="AA19" s="86">
        <f t="shared" si="1"/>
        <v>0</v>
      </c>
      <c r="AB19" s="87"/>
    </row>
    <row r="20" spans="1:28" ht="29.25" customHeight="1" thickBot="1" x14ac:dyDescent="0.3">
      <c r="A20" s="447" t="s">
        <v>206</v>
      </c>
      <c r="B20" s="391"/>
      <c r="C20" s="436"/>
      <c r="D20" s="448" t="s">
        <v>204</v>
      </c>
      <c r="E20" s="426"/>
      <c r="F20" s="120">
        <f>ROUND(SUM(F14:F19),2)</f>
        <v>37.5</v>
      </c>
      <c r="G20" s="123"/>
      <c r="K20" s="449" t="s">
        <v>207</v>
      </c>
      <c r="L20" s="439"/>
      <c r="M20" s="439"/>
      <c r="N20" s="439"/>
      <c r="O20" s="439"/>
      <c r="P20" s="104">
        <f>ROUND(P19/8,2)</f>
        <v>0</v>
      </c>
      <c r="Q20" s="87"/>
      <c r="R20" s="87"/>
      <c r="S20" s="87"/>
      <c r="T20" s="87"/>
      <c r="V20" s="83">
        <v>1</v>
      </c>
      <c r="W20" s="457" t="s">
        <v>208</v>
      </c>
      <c r="X20" s="426"/>
      <c r="Y20" s="84"/>
      <c r="Z20" s="85">
        <v>120</v>
      </c>
      <c r="AA20" s="86">
        <f t="shared" si="1"/>
        <v>0</v>
      </c>
      <c r="AB20" s="87"/>
    </row>
    <row r="21" spans="1:28" ht="26.25" customHeight="1" thickBot="1" x14ac:dyDescent="0.3">
      <c r="A21" s="391"/>
      <c r="B21" s="391"/>
      <c r="C21" s="436"/>
      <c r="D21" s="449" t="s">
        <v>207</v>
      </c>
      <c r="E21" s="439"/>
      <c r="F21" s="121">
        <f>ROUND(F20/3,2)</f>
        <v>12.5</v>
      </c>
      <c r="G21" s="124"/>
      <c r="Q21" s="23" t="s">
        <v>209</v>
      </c>
      <c r="V21" s="83">
        <v>1</v>
      </c>
      <c r="W21" s="457" t="s">
        <v>210</v>
      </c>
      <c r="X21" s="426"/>
      <c r="Y21" s="84"/>
      <c r="Z21" s="85">
        <v>120</v>
      </c>
      <c r="AA21" s="86">
        <f t="shared" si="1"/>
        <v>0</v>
      </c>
      <c r="AB21" s="87"/>
    </row>
    <row r="22" spans="1:28" ht="30" customHeight="1" thickBot="1" x14ac:dyDescent="0.3">
      <c r="A22" s="450"/>
      <c r="B22" s="391"/>
      <c r="C22" s="391"/>
      <c r="D22" s="391"/>
      <c r="E22" s="391"/>
      <c r="F22" s="391"/>
      <c r="V22" s="83">
        <v>1</v>
      </c>
      <c r="W22" s="457" t="s">
        <v>211</v>
      </c>
      <c r="X22" s="426"/>
      <c r="Y22" s="84"/>
      <c r="Z22" s="85">
        <v>120</v>
      </c>
      <c r="AA22" s="86">
        <f t="shared" si="1"/>
        <v>0</v>
      </c>
      <c r="AB22" s="87"/>
    </row>
    <row r="23" spans="1:28" ht="24" customHeight="1" x14ac:dyDescent="0.25">
      <c r="A23" s="451" t="s">
        <v>212</v>
      </c>
      <c r="B23" s="307"/>
      <c r="C23" s="307"/>
      <c r="D23" s="307"/>
      <c r="E23" s="307"/>
      <c r="F23" s="308"/>
      <c r="V23" s="83">
        <v>1</v>
      </c>
      <c r="W23" s="457" t="s">
        <v>213</v>
      </c>
      <c r="X23" s="426"/>
      <c r="Y23" s="84"/>
      <c r="Z23" s="85">
        <v>120</v>
      </c>
      <c r="AA23" s="86">
        <f t="shared" si="1"/>
        <v>0</v>
      </c>
      <c r="AB23" s="87"/>
    </row>
    <row r="24" spans="1:28" ht="44.25" customHeight="1" x14ac:dyDescent="0.25">
      <c r="A24" s="77" t="s">
        <v>180</v>
      </c>
      <c r="B24" s="78" t="s">
        <v>181</v>
      </c>
      <c r="C24" s="78" t="s">
        <v>182</v>
      </c>
      <c r="D24" s="78" t="s">
        <v>183</v>
      </c>
      <c r="E24" s="78" t="s">
        <v>184</v>
      </c>
      <c r="F24" s="78" t="s">
        <v>185</v>
      </c>
      <c r="V24" s="83">
        <v>2</v>
      </c>
      <c r="W24" s="457" t="s">
        <v>214</v>
      </c>
      <c r="X24" s="426"/>
      <c r="Y24" s="84"/>
      <c r="Z24" s="85">
        <v>120</v>
      </c>
      <c r="AA24" s="86">
        <f t="shared" si="1"/>
        <v>0</v>
      </c>
      <c r="AB24" s="87"/>
    </row>
    <row r="25" spans="1:28" ht="25.5" customHeight="1" x14ac:dyDescent="0.25">
      <c r="A25" s="77">
        <v>4</v>
      </c>
      <c r="B25" s="79" t="s">
        <v>188</v>
      </c>
      <c r="C25" s="80">
        <v>50</v>
      </c>
      <c r="D25" s="81" t="s">
        <v>189</v>
      </c>
      <c r="E25" s="82">
        <f>C25*A25</f>
        <v>200</v>
      </c>
      <c r="F25" s="82">
        <f t="shared" ref="F25:F31" si="2">E25/12</f>
        <v>16.666666666666668</v>
      </c>
      <c r="V25" s="83">
        <v>2</v>
      </c>
      <c r="W25" s="457" t="s">
        <v>215</v>
      </c>
      <c r="X25" s="426"/>
      <c r="Y25" s="84"/>
      <c r="Z25" s="85">
        <v>120</v>
      </c>
      <c r="AA25" s="86">
        <f t="shared" si="1"/>
        <v>0</v>
      </c>
      <c r="AB25" s="87"/>
    </row>
    <row r="26" spans="1:28" ht="23.25" customHeight="1" x14ac:dyDescent="0.25">
      <c r="A26" s="77">
        <v>4</v>
      </c>
      <c r="B26" s="79" t="s">
        <v>191</v>
      </c>
      <c r="C26" s="80">
        <v>25</v>
      </c>
      <c r="D26" s="81" t="s">
        <v>189</v>
      </c>
      <c r="E26" s="82">
        <f t="shared" ref="E26:E31" si="3">C26*A26</f>
        <v>100</v>
      </c>
      <c r="F26" s="82">
        <f t="shared" si="2"/>
        <v>8.3333333333333339</v>
      </c>
      <c r="V26" s="83">
        <v>1</v>
      </c>
      <c r="W26" s="457" t="s">
        <v>216</v>
      </c>
      <c r="X26" s="426"/>
      <c r="Y26" s="84"/>
      <c r="Z26" s="85">
        <v>120</v>
      </c>
      <c r="AA26" s="86">
        <f t="shared" si="1"/>
        <v>0</v>
      </c>
      <c r="AB26" s="87"/>
    </row>
    <row r="27" spans="1:28" ht="23.25" customHeight="1" x14ac:dyDescent="0.25">
      <c r="A27" s="77">
        <v>2</v>
      </c>
      <c r="B27" s="79" t="s">
        <v>194</v>
      </c>
      <c r="C27" s="80">
        <v>30</v>
      </c>
      <c r="D27" s="81" t="s">
        <v>189</v>
      </c>
      <c r="E27" s="82">
        <f t="shared" si="3"/>
        <v>60</v>
      </c>
      <c r="F27" s="82">
        <f t="shared" si="2"/>
        <v>5</v>
      </c>
      <c r="V27" s="83">
        <v>1</v>
      </c>
      <c r="W27" s="457" t="s">
        <v>217</v>
      </c>
      <c r="X27" s="426"/>
      <c r="Y27" s="84"/>
      <c r="Z27" s="85">
        <v>120</v>
      </c>
      <c r="AA27" s="86">
        <f t="shared" si="1"/>
        <v>0</v>
      </c>
      <c r="AB27" s="87"/>
    </row>
    <row r="28" spans="1:28" ht="42.75" customHeight="1" x14ac:dyDescent="0.25">
      <c r="A28" s="77">
        <v>1</v>
      </c>
      <c r="B28" s="79" t="s">
        <v>197</v>
      </c>
      <c r="C28" s="80">
        <v>60</v>
      </c>
      <c r="D28" s="81" t="s">
        <v>189</v>
      </c>
      <c r="E28" s="82">
        <f t="shared" si="3"/>
        <v>60</v>
      </c>
      <c r="F28" s="82">
        <f t="shared" si="2"/>
        <v>5</v>
      </c>
      <c r="V28" s="83">
        <v>1</v>
      </c>
      <c r="W28" s="457" t="s">
        <v>218</v>
      </c>
      <c r="X28" s="426"/>
      <c r="Y28" s="84"/>
      <c r="Z28" s="85">
        <v>120</v>
      </c>
      <c r="AA28" s="86">
        <f t="shared" si="1"/>
        <v>0</v>
      </c>
      <c r="AB28" s="87"/>
    </row>
    <row r="29" spans="1:28" ht="15.75" customHeight="1" x14ac:dyDescent="0.25">
      <c r="A29" s="90">
        <v>2</v>
      </c>
      <c r="B29" s="91" t="s">
        <v>200</v>
      </c>
      <c r="C29" s="92">
        <v>35</v>
      </c>
      <c r="D29" s="81" t="s">
        <v>189</v>
      </c>
      <c r="E29" s="82">
        <f t="shared" si="3"/>
        <v>70</v>
      </c>
      <c r="F29" s="82">
        <f t="shared" si="2"/>
        <v>5.833333333333333</v>
      </c>
      <c r="V29" s="83">
        <v>1</v>
      </c>
      <c r="W29" s="457" t="s">
        <v>219</v>
      </c>
      <c r="X29" s="426"/>
      <c r="Y29" s="84"/>
      <c r="Z29" s="85">
        <v>120</v>
      </c>
      <c r="AA29" s="86">
        <f t="shared" si="1"/>
        <v>0</v>
      </c>
      <c r="AB29" s="87"/>
    </row>
    <row r="30" spans="1:28" ht="41.25" customHeight="1" x14ac:dyDescent="0.25">
      <c r="A30" s="99">
        <v>1</v>
      </c>
      <c r="B30" s="100" t="s">
        <v>203</v>
      </c>
      <c r="C30" s="101">
        <v>10</v>
      </c>
      <c r="D30" s="81" t="s">
        <v>189</v>
      </c>
      <c r="E30" s="82">
        <f t="shared" si="3"/>
        <v>10</v>
      </c>
      <c r="F30" s="82">
        <f t="shared" si="2"/>
        <v>0.83333333333333337</v>
      </c>
      <c r="V30" s="83">
        <v>1</v>
      </c>
      <c r="W30" s="457" t="s">
        <v>220</v>
      </c>
      <c r="X30" s="426"/>
      <c r="Y30" s="84"/>
      <c r="Z30" s="85">
        <v>120</v>
      </c>
      <c r="AA30" s="86">
        <f t="shared" si="1"/>
        <v>0</v>
      </c>
      <c r="AB30" s="87"/>
    </row>
    <row r="31" spans="1:28" ht="66" customHeight="1" x14ac:dyDescent="0.25">
      <c r="A31" s="90">
        <v>1</v>
      </c>
      <c r="B31" s="91" t="s">
        <v>221</v>
      </c>
      <c r="C31" s="92">
        <v>15</v>
      </c>
      <c r="D31" s="81" t="s">
        <v>189</v>
      </c>
      <c r="E31" s="82">
        <f t="shared" si="3"/>
        <v>15</v>
      </c>
      <c r="F31" s="82">
        <f t="shared" si="2"/>
        <v>1.25</v>
      </c>
      <c r="V31" s="83">
        <v>2</v>
      </c>
      <c r="W31" s="457" t="s">
        <v>222</v>
      </c>
      <c r="X31" s="426"/>
      <c r="Y31" s="84"/>
      <c r="Z31" s="85">
        <v>120</v>
      </c>
      <c r="AA31" s="86">
        <f t="shared" si="1"/>
        <v>0</v>
      </c>
      <c r="AB31" s="87"/>
    </row>
    <row r="32" spans="1:28" ht="38.25" customHeight="1" x14ac:dyDescent="0.25">
      <c r="A32" s="452"/>
      <c r="B32" s="433"/>
      <c r="C32" s="434"/>
      <c r="D32" s="448" t="s">
        <v>204</v>
      </c>
      <c r="E32" s="426"/>
      <c r="F32" s="80">
        <f>SUM(F25:F31)</f>
        <v>42.916666666666671</v>
      </c>
      <c r="V32" s="83">
        <v>1</v>
      </c>
      <c r="W32" s="457" t="s">
        <v>223</v>
      </c>
      <c r="X32" s="426"/>
      <c r="Y32" s="84"/>
      <c r="Z32" s="85">
        <v>120</v>
      </c>
      <c r="AA32" s="86">
        <f t="shared" si="1"/>
        <v>0</v>
      </c>
      <c r="AB32" s="87"/>
    </row>
    <row r="33" spans="1:28" ht="50.25" customHeight="1" x14ac:dyDescent="0.25">
      <c r="A33" s="391"/>
      <c r="B33" s="391"/>
      <c r="C33" s="436"/>
      <c r="D33" s="448" t="s">
        <v>207</v>
      </c>
      <c r="E33" s="425"/>
      <c r="F33" s="103">
        <f>ROUND(F32/1,2)</f>
        <v>42.92</v>
      </c>
      <c r="G33" s="23"/>
      <c r="V33" s="83">
        <v>1</v>
      </c>
      <c r="W33" s="457" t="s">
        <v>224</v>
      </c>
      <c r="X33" s="426"/>
      <c r="Y33" s="84"/>
      <c r="Z33" s="85">
        <v>120</v>
      </c>
      <c r="AA33" s="86">
        <f t="shared" si="1"/>
        <v>0</v>
      </c>
      <c r="AB33" s="87"/>
    </row>
    <row r="34" spans="1:28" ht="26.25" customHeight="1" x14ac:dyDescent="0.25">
      <c r="A34" s="450"/>
      <c r="B34" s="391"/>
      <c r="C34" s="391"/>
      <c r="D34" s="391"/>
      <c r="E34" s="391"/>
      <c r="F34" s="391"/>
      <c r="V34" s="83">
        <v>1</v>
      </c>
      <c r="W34" s="457" t="s">
        <v>225</v>
      </c>
      <c r="X34" s="426"/>
      <c r="Y34" s="84"/>
      <c r="Z34" s="85">
        <v>120</v>
      </c>
      <c r="AA34" s="86">
        <f t="shared" si="1"/>
        <v>0</v>
      </c>
      <c r="AB34" s="87"/>
    </row>
    <row r="35" spans="1:28" ht="30.75" customHeight="1" x14ac:dyDescent="0.25">
      <c r="A35" s="76"/>
      <c r="V35" s="83">
        <v>1</v>
      </c>
      <c r="W35" s="457" t="s">
        <v>226</v>
      </c>
      <c r="X35" s="426"/>
      <c r="Y35" s="84"/>
      <c r="Z35" s="85">
        <v>120</v>
      </c>
      <c r="AA35" s="86">
        <f t="shared" si="1"/>
        <v>0</v>
      </c>
      <c r="AB35" s="87"/>
    </row>
    <row r="36" spans="1:28" ht="15.75" customHeight="1" x14ac:dyDescent="0.25"/>
    <row r="37" spans="1:28" ht="26.25" customHeight="1" x14ac:dyDescent="0.25"/>
    <row r="38" spans="1:28" ht="15.75" customHeight="1" x14ac:dyDescent="0.25"/>
    <row r="39" spans="1:28" ht="30.75" customHeight="1" x14ac:dyDescent="0.25">
      <c r="A39" s="451" t="s">
        <v>227</v>
      </c>
      <c r="B39" s="307"/>
      <c r="C39" s="307"/>
      <c r="D39" s="307"/>
      <c r="E39" s="307"/>
      <c r="F39" s="308"/>
      <c r="V39" s="467" t="s">
        <v>204</v>
      </c>
      <c r="W39" s="433"/>
      <c r="X39" s="433"/>
      <c r="Y39" s="433"/>
      <c r="Z39" s="434"/>
      <c r="AA39" s="80">
        <f>SUM(AA15:AA35)</f>
        <v>0</v>
      </c>
      <c r="AB39" s="87"/>
    </row>
    <row r="40" spans="1:28" ht="26.25" customHeight="1" x14ac:dyDescent="0.25">
      <c r="A40" s="77" t="s">
        <v>180</v>
      </c>
      <c r="B40" s="449" t="s">
        <v>181</v>
      </c>
      <c r="C40" s="440"/>
      <c r="D40" s="78" t="s">
        <v>182</v>
      </c>
      <c r="E40" s="78" t="s">
        <v>184</v>
      </c>
      <c r="F40" s="78" t="s">
        <v>228</v>
      </c>
      <c r="V40" s="468" t="s">
        <v>207</v>
      </c>
      <c r="W40" s="425"/>
      <c r="X40" s="425"/>
      <c r="Y40" s="425"/>
      <c r="Z40" s="426"/>
      <c r="AA40" s="92">
        <f>ROUND(AA39/1,2)</f>
        <v>0</v>
      </c>
      <c r="AB40" s="87"/>
    </row>
    <row r="41" spans="1:28" ht="13.5" customHeight="1" x14ac:dyDescent="0.25">
      <c r="A41" s="105">
        <v>0</v>
      </c>
      <c r="B41" s="453" t="s">
        <v>229</v>
      </c>
      <c r="C41" s="426"/>
      <c r="D41" s="106">
        <v>47.25</v>
      </c>
      <c r="E41" s="107">
        <f t="shared" ref="E41:E65" si="4">D41*A41*12</f>
        <v>0</v>
      </c>
      <c r="F41" s="107">
        <f t="shared" ref="F41:F65" si="5">E41/12</f>
        <v>0</v>
      </c>
      <c r="AB41" s="23" t="s">
        <v>209</v>
      </c>
    </row>
    <row r="42" spans="1:28" ht="13.5" customHeight="1" x14ac:dyDescent="0.25">
      <c r="A42" s="105">
        <v>0</v>
      </c>
      <c r="B42" s="453" t="s">
        <v>230</v>
      </c>
      <c r="C42" s="426"/>
      <c r="D42" s="106">
        <v>8.83</v>
      </c>
      <c r="E42" s="107">
        <f t="shared" si="4"/>
        <v>0</v>
      </c>
      <c r="F42" s="107">
        <f t="shared" si="5"/>
        <v>0</v>
      </c>
    </row>
    <row r="43" spans="1:28" ht="13.5" customHeight="1" x14ac:dyDescent="0.25">
      <c r="A43" s="105">
        <v>0</v>
      </c>
      <c r="B43" s="453" t="s">
        <v>231</v>
      </c>
      <c r="C43" s="426"/>
      <c r="D43" s="106">
        <v>13.645</v>
      </c>
      <c r="E43" s="107">
        <f t="shared" si="4"/>
        <v>0</v>
      </c>
      <c r="F43" s="107">
        <f t="shared" si="5"/>
        <v>0</v>
      </c>
    </row>
    <row r="44" spans="1:28" ht="13.5" customHeight="1" x14ac:dyDescent="0.25">
      <c r="A44" s="105">
        <v>0</v>
      </c>
      <c r="B44" s="453" t="s">
        <v>232</v>
      </c>
      <c r="C44" s="426"/>
      <c r="D44" s="106">
        <v>19.63</v>
      </c>
      <c r="E44" s="107">
        <f t="shared" si="4"/>
        <v>0</v>
      </c>
      <c r="F44" s="107">
        <f t="shared" si="5"/>
        <v>0</v>
      </c>
    </row>
    <row r="45" spans="1:28" ht="13.5" customHeight="1" x14ac:dyDescent="0.25">
      <c r="A45" s="105">
        <v>0</v>
      </c>
      <c r="B45" s="453" t="s">
        <v>233</v>
      </c>
      <c r="C45" s="426"/>
      <c r="D45" s="106">
        <v>1.5</v>
      </c>
      <c r="E45" s="107">
        <f t="shared" si="4"/>
        <v>0</v>
      </c>
      <c r="F45" s="107">
        <f t="shared" si="5"/>
        <v>0</v>
      </c>
    </row>
    <row r="46" spans="1:28" ht="13.5" customHeight="1" x14ac:dyDescent="0.25">
      <c r="A46" s="105">
        <v>0</v>
      </c>
      <c r="B46" s="453" t="s">
        <v>234</v>
      </c>
      <c r="C46" s="426"/>
      <c r="D46" s="106">
        <v>1.99</v>
      </c>
      <c r="E46" s="107">
        <f t="shared" si="4"/>
        <v>0</v>
      </c>
      <c r="F46" s="107">
        <f t="shared" si="5"/>
        <v>0</v>
      </c>
    </row>
    <row r="47" spans="1:28" ht="13.5" customHeight="1" x14ac:dyDescent="0.25">
      <c r="A47" s="105">
        <v>0</v>
      </c>
      <c r="B47" s="453" t="s">
        <v>235</v>
      </c>
      <c r="C47" s="426"/>
      <c r="D47" s="106">
        <v>3.51</v>
      </c>
      <c r="E47" s="107">
        <f t="shared" si="4"/>
        <v>0</v>
      </c>
      <c r="F47" s="107">
        <f t="shared" si="5"/>
        <v>0</v>
      </c>
    </row>
    <row r="48" spans="1:28" ht="13.5" customHeight="1" x14ac:dyDescent="0.25">
      <c r="A48" s="105">
        <v>0</v>
      </c>
      <c r="B48" s="453" t="s">
        <v>236</v>
      </c>
      <c r="C48" s="426"/>
      <c r="D48" s="106">
        <v>2.99</v>
      </c>
      <c r="E48" s="107">
        <f t="shared" si="4"/>
        <v>0</v>
      </c>
      <c r="F48" s="107">
        <f t="shared" si="5"/>
        <v>0</v>
      </c>
    </row>
    <row r="49" spans="1:6" ht="13.5" customHeight="1" x14ac:dyDescent="0.25">
      <c r="A49" s="105">
        <v>0</v>
      </c>
      <c r="B49" s="453" t="s">
        <v>237</v>
      </c>
      <c r="C49" s="426"/>
      <c r="D49" s="106">
        <v>2.2999999999999998</v>
      </c>
      <c r="E49" s="107">
        <f t="shared" si="4"/>
        <v>0</v>
      </c>
      <c r="F49" s="107">
        <f t="shared" si="5"/>
        <v>0</v>
      </c>
    </row>
    <row r="50" spans="1:6" ht="13.5" customHeight="1" x14ac:dyDescent="0.25">
      <c r="A50" s="105">
        <v>0</v>
      </c>
      <c r="B50" s="453" t="s">
        <v>238</v>
      </c>
      <c r="C50" s="426"/>
      <c r="D50" s="106">
        <v>1.99</v>
      </c>
      <c r="E50" s="107">
        <f t="shared" si="4"/>
        <v>0</v>
      </c>
      <c r="F50" s="107">
        <f t="shared" si="5"/>
        <v>0</v>
      </c>
    </row>
    <row r="51" spans="1:6" ht="13.5" customHeight="1" x14ac:dyDescent="0.25">
      <c r="A51" s="105">
        <v>0</v>
      </c>
      <c r="B51" s="453" t="s">
        <v>239</v>
      </c>
      <c r="C51" s="426"/>
      <c r="D51" s="106">
        <v>0.37</v>
      </c>
      <c r="E51" s="107">
        <f t="shared" si="4"/>
        <v>0</v>
      </c>
      <c r="F51" s="107">
        <f t="shared" si="5"/>
        <v>0</v>
      </c>
    </row>
    <row r="52" spans="1:6" ht="13.5" customHeight="1" x14ac:dyDescent="0.25">
      <c r="A52" s="105">
        <v>0</v>
      </c>
      <c r="B52" s="453" t="s">
        <v>240</v>
      </c>
      <c r="C52" s="426"/>
      <c r="D52" s="106">
        <v>0.13</v>
      </c>
      <c r="E52" s="107">
        <f t="shared" si="4"/>
        <v>0</v>
      </c>
      <c r="F52" s="107">
        <f t="shared" si="5"/>
        <v>0</v>
      </c>
    </row>
    <row r="53" spans="1:6" ht="13.5" customHeight="1" x14ac:dyDescent="0.25">
      <c r="A53" s="105">
        <v>0</v>
      </c>
      <c r="B53" s="453" t="s">
        <v>241</v>
      </c>
      <c r="C53" s="426"/>
      <c r="D53" s="106">
        <v>0.31</v>
      </c>
      <c r="E53" s="107">
        <f t="shared" si="4"/>
        <v>0</v>
      </c>
      <c r="F53" s="107">
        <f t="shared" si="5"/>
        <v>0</v>
      </c>
    </row>
    <row r="54" spans="1:6" ht="13.5" customHeight="1" x14ac:dyDescent="0.25">
      <c r="A54" s="105">
        <v>0</v>
      </c>
      <c r="B54" s="453" t="s">
        <v>242</v>
      </c>
      <c r="C54" s="426"/>
      <c r="D54" s="106">
        <v>2.08</v>
      </c>
      <c r="E54" s="107">
        <f t="shared" si="4"/>
        <v>0</v>
      </c>
      <c r="F54" s="107">
        <f t="shared" si="5"/>
        <v>0</v>
      </c>
    </row>
    <row r="55" spans="1:6" ht="15.75" customHeight="1" x14ac:dyDescent="0.25">
      <c r="A55" s="105">
        <v>0</v>
      </c>
      <c r="B55" s="454" t="s">
        <v>243</v>
      </c>
      <c r="C55" s="426"/>
      <c r="D55" s="106">
        <v>12</v>
      </c>
      <c r="E55" s="107">
        <f t="shared" si="4"/>
        <v>0</v>
      </c>
      <c r="F55" s="107">
        <f t="shared" si="5"/>
        <v>0</v>
      </c>
    </row>
    <row r="56" spans="1:6" ht="13.5" customHeight="1" x14ac:dyDescent="0.25">
      <c r="A56" s="105">
        <v>0</v>
      </c>
      <c r="B56" s="453" t="s">
        <v>244</v>
      </c>
      <c r="C56" s="426"/>
      <c r="D56" s="106">
        <v>7.6</v>
      </c>
      <c r="E56" s="107">
        <f t="shared" si="4"/>
        <v>0</v>
      </c>
      <c r="F56" s="107">
        <f t="shared" si="5"/>
        <v>0</v>
      </c>
    </row>
    <row r="57" spans="1:6" ht="13.5" customHeight="1" x14ac:dyDescent="0.25">
      <c r="A57" s="105">
        <v>0</v>
      </c>
      <c r="B57" s="453" t="s">
        <v>245</v>
      </c>
      <c r="C57" s="426"/>
      <c r="D57" s="106">
        <v>7.6</v>
      </c>
      <c r="E57" s="107">
        <f t="shared" si="4"/>
        <v>0</v>
      </c>
      <c r="F57" s="107">
        <f t="shared" si="5"/>
        <v>0</v>
      </c>
    </row>
    <row r="58" spans="1:6" ht="13.5" customHeight="1" x14ac:dyDescent="0.25">
      <c r="A58" s="105">
        <v>0</v>
      </c>
      <c r="B58" s="453" t="s">
        <v>246</v>
      </c>
      <c r="C58" s="426"/>
      <c r="D58" s="106">
        <v>11</v>
      </c>
      <c r="E58" s="107">
        <f t="shared" si="4"/>
        <v>0</v>
      </c>
      <c r="F58" s="107">
        <f t="shared" si="5"/>
        <v>0</v>
      </c>
    </row>
    <row r="59" spans="1:6" ht="13.5" customHeight="1" x14ac:dyDescent="0.25">
      <c r="A59" s="105">
        <v>0</v>
      </c>
      <c r="B59" s="453" t="s">
        <v>247</v>
      </c>
      <c r="C59" s="426"/>
      <c r="D59" s="106">
        <v>1.9</v>
      </c>
      <c r="E59" s="107">
        <f t="shared" si="4"/>
        <v>0</v>
      </c>
      <c r="F59" s="107">
        <f t="shared" si="5"/>
        <v>0</v>
      </c>
    </row>
    <row r="60" spans="1:6" ht="13.5" customHeight="1" x14ac:dyDescent="0.25">
      <c r="A60" s="105">
        <v>0</v>
      </c>
      <c r="B60" s="453" t="s">
        <v>248</v>
      </c>
      <c r="C60" s="426"/>
      <c r="D60" s="106">
        <v>6.44</v>
      </c>
      <c r="E60" s="107">
        <f t="shared" si="4"/>
        <v>0</v>
      </c>
      <c r="F60" s="107">
        <f t="shared" si="5"/>
        <v>0</v>
      </c>
    </row>
    <row r="61" spans="1:6" ht="15.75" customHeight="1" x14ac:dyDescent="0.25">
      <c r="A61" s="105">
        <v>0</v>
      </c>
      <c r="B61" s="454" t="s">
        <v>249</v>
      </c>
      <c r="C61" s="426"/>
      <c r="D61" s="106">
        <v>6.07</v>
      </c>
      <c r="E61" s="107">
        <f t="shared" si="4"/>
        <v>0</v>
      </c>
      <c r="F61" s="107">
        <f t="shared" si="5"/>
        <v>0</v>
      </c>
    </row>
    <row r="62" spans="1:6" ht="13.5" customHeight="1" x14ac:dyDescent="0.25">
      <c r="A62" s="105">
        <v>0</v>
      </c>
      <c r="B62" s="453" t="s">
        <v>250</v>
      </c>
      <c r="C62" s="426"/>
      <c r="D62" s="106">
        <v>8.3800000000000008</v>
      </c>
      <c r="E62" s="107">
        <f t="shared" si="4"/>
        <v>0</v>
      </c>
      <c r="F62" s="107">
        <f t="shared" si="5"/>
        <v>0</v>
      </c>
    </row>
    <row r="63" spans="1:6" ht="13.5" customHeight="1" x14ac:dyDescent="0.25">
      <c r="A63" s="105">
        <v>0</v>
      </c>
      <c r="B63" s="453" t="s">
        <v>251</v>
      </c>
      <c r="C63" s="426"/>
      <c r="D63" s="106">
        <v>5.8</v>
      </c>
      <c r="E63" s="107">
        <f t="shared" si="4"/>
        <v>0</v>
      </c>
      <c r="F63" s="107">
        <f t="shared" si="5"/>
        <v>0</v>
      </c>
    </row>
    <row r="64" spans="1:6" ht="15.75" customHeight="1" x14ac:dyDescent="0.25">
      <c r="A64" s="105">
        <v>0</v>
      </c>
      <c r="B64" s="108" t="s">
        <v>252</v>
      </c>
      <c r="C64" s="91"/>
      <c r="D64" s="106">
        <v>4.0999999999999996</v>
      </c>
      <c r="E64" s="107">
        <f t="shared" si="4"/>
        <v>0</v>
      </c>
      <c r="F64" s="107">
        <f t="shared" si="5"/>
        <v>0</v>
      </c>
    </row>
    <row r="65" spans="1:28" ht="15.75" customHeight="1" x14ac:dyDescent="0.25">
      <c r="A65" s="105">
        <v>0</v>
      </c>
      <c r="B65" s="108" t="s">
        <v>253</v>
      </c>
      <c r="C65" s="91"/>
      <c r="D65" s="106">
        <v>5.99</v>
      </c>
      <c r="E65" s="107">
        <f t="shared" si="4"/>
        <v>0</v>
      </c>
      <c r="F65" s="107">
        <f t="shared" si="5"/>
        <v>0</v>
      </c>
    </row>
    <row r="66" spans="1:28" ht="13.5" customHeight="1" x14ac:dyDescent="0.25">
      <c r="A66" s="105">
        <v>0</v>
      </c>
      <c r="B66" s="453" t="s">
        <v>254</v>
      </c>
      <c r="C66" s="426"/>
      <c r="D66" s="106">
        <v>21.9</v>
      </c>
      <c r="E66" s="107">
        <f>D66*A66*12</f>
        <v>0</v>
      </c>
      <c r="F66" s="107">
        <f>E66/12</f>
        <v>0</v>
      </c>
    </row>
    <row r="67" spans="1:28" ht="13.5" customHeight="1" x14ac:dyDescent="0.25">
      <c r="A67" s="456" t="s">
        <v>204</v>
      </c>
      <c r="B67" s="425"/>
      <c r="C67" s="425"/>
      <c r="D67" s="425"/>
      <c r="E67" s="426"/>
      <c r="F67" s="109">
        <f>SUM(F41:F66)</f>
        <v>0</v>
      </c>
      <c r="G67" s="110"/>
    </row>
    <row r="68" spans="1:28" ht="13.5" customHeight="1" x14ac:dyDescent="0.25">
      <c r="A68" s="456" t="s">
        <v>207</v>
      </c>
      <c r="B68" s="425"/>
      <c r="C68" s="425"/>
      <c r="D68" s="425"/>
      <c r="E68" s="426"/>
      <c r="F68" s="111">
        <f>+ROUND(F67/4,2)</f>
        <v>0</v>
      </c>
      <c r="G68" s="23" t="s">
        <v>209</v>
      </c>
    </row>
    <row r="69" spans="1:28" ht="57" customHeight="1" x14ac:dyDescent="0.25">
      <c r="A69" s="87"/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</row>
    <row r="70" spans="1:28" ht="63.75" customHeight="1" x14ac:dyDescent="0.25">
      <c r="A70" s="87"/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</row>
    <row r="71" spans="1:28" ht="43.5" customHeight="1" x14ac:dyDescent="0.25">
      <c r="A71" s="87"/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</row>
    <row r="72" spans="1:28" ht="36.75" customHeight="1" x14ac:dyDescent="0.25">
      <c r="A72" s="87"/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</row>
    <row r="73" spans="1:28" ht="52.5" customHeight="1" x14ac:dyDescent="0.25">
      <c r="A73" s="87"/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</row>
    <row r="74" spans="1:28" ht="44.25" customHeight="1" x14ac:dyDescent="0.25">
      <c r="A74" s="87"/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</row>
    <row r="75" spans="1:28" ht="51.75" customHeight="1" x14ac:dyDescent="0.25">
      <c r="A75" s="87"/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87"/>
    </row>
    <row r="76" spans="1:28" ht="39.75" customHeight="1" x14ac:dyDescent="0.25">
      <c r="A76" s="112"/>
      <c r="B76" s="455"/>
      <c r="C76" s="371"/>
      <c r="D76" s="113"/>
      <c r="E76" s="112"/>
      <c r="F76" s="114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</row>
    <row r="77" spans="1:28" ht="29.25" customHeight="1" x14ac:dyDescent="0.25">
      <c r="A77" s="112"/>
      <c r="B77" s="455"/>
      <c r="C77" s="371"/>
      <c r="D77" s="113"/>
      <c r="E77" s="112"/>
      <c r="F77" s="114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</row>
    <row r="78" spans="1:28" ht="36" customHeight="1" x14ac:dyDescent="0.25">
      <c r="A78" s="112"/>
      <c r="B78" s="455"/>
      <c r="C78" s="371"/>
      <c r="D78" s="113"/>
      <c r="E78" s="112"/>
      <c r="F78" s="114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</row>
    <row r="79" spans="1:28" ht="29.25" customHeight="1" x14ac:dyDescent="0.25">
      <c r="A79" s="112"/>
      <c r="B79" s="455"/>
      <c r="C79" s="371"/>
      <c r="D79" s="113"/>
      <c r="E79" s="112"/>
      <c r="F79" s="114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</row>
    <row r="80" spans="1:28" ht="29.25" customHeight="1" x14ac:dyDescent="0.25">
      <c r="A80" s="112"/>
      <c r="B80" s="455"/>
      <c r="C80" s="371"/>
      <c r="D80" s="113"/>
      <c r="E80" s="112"/>
      <c r="F80" s="114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</row>
    <row r="81" spans="1:28" ht="39" customHeight="1" x14ac:dyDescent="0.25">
      <c r="A81" s="112"/>
      <c r="B81" s="455"/>
      <c r="C81" s="371"/>
      <c r="D81" s="113"/>
      <c r="E81" s="112"/>
      <c r="F81" s="114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</row>
    <row r="82" spans="1:28" ht="43.5" customHeight="1" x14ac:dyDescent="0.25">
      <c r="A82" s="112"/>
      <c r="B82" s="455"/>
      <c r="C82" s="371"/>
      <c r="D82" s="113"/>
      <c r="E82" s="112"/>
      <c r="F82" s="114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</row>
    <row r="83" spans="1:28" ht="37.5" customHeight="1" x14ac:dyDescent="0.25">
      <c r="A83" s="112"/>
      <c r="B83" s="455"/>
      <c r="C83" s="371"/>
      <c r="D83" s="113"/>
      <c r="E83" s="112"/>
      <c r="F83" s="114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</row>
    <row r="84" spans="1:28" ht="40.5" customHeight="1" x14ac:dyDescent="0.25">
      <c r="A84" s="112"/>
      <c r="B84" s="455"/>
      <c r="C84" s="371"/>
      <c r="D84" s="113"/>
      <c r="E84" s="112"/>
      <c r="F84" s="114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</row>
    <row r="85" spans="1:28" ht="35.25" customHeight="1" x14ac:dyDescent="0.25">
      <c r="A85" s="112"/>
      <c r="B85" s="455"/>
      <c r="C85" s="371"/>
      <c r="D85" s="113"/>
      <c r="E85" s="112"/>
      <c r="F85" s="114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</row>
    <row r="86" spans="1:28" ht="51.75" customHeight="1" x14ac:dyDescent="0.25">
      <c r="A86" s="112"/>
      <c r="B86" s="455"/>
      <c r="C86" s="371"/>
      <c r="D86" s="113"/>
      <c r="E86" s="112"/>
      <c r="F86" s="114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</row>
    <row r="87" spans="1:28" ht="56.25" customHeight="1" x14ac:dyDescent="0.25">
      <c r="A87" s="112"/>
      <c r="B87" s="455"/>
      <c r="C87" s="371"/>
      <c r="D87" s="113"/>
      <c r="E87" s="112"/>
      <c r="F87" s="114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</row>
    <row r="88" spans="1:28" ht="40.5" customHeight="1" x14ac:dyDescent="0.25">
      <c r="A88" s="112"/>
      <c r="B88" s="455"/>
      <c r="C88" s="371"/>
      <c r="D88" s="113"/>
      <c r="E88" s="112"/>
      <c r="F88" s="114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</row>
    <row r="89" spans="1:28" ht="41.25" customHeight="1" x14ac:dyDescent="0.25">
      <c r="A89" s="112"/>
      <c r="B89" s="455"/>
      <c r="C89" s="371"/>
      <c r="D89" s="113"/>
      <c r="E89" s="112"/>
      <c r="F89" s="114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</row>
    <row r="90" spans="1:28" ht="29.25" customHeight="1" x14ac:dyDescent="0.25">
      <c r="A90" s="112"/>
      <c r="B90" s="455"/>
      <c r="C90" s="371"/>
      <c r="D90" s="113"/>
      <c r="E90" s="112"/>
      <c r="F90" s="114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</row>
    <row r="91" spans="1:28" ht="42" customHeight="1" x14ac:dyDescent="0.25">
      <c r="A91" s="112"/>
      <c r="B91" s="455"/>
      <c r="C91" s="371"/>
      <c r="D91" s="113"/>
      <c r="E91" s="112"/>
      <c r="F91" s="114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</row>
    <row r="92" spans="1:28" ht="29.25" customHeight="1" x14ac:dyDescent="0.25">
      <c r="A92" s="112"/>
      <c r="B92" s="455"/>
      <c r="C92" s="371"/>
      <c r="D92" s="113"/>
      <c r="E92" s="112"/>
      <c r="F92" s="114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</row>
    <row r="93" spans="1:28" ht="29.25" customHeight="1" x14ac:dyDescent="0.25">
      <c r="A93" s="112"/>
      <c r="B93" s="455"/>
      <c r="C93" s="371"/>
      <c r="D93" s="113"/>
      <c r="E93" s="112"/>
      <c r="F93" s="114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</row>
    <row r="94" spans="1:28" ht="29.25" customHeight="1" x14ac:dyDescent="0.25">
      <c r="A94" s="112"/>
      <c r="B94" s="455"/>
      <c r="C94" s="371"/>
      <c r="D94" s="113"/>
      <c r="E94" s="112"/>
      <c r="F94" s="114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</row>
    <row r="95" spans="1:28" ht="15.75" customHeight="1" x14ac:dyDescent="0.25"/>
    <row r="96" spans="1:28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96">
    <mergeCell ref="V40:Z40"/>
    <mergeCell ref="W26:X26"/>
    <mergeCell ref="W27:X27"/>
    <mergeCell ref="W28:X28"/>
    <mergeCell ref="W29:X29"/>
    <mergeCell ref="W30:X30"/>
    <mergeCell ref="W31:X31"/>
    <mergeCell ref="W32:X32"/>
    <mergeCell ref="W25:X25"/>
    <mergeCell ref="W33:X33"/>
    <mergeCell ref="W34:X34"/>
    <mergeCell ref="W35:X35"/>
    <mergeCell ref="V39:Z39"/>
    <mergeCell ref="W20:X20"/>
    <mergeCell ref="W21:X21"/>
    <mergeCell ref="W22:X22"/>
    <mergeCell ref="W23:X23"/>
    <mergeCell ref="W24:X24"/>
    <mergeCell ref="A8:F8"/>
    <mergeCell ref="A9:F9"/>
    <mergeCell ref="A10:F10"/>
    <mergeCell ref="A11:F11"/>
    <mergeCell ref="A12:F12"/>
    <mergeCell ref="A2:F2"/>
    <mergeCell ref="A3:F3"/>
    <mergeCell ref="A5:F5"/>
    <mergeCell ref="A6:F6"/>
    <mergeCell ref="A7:F7"/>
    <mergeCell ref="B81:C81"/>
    <mergeCell ref="B82:C82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89:C89"/>
    <mergeCell ref="B62:C62"/>
    <mergeCell ref="B63:C63"/>
    <mergeCell ref="B58:C58"/>
    <mergeCell ref="B59:C59"/>
    <mergeCell ref="V13:AA13"/>
    <mergeCell ref="L14:M14"/>
    <mergeCell ref="L15:M15"/>
    <mergeCell ref="K13:P13"/>
    <mergeCell ref="W14:X14"/>
    <mergeCell ref="W15:X15"/>
    <mergeCell ref="W16:X16"/>
    <mergeCell ref="W17:X17"/>
    <mergeCell ref="W18:X18"/>
    <mergeCell ref="K19:O19"/>
    <mergeCell ref="K20:O20"/>
    <mergeCell ref="W19:X19"/>
    <mergeCell ref="B77:C77"/>
    <mergeCell ref="B78:C78"/>
    <mergeCell ref="B79:C79"/>
    <mergeCell ref="B80:C80"/>
    <mergeCell ref="B66:C66"/>
    <mergeCell ref="A67:E67"/>
    <mergeCell ref="A68:E68"/>
    <mergeCell ref="B76:C76"/>
    <mergeCell ref="B47:C47"/>
    <mergeCell ref="B48:C48"/>
    <mergeCell ref="B49:C49"/>
    <mergeCell ref="B50:C50"/>
    <mergeCell ref="B51:C51"/>
    <mergeCell ref="B52:C52"/>
    <mergeCell ref="B60:C60"/>
    <mergeCell ref="B61:C61"/>
    <mergeCell ref="B53:C53"/>
    <mergeCell ref="B54:C54"/>
    <mergeCell ref="B55:C55"/>
    <mergeCell ref="B56:C56"/>
    <mergeCell ref="B57:C57"/>
    <mergeCell ref="B40:C40"/>
    <mergeCell ref="B41:C41"/>
    <mergeCell ref="B42:C42"/>
    <mergeCell ref="B43:C43"/>
    <mergeCell ref="B46:C46"/>
    <mergeCell ref="B44:C44"/>
    <mergeCell ref="B45:C45"/>
    <mergeCell ref="A32:C33"/>
    <mergeCell ref="D32:E32"/>
    <mergeCell ref="D33:E33"/>
    <mergeCell ref="A34:F34"/>
    <mergeCell ref="A39:F39"/>
    <mergeCell ref="A20:C21"/>
    <mergeCell ref="D20:E20"/>
    <mergeCell ref="D21:E21"/>
    <mergeCell ref="A22:F22"/>
    <mergeCell ref="A23:F23"/>
  </mergeCells>
  <pageMargins left="0.31527777777777799" right="0.31527777777777799" top="0.78749999999999998" bottom="0.78749999999999998" header="0" footer="0"/>
  <pageSetup paperSize="9" scale="95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54:K54"/>
  <sheetViews>
    <sheetView topLeftCell="A37" workbookViewId="0">
      <selection activeCell="O60" sqref="O60"/>
    </sheetView>
  </sheetViews>
  <sheetFormatPr defaultRowHeight="15" x14ac:dyDescent="0.25"/>
  <sheetData>
    <row r="54" spans="3:11" ht="15.75" x14ac:dyDescent="0.25">
      <c r="C54" s="469" t="s">
        <v>282</v>
      </c>
      <c r="D54" s="469"/>
      <c r="E54" s="469"/>
      <c r="F54" s="469"/>
      <c r="G54" s="469"/>
      <c r="H54" s="469"/>
      <c r="I54" s="469"/>
      <c r="J54" s="469"/>
      <c r="K54" s="469"/>
    </row>
  </sheetData>
  <mergeCells count="1">
    <mergeCell ref="C54:K54"/>
  </mergeCells>
  <phoneticPr fontId="46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1031" r:id="rId4">
          <objectPr defaultSiz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13</xdr:col>
                <xdr:colOff>0</xdr:colOff>
                <xdr:row>52</xdr:row>
                <xdr:rowOff>66675</xdr:rowOff>
              </to>
            </anchor>
          </objectPr>
        </oleObject>
      </mc:Choice>
      <mc:Fallback>
        <oleObject progId="Word.Document.12" shapeId="1031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</vt:i4>
      </vt:variant>
    </vt:vector>
  </HeadingPairs>
  <TitlesOfParts>
    <vt:vector size="6" baseType="lpstr">
      <vt:lpstr>PADRÃO</vt:lpstr>
      <vt:lpstr>auxiliar de limpeza - 40hs</vt:lpstr>
      <vt:lpstr>RESUMO</vt:lpstr>
      <vt:lpstr>ANEXO V</vt:lpstr>
      <vt:lpstr>Planilha de materiais</vt:lpstr>
      <vt:lpstr>'Planilha de materiais'!OLE_LINK1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Luizelli Alencastro</dc:creator>
  <cp:lastModifiedBy>Flávia Schmitz</cp:lastModifiedBy>
  <cp:lastPrinted>2024-04-30T16:44:19Z</cp:lastPrinted>
  <dcterms:created xsi:type="dcterms:W3CDTF">2016-08-22T17:41:37Z</dcterms:created>
  <dcterms:modified xsi:type="dcterms:W3CDTF">2025-10-15T12:48:10Z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Tribunal de Contas do Estado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