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EstaPasta_de_trabalho"/>
  <mc:AlternateContent xmlns:mc="http://schemas.openxmlformats.org/markup-compatibility/2006">
    <mc:Choice Requires="x15">
      <x15ac:absPath xmlns:x15ac="http://schemas.microsoft.com/office/spreadsheetml/2010/11/ac" url="C:\Users\licitacoes01.PMVAP\Downloads\"/>
    </mc:Choice>
  </mc:AlternateContent>
  <xr:revisionPtr revIDLastSave="0" documentId="8_{02D3C7EA-D59D-452F-B277-EC4E4D7BCD88}" xr6:coauthVersionLast="47" xr6:coauthVersionMax="47" xr10:uidLastSave="{00000000-0000-0000-0000-000000000000}"/>
  <workbookProtection workbookAlgorithmName="SHA-512" workbookHashValue="72JEsrO/D++h3BUyQUUgng554T5+TMqF9gue55r0Px+atSWkYYIk4MiUuGBGKeeGg3pyENozG3ZPlaQqaJrWlg==" workbookSaltValue="f9qEx+A5l9PrEpUTO8OpaA==" workbookSpinCount="100000" lockStructure="1"/>
  <bookViews>
    <workbookView xWindow="-120" yWindow="-120" windowWidth="24240" windowHeight="13140" activeTab="3" xr2:uid="{00000000-000D-0000-FFFF-FFFF00000000}"/>
  </bookViews>
  <sheets>
    <sheet name="DADOS" sheetId="16" r:id="rId1"/>
    <sheet name="BDI (1)" sheetId="17" r:id="rId2"/>
    <sheet name="BDI (2)" sheetId="18"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5">CFF!$L$1:$W$42</definedName>
    <definedName name="_xlnm.Print_Area" localSheetId="0">DADOS!$A$1:$X$87</definedName>
    <definedName name="_xlnm.Print_Area" localSheetId="4">PLQ!$B$1:$P$46</definedName>
    <definedName name="_xlnm.Print_Area" localSheetId="3">PO!$K$1:$T$55</definedName>
    <definedName name="_xlnm.Database">TEXT(Import.DataBase,"mm-aaaa")</definedName>
    <definedName name="CFF.ColunaPadrão">CFF!$AC:$AC</definedName>
    <definedName name="CFF.Colunas">CFF!$P$10:$X$10</definedName>
    <definedName name="CFF.Dados">OFFSET(CFF!$L$17,1,0):OFFSET(CFF!$X$36,-1,-1)</definedName>
    <definedName name="CFF.IncluirLinha">MAX(PO!$V$12:$V$40)*CFF.NumLinha-ROW(CFF!$F$36)+ROW(CFF!$F$17)+1</definedName>
    <definedName name="CFF.Item">OFFSET(CFF!$L$17,1,0):OFFSET(CFF!$X$36,-1,-1)</definedName>
    <definedName name="CFF.LinhaPadrão">CFF!$A$11:$W$11</definedName>
    <definedName name="CFF.NumLinha">ROW(CFF!$D$14)-ROW(CFF!$D$10)-1</definedName>
    <definedName name="Código" localSheetId="3">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OFFSET(PO!$M$12,1,0):OFFSET(PO!$M$40,-1,0)</definedName>
    <definedName name="Import.CR">DADOS!$A$29</definedName>
    <definedName name="Import.CTEF">DADOS!$A$43</definedName>
    <definedName name="Import.CustoUnitário">OFFSET(PO!$Q$12,1,0):OFFSET(PO!$Q$40,-1,0)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OFFSET(PO!$N$12,1,0):OFFSET(PO!$N$40,-1,0)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OFFSET(PO!$L$12,1,0):OFFSET(PO!$L$40,-1,0)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OFFSET(PO!$K$12,1,0):OFFSET(PO!$K$40,-1,0)</definedName>
    <definedName name="Import.Localidade">DADOS!$K$32</definedName>
    <definedName name="Import.LocalSINAPI">DADOS!$D$38</definedName>
    <definedName name="Import.Município">DADOS!$G$32</definedName>
    <definedName name="Import.Nível">OFFSET(PO!$J$12,1,0):OFFSET(PO!$J$40,-1,0)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OFFSET(PLQ!$F$12,1,0):OFFSET(PLQ!$P$40,-1,-1)</definedName>
    <definedName name="Import.POArred">PO!$X$3:$X$7</definedName>
    <definedName name="Import.PreçoTotal">OFFSET(PO!$T$12,1,0):OFFSET(PO!$T$40,-1,0)</definedName>
    <definedName name="Import.PreçoUnitário">OFFSET(PO!$S$12,1,0):OFFSET(PO!$S$40,-1,0)</definedName>
    <definedName name="Import.Programa">DADOS!$F$29</definedName>
    <definedName name="Import.Proponente">DADOS!$A$32</definedName>
    <definedName name="Import.Quantidade">OFFSET(PO!$P$12,1,0):OFFSET(PO!$P$40,-1,0)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OFFSET(PO!$O$12,1,0):OFFSET(PO!$O$40,-1,0)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OFFSET(PO!$Z$12,1,0):OFFSET(PO!$Z$40,-1,0)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PO!$K$41</definedName>
    <definedName name="linhaSINAPIxls" localSheetId="3">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PLQ!$B$9:OFFSET(PLQ!$B$40,-1,0)</definedName>
    <definedName name="PLQ.LinhaPadrão">PLQ!$A$11:$P$11</definedName>
    <definedName name="PLQ.qtde.frentes">COUNTA(PLQ!$F$9:$P$9)</definedName>
    <definedName name="PO.BDI">OFFSET(PO!$R$12,1,0):OFFSET(PO!$R$40,-1,0)</definedName>
    <definedName name="PO.CustoRef">OFFSET(PO!$Y$12,1,0):OFFSET(PO!$Y$40,-1,0)</definedName>
    <definedName name="PO.CustoUnitario">ROUND(PO!$Q1,15-13*PO!$X$4)</definedName>
    <definedName name="PO.Dados">PO!$C$12:OFFSET(PO!$Z$40,-1,0)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"BASE"</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91029"/>
</workbook>
</file>

<file path=xl/calcChain.xml><?xml version="1.0" encoding="utf-8"?>
<calcChain xmlns="http://schemas.openxmlformats.org/spreadsheetml/2006/main">
  <c r="P28" i="12" l="1"/>
  <c r="F28" i="13" s="1"/>
  <c r="P26" i="12"/>
  <c r="F26" i="13" s="1"/>
  <c r="A27" i="13"/>
  <c r="W27" i="12"/>
  <c r="A27" i="12"/>
  <c r="I27" i="12" s="1"/>
  <c r="A29" i="13"/>
  <c r="A28" i="13"/>
  <c r="A26" i="13"/>
  <c r="W29" i="12"/>
  <c r="H29" i="12"/>
  <c r="A29" i="12"/>
  <c r="V29" i="12" s="1"/>
  <c r="W28" i="12"/>
  <c r="A28" i="12"/>
  <c r="W26" i="12"/>
  <c r="A26" i="12"/>
  <c r="P24" i="12"/>
  <c r="P25" i="12" s="1"/>
  <c r="P27" i="12" l="1"/>
  <c r="F27" i="13" s="1"/>
  <c r="E27" i="13" s="1"/>
  <c r="P29" i="12"/>
  <c r="F29" i="13" s="1"/>
  <c r="E29" i="13" s="1"/>
  <c r="D29" i="13"/>
  <c r="V27" i="12"/>
  <c r="B27" i="12"/>
  <c r="H27" i="12"/>
  <c r="E28" i="13"/>
  <c r="H28" i="12"/>
  <c r="I28" i="12"/>
  <c r="I29" i="12"/>
  <c r="E26" i="13"/>
  <c r="V26" i="12"/>
  <c r="B26" i="12"/>
  <c r="V28" i="12"/>
  <c r="B28" i="12"/>
  <c r="H26" i="12"/>
  <c r="I26" i="12"/>
  <c r="B29" i="12"/>
  <c r="C29" i="13" l="1"/>
  <c r="P32" i="12" l="1"/>
  <c r="F38" i="13"/>
  <c r="A38" i="13"/>
  <c r="F37" i="13"/>
  <c r="A37" i="13"/>
  <c r="F36" i="13"/>
  <c r="A36" i="13"/>
  <c r="W38" i="12"/>
  <c r="C38" i="13"/>
  <c r="A38" i="12"/>
  <c r="I38" i="12" s="1"/>
  <c r="W37" i="12"/>
  <c r="A37" i="12"/>
  <c r="I37" i="12" s="1"/>
  <c r="W36" i="12"/>
  <c r="A36" i="12"/>
  <c r="V36" i="12" s="1"/>
  <c r="H38" i="12" l="1"/>
  <c r="E38" i="13"/>
  <c r="E37" i="13"/>
  <c r="E36" i="13"/>
  <c r="C37" i="13"/>
  <c r="B37" i="12"/>
  <c r="V38" i="12"/>
  <c r="H36" i="12"/>
  <c r="I36" i="12"/>
  <c r="B36" i="12"/>
  <c r="B38" i="12"/>
  <c r="V37" i="12"/>
  <c r="H37" i="12"/>
  <c r="C36" i="13" l="1"/>
  <c r="F18" i="13"/>
  <c r="A18" i="13"/>
  <c r="F17" i="13"/>
  <c r="A17" i="13"/>
  <c r="F16" i="13"/>
  <c r="A16" i="13"/>
  <c r="F15" i="13"/>
  <c r="A15" i="13"/>
  <c r="W18" i="12"/>
  <c r="A18" i="12"/>
  <c r="H18" i="12" s="1"/>
  <c r="W17" i="12"/>
  <c r="A17" i="12"/>
  <c r="W16" i="12"/>
  <c r="A16" i="12"/>
  <c r="V16" i="12" s="1"/>
  <c r="W15" i="12"/>
  <c r="A15" i="12"/>
  <c r="V15" i="12" s="1"/>
  <c r="J50" i="18"/>
  <c r="J49" i="18"/>
  <c r="J48" i="18"/>
  <c r="J47" i="18"/>
  <c r="A45" i="18"/>
  <c r="A46" i="18" s="1"/>
  <c r="C44" i="18"/>
  <c r="A39" i="18"/>
  <c r="C39" i="18" s="1"/>
  <c r="C38" i="18"/>
  <c r="I35" i="18"/>
  <c r="M32" i="18"/>
  <c r="I29" i="18"/>
  <c r="A28" i="18"/>
  <c r="A29" i="18" s="1"/>
  <c r="O27" i="18"/>
  <c r="C27" i="18"/>
  <c r="N24" i="18"/>
  <c r="A24" i="18"/>
  <c r="A25" i="18" s="1"/>
  <c r="A23" i="18"/>
  <c r="C23" i="18" s="1"/>
  <c r="M22" i="18"/>
  <c r="I22" i="18"/>
  <c r="A22" i="18"/>
  <c r="C22" i="18" s="1"/>
  <c r="M21" i="18"/>
  <c r="I21" i="18"/>
  <c r="C21" i="18"/>
  <c r="M20" i="18"/>
  <c r="I20" i="18"/>
  <c r="M19" i="18"/>
  <c r="I19" i="18"/>
  <c r="M18" i="18"/>
  <c r="I18" i="18"/>
  <c r="A15" i="18"/>
  <c r="A17" i="18" s="1"/>
  <c r="C14" i="18"/>
  <c r="C13" i="18"/>
  <c r="C12" i="18"/>
  <c r="Q11" i="18"/>
  <c r="M33" i="18" s="1"/>
  <c r="C11" i="18"/>
  <c r="C10" i="18"/>
  <c r="C9" i="18"/>
  <c r="I8" i="18"/>
  <c r="C8" i="18"/>
  <c r="K5" i="18"/>
  <c r="I5" i="18"/>
  <c r="A3" i="18"/>
  <c r="A4" i="18" s="1"/>
  <c r="C2" i="18"/>
  <c r="N1" i="18"/>
  <c r="F39" i="13"/>
  <c r="A39" i="13"/>
  <c r="W39" i="12"/>
  <c r="A39" i="12"/>
  <c r="I39" i="12" s="1"/>
  <c r="I18" i="12" l="1"/>
  <c r="E15" i="13"/>
  <c r="D15" i="13"/>
  <c r="E18" i="13"/>
  <c r="D17" i="13"/>
  <c r="E16" i="13"/>
  <c r="E39" i="13"/>
  <c r="D18" i="13"/>
  <c r="C15" i="13"/>
  <c r="E17" i="13"/>
  <c r="B16" i="12"/>
  <c r="B15" i="12"/>
  <c r="V18" i="12"/>
  <c r="H15" i="12"/>
  <c r="I16" i="12"/>
  <c r="I15" i="12"/>
  <c r="H16" i="12"/>
  <c r="B18" i="12"/>
  <c r="C25" i="18"/>
  <c r="A26" i="18"/>
  <c r="C26" i="18" s="1"/>
  <c r="C17" i="18"/>
  <c r="A18" i="18"/>
  <c r="C29" i="18"/>
  <c r="A32" i="18"/>
  <c r="A5" i="18"/>
  <c r="C4" i="18"/>
  <c r="A47" i="18"/>
  <c r="C46" i="18"/>
  <c r="C24" i="18"/>
  <c r="I37" i="18"/>
  <c r="C45" i="18"/>
  <c r="C28" i="18"/>
  <c r="A40" i="18"/>
  <c r="C3" i="18"/>
  <c r="C15" i="18"/>
  <c r="N26" i="18"/>
  <c r="L32" i="18"/>
  <c r="N25" i="18"/>
  <c r="O25" i="18" s="1"/>
  <c r="D39" i="13"/>
  <c r="V39" i="12"/>
  <c r="B39" i="12"/>
  <c r="H39" i="12"/>
  <c r="C17" i="13" l="1"/>
  <c r="C18" i="13"/>
  <c r="C47" i="18"/>
  <c r="A48" i="18"/>
  <c r="A6" i="18"/>
  <c r="C5" i="18"/>
  <c r="N27" i="18"/>
  <c r="A33" i="18"/>
  <c r="C32" i="18"/>
  <c r="A41" i="18"/>
  <c r="C40" i="18"/>
  <c r="A19" i="18"/>
  <c r="C18" i="18"/>
  <c r="C39" i="13"/>
  <c r="A42" i="18" l="1"/>
  <c r="C41" i="18"/>
  <c r="C19" i="18"/>
  <c r="A20" i="18"/>
  <c r="C20" i="18" s="1"/>
  <c r="A49" i="18"/>
  <c r="C49" i="18" s="1"/>
  <c r="C48" i="18"/>
  <c r="A34" i="18"/>
  <c r="C34" i="18" s="1"/>
  <c r="C33" i="18"/>
  <c r="Q18" i="18"/>
  <c r="Q20" i="18"/>
  <c r="Q21" i="18"/>
  <c r="R21" i="18"/>
  <c r="Q19" i="18"/>
  <c r="P21" i="18"/>
  <c r="P26" i="18"/>
  <c r="R18" i="18"/>
  <c r="P22" i="18"/>
  <c r="R19" i="18"/>
  <c r="A7" i="18"/>
  <c r="C7" i="18" s="1"/>
  <c r="C6" i="18"/>
  <c r="R20" i="18"/>
  <c r="F33" i="13"/>
  <c r="A33" i="13"/>
  <c r="W33" i="12"/>
  <c r="A33" i="12"/>
  <c r="I33" i="12" s="1"/>
  <c r="F25" i="13"/>
  <c r="A25" i="13"/>
  <c r="F24" i="13"/>
  <c r="A24" i="13"/>
  <c r="W25" i="12"/>
  <c r="A25" i="12"/>
  <c r="V25" i="12" s="1"/>
  <c r="W24" i="12"/>
  <c r="A24" i="12"/>
  <c r="B24" i="12" s="1"/>
  <c r="A43" i="18" l="1"/>
  <c r="C43" i="18" s="1"/>
  <c r="C42" i="18"/>
  <c r="R26" i="18"/>
  <c r="O26" i="18" s="1"/>
  <c r="V27" i="18" s="1"/>
  <c r="T16" i="18" s="1"/>
  <c r="R22" i="18"/>
  <c r="Q22" i="18"/>
  <c r="P18" i="18"/>
  <c r="P19" i="18"/>
  <c r="Q26" i="18"/>
  <c r="P20" i="18"/>
  <c r="H33" i="12"/>
  <c r="D33" i="13"/>
  <c r="E33" i="13"/>
  <c r="V33" i="12"/>
  <c r="B33" i="12"/>
  <c r="V24" i="12"/>
  <c r="E24" i="13"/>
  <c r="D24" i="13"/>
  <c r="C25" i="13"/>
  <c r="D25" i="13"/>
  <c r="B25" i="12"/>
  <c r="E25" i="13"/>
  <c r="H24" i="12"/>
  <c r="I24" i="12"/>
  <c r="H25" i="12"/>
  <c r="I25" i="12"/>
  <c r="C33" i="13" l="1"/>
  <c r="C24" i="13"/>
  <c r="G38" i="16" l="1"/>
  <c r="F11" i="13"/>
  <c r="F35" i="13"/>
  <c r="F34" i="13"/>
  <c r="F32" i="13"/>
  <c r="F31" i="13"/>
  <c r="F30" i="13"/>
  <c r="F23" i="13"/>
  <c r="F22" i="13"/>
  <c r="F21" i="13"/>
  <c r="F20" i="13"/>
  <c r="F19" i="13"/>
  <c r="F14" i="13"/>
  <c r="F13" i="13"/>
  <c r="A35" i="13" l="1"/>
  <c r="A34" i="13"/>
  <c r="A32" i="13"/>
  <c r="A31" i="13"/>
  <c r="A30" i="13"/>
  <c r="A23" i="13"/>
  <c r="A22" i="13"/>
  <c r="W35" i="12"/>
  <c r="A35" i="12"/>
  <c r="V35" i="12" s="1"/>
  <c r="X34" i="12"/>
  <c r="Y34" i="12" s="1"/>
  <c r="W34" i="12"/>
  <c r="A34" i="12"/>
  <c r="W32" i="12"/>
  <c r="A32" i="12"/>
  <c r="V32" i="12" s="1"/>
  <c r="X31" i="12"/>
  <c r="Y31" i="12" s="1"/>
  <c r="W31" i="12"/>
  <c r="A31" i="12"/>
  <c r="X30" i="12"/>
  <c r="O30" i="12" s="1"/>
  <c r="D30" i="13" s="1"/>
  <c r="W30" i="12"/>
  <c r="A30" i="12"/>
  <c r="W23" i="12"/>
  <c r="A23" i="12"/>
  <c r="V23" i="12" s="1"/>
  <c r="W22" i="12"/>
  <c r="A22" i="12"/>
  <c r="V22" i="12" s="1"/>
  <c r="A21" i="13"/>
  <c r="W21" i="12"/>
  <c r="A21" i="12"/>
  <c r="X21" i="12"/>
  <c r="D35" i="13" l="1"/>
  <c r="D32" i="13"/>
  <c r="D23" i="13"/>
  <c r="O21" i="12"/>
  <c r="D21" i="13" s="1"/>
  <c r="O31" i="12"/>
  <c r="D31" i="13" s="1"/>
  <c r="Y21" i="12"/>
  <c r="Y30" i="12"/>
  <c r="O34" i="12"/>
  <c r="D34" i="13" s="1"/>
  <c r="I32" i="12"/>
  <c r="E22" i="13"/>
  <c r="E30" i="13"/>
  <c r="E32" i="13"/>
  <c r="E35" i="13"/>
  <c r="B22" i="12"/>
  <c r="B23" i="12"/>
  <c r="B32" i="12"/>
  <c r="B35" i="12"/>
  <c r="I22" i="12"/>
  <c r="I35" i="12"/>
  <c r="E23" i="13"/>
  <c r="E31" i="13"/>
  <c r="E34" i="13"/>
  <c r="I23" i="12"/>
  <c r="H22" i="12"/>
  <c r="H23" i="12"/>
  <c r="H32" i="12"/>
  <c r="H35" i="12"/>
  <c r="E21" i="13"/>
  <c r="C34" i="13" l="1"/>
  <c r="C35" i="13"/>
  <c r="C30" i="13"/>
  <c r="C31" i="13"/>
  <c r="C23" i="13"/>
  <c r="C32" i="13"/>
  <c r="C21" i="13"/>
  <c r="A20" i="13" l="1"/>
  <c r="E20" i="13" s="1"/>
  <c r="A19" i="13"/>
  <c r="A14" i="13"/>
  <c r="E14" i="13" s="1"/>
  <c r="W20" i="12"/>
  <c r="A20" i="12"/>
  <c r="V20" i="12" s="1"/>
  <c r="W19" i="12"/>
  <c r="A19" i="12"/>
  <c r="X14" i="12"/>
  <c r="D14" i="13" s="1"/>
  <c r="W14" i="12"/>
  <c r="A14" i="12"/>
  <c r="E7" i="13"/>
  <c r="P9" i="12"/>
  <c r="F10" i="13"/>
  <c r="G10" i="13" s="1"/>
  <c r="H10" i="13" s="1"/>
  <c r="I10" i="13" s="1"/>
  <c r="J10" i="13" s="1"/>
  <c r="K10" i="13" s="1"/>
  <c r="L10" i="13" s="1"/>
  <c r="M10" i="13" s="1"/>
  <c r="N10" i="13" s="1"/>
  <c r="O10" i="13" s="1"/>
  <c r="U10" i="13"/>
  <c r="AC9" i="11"/>
  <c r="AC10" i="11" s="1"/>
  <c r="K48" i="12"/>
  <c r="X13" i="12"/>
  <c r="Y13" i="12" s="1"/>
  <c r="W13" i="12"/>
  <c r="N24" i="17"/>
  <c r="N26" i="17" s="1"/>
  <c r="Q224" i="16"/>
  <c r="Q223" i="16"/>
  <c r="P2" i="11"/>
  <c r="A20" i="11"/>
  <c r="A23" i="11" s="1"/>
  <c r="Q10" i="12"/>
  <c r="Q11" i="17"/>
  <c r="I37" i="17" s="1"/>
  <c r="N8" i="11"/>
  <c r="O9" i="11"/>
  <c r="P9" i="11" s="1"/>
  <c r="Q9" i="11" s="1"/>
  <c r="R9" i="11" s="1"/>
  <c r="S9" i="11" s="1"/>
  <c r="T9" i="11" s="1"/>
  <c r="U9" i="11" s="1"/>
  <c r="V9" i="11" s="1"/>
  <c r="W9" i="11" s="1"/>
  <c r="O10" i="11"/>
  <c r="A13" i="11"/>
  <c r="K13" i="11" s="1"/>
  <c r="N11" i="11" s="1"/>
  <c r="D17" i="11"/>
  <c r="L38" i="11"/>
  <c r="K54" i="12"/>
  <c r="A11" i="13"/>
  <c r="E11" i="13" s="1"/>
  <c r="X11" i="12"/>
  <c r="O11" i="12" s="1"/>
  <c r="D11" i="13" s="1"/>
  <c r="J12" i="12"/>
  <c r="A12" i="13" s="1"/>
  <c r="N12" i="12"/>
  <c r="A13" i="13"/>
  <c r="E13" i="13" s="1"/>
  <c r="K51" i="12"/>
  <c r="N2" i="12"/>
  <c r="Y10" i="12"/>
  <c r="Z10" i="12"/>
  <c r="A11" i="12"/>
  <c r="B11" i="12" s="1"/>
  <c r="W11" i="12"/>
  <c r="A13" i="12"/>
  <c r="D13" i="12" s="1"/>
  <c r="N1" i="17"/>
  <c r="C2" i="17"/>
  <c r="A3" i="17"/>
  <c r="A4" i="17" s="1"/>
  <c r="C4"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C28" i="17" s="1"/>
  <c r="I29" i="17"/>
  <c r="M32" i="17"/>
  <c r="I35" i="17"/>
  <c r="C38" i="17"/>
  <c r="A39" i="17"/>
  <c r="A40" i="17" s="1"/>
  <c r="C44" i="17"/>
  <c r="A45" i="17"/>
  <c r="A46" i="17" s="1"/>
  <c r="J47" i="17"/>
  <c r="J48" i="17"/>
  <c r="J49" i="17"/>
  <c r="J50" i="17"/>
  <c r="A55" i="16"/>
  <c r="G55" i="16" s="1"/>
  <c r="A56" i="16"/>
  <c r="A57" i="16"/>
  <c r="I50" i="17"/>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L32" i="17"/>
  <c r="N25" i="17"/>
  <c r="O25" i="17" s="1"/>
  <c r="D13" i="13"/>
  <c r="X19" i="12"/>
  <c r="W38" i="16"/>
  <c r="U38" i="16"/>
  <c r="V38" i="16"/>
  <c r="X38" i="16"/>
  <c r="C12" i="13" l="1"/>
  <c r="N13" i="12"/>
  <c r="B45" i="13"/>
  <c r="O42" i="18"/>
  <c r="G56" i="16"/>
  <c r="I49" i="18"/>
  <c r="B42" i="13"/>
  <c r="I42" i="18"/>
  <c r="G57" i="16"/>
  <c r="I50" i="18"/>
  <c r="C3" i="17"/>
  <c r="C39" i="17"/>
  <c r="A17" i="17"/>
  <c r="M33" i="17"/>
  <c r="I20" i="12"/>
  <c r="V13" i="12"/>
  <c r="C40" i="17"/>
  <c r="A41" i="17"/>
  <c r="I42" i="17"/>
  <c r="A23" i="17"/>
  <c r="A29" i="17"/>
  <c r="A5" i="17"/>
  <c r="A6" i="17" s="1"/>
  <c r="C6" i="17" s="1"/>
  <c r="N27" i="17"/>
  <c r="A5" i="12"/>
  <c r="V11" i="12"/>
  <c r="E11" i="12"/>
  <c r="D11" i="12"/>
  <c r="H11" i="12"/>
  <c r="G11" i="12"/>
  <c r="I11" i="12"/>
  <c r="F11" i="12"/>
  <c r="C11" i="12"/>
  <c r="U12" i="12"/>
  <c r="E13" i="12"/>
  <c r="A26" i="11"/>
  <c r="C13" i="12"/>
  <c r="G13" i="12"/>
  <c r="S13" i="12"/>
  <c r="B20" i="12"/>
  <c r="F13" i="12"/>
  <c r="D20" i="13"/>
  <c r="M11" i="11"/>
  <c r="Y14" i="12"/>
  <c r="D19" i="13"/>
  <c r="Y19" i="12"/>
  <c r="C14" i="13"/>
  <c r="C13" i="11"/>
  <c r="H13" i="11" s="1"/>
  <c r="O42" i="17"/>
  <c r="L41" i="11"/>
  <c r="L11" i="11"/>
  <c r="P10" i="11"/>
  <c r="R10" i="11" s="1"/>
  <c r="T10" i="11" s="1"/>
  <c r="V10" i="11" s="1"/>
  <c r="Y11" i="12"/>
  <c r="E19" i="13"/>
  <c r="N11" i="12"/>
  <c r="U11" i="12" s="1"/>
  <c r="A47" i="17"/>
  <c r="C46" i="17"/>
  <c r="C20" i="13"/>
  <c r="I49" i="17"/>
  <c r="C45" i="17"/>
  <c r="H20" i="12"/>
  <c r="C13" i="13"/>
  <c r="Q10" i="11"/>
  <c r="S10" i="11" s="1"/>
  <c r="U10" i="11" s="1"/>
  <c r="W10" i="11" s="1"/>
  <c r="C19" i="13"/>
  <c r="X227" i="16"/>
  <c r="S112" i="16"/>
  <c r="S111" i="16"/>
  <c r="W227" i="16"/>
  <c r="U227" i="16"/>
  <c r="S109" i="16"/>
  <c r="S110" i="16"/>
  <c r="V227" i="16"/>
  <c r="T38" i="16"/>
  <c r="Z27" i="12" l="1"/>
  <c r="S27" i="12" s="1"/>
  <c r="T27" i="12" s="1"/>
  <c r="Z29" i="12"/>
  <c r="S29" i="12" s="1"/>
  <c r="T29" i="12" s="1"/>
  <c r="Z28" i="12"/>
  <c r="S28" i="12" s="1"/>
  <c r="T28" i="12" s="1"/>
  <c r="Z26" i="12"/>
  <c r="S26" i="12" s="1"/>
  <c r="T26" i="12" s="1"/>
  <c r="Z38" i="12"/>
  <c r="S38" i="12" s="1"/>
  <c r="T38" i="12" s="1"/>
  <c r="Z36" i="12"/>
  <c r="S36" i="12" s="1"/>
  <c r="T36" i="12" s="1"/>
  <c r="Z37" i="12"/>
  <c r="S37" i="12" s="1"/>
  <c r="T37" i="12" s="1"/>
  <c r="Z16" i="12"/>
  <c r="S16" i="12" s="1"/>
  <c r="T16" i="12" s="1"/>
  <c r="Z17" i="12"/>
  <c r="S17" i="12" s="1"/>
  <c r="Z15" i="12"/>
  <c r="S15" i="12" s="1"/>
  <c r="T15" i="12" s="1"/>
  <c r="Z18" i="12"/>
  <c r="S18" i="12" s="1"/>
  <c r="T18" i="12" s="1"/>
  <c r="Z39" i="12"/>
  <c r="S39" i="12" s="1"/>
  <c r="T39" i="12" s="1"/>
  <c r="Z33" i="12"/>
  <c r="Z25" i="12"/>
  <c r="S25" i="12" s="1"/>
  <c r="T25" i="12" s="1"/>
  <c r="Z24" i="12"/>
  <c r="S24" i="12" s="1"/>
  <c r="T24" i="12" s="1"/>
  <c r="A7" i="17"/>
  <c r="C7" i="17" s="1"/>
  <c r="C5" i="17"/>
  <c r="R19" i="17" s="1"/>
  <c r="C17" i="17"/>
  <c r="A18" i="17"/>
  <c r="Z35" i="12"/>
  <c r="S35" i="12" s="1"/>
  <c r="T35" i="12" s="1"/>
  <c r="Z34" i="12"/>
  <c r="S34" i="12" s="1"/>
  <c r="Z32" i="12"/>
  <c r="Z31" i="12"/>
  <c r="S31" i="12" s="1"/>
  <c r="Z30" i="12"/>
  <c r="S30" i="12" s="1"/>
  <c r="Z23" i="12"/>
  <c r="S23" i="12" s="1"/>
  <c r="T23" i="12" s="1"/>
  <c r="Z22" i="12"/>
  <c r="S22" i="12" s="1"/>
  <c r="T22" i="12" s="1"/>
  <c r="Z21" i="12"/>
  <c r="S21" i="12" s="1"/>
  <c r="R18" i="17"/>
  <c r="P26" i="17"/>
  <c r="R20" i="17"/>
  <c r="Q20" i="17"/>
  <c r="Q26" i="17"/>
  <c r="P22" i="17"/>
  <c r="F14" i="12"/>
  <c r="G14" i="12"/>
  <c r="E14" i="12"/>
  <c r="M18" i="11"/>
  <c r="C20" i="11"/>
  <c r="G20" i="11" s="1"/>
  <c r="P18" i="17"/>
  <c r="C41" i="17"/>
  <c r="A42" i="17"/>
  <c r="R22" i="17"/>
  <c r="P19" i="17"/>
  <c r="A32" i="17"/>
  <c r="C29" i="17"/>
  <c r="Q22" i="17"/>
  <c r="P20" i="17"/>
  <c r="C23" i="17"/>
  <c r="A24" i="17"/>
  <c r="Q18" i="17"/>
  <c r="T227" i="16"/>
  <c r="S108" i="16"/>
  <c r="Z13" i="12"/>
  <c r="Z14" i="12"/>
  <c r="S14" i="12" s="1"/>
  <c r="Z20" i="12"/>
  <c r="S20" i="12" s="1"/>
  <c r="T20" i="12" s="1"/>
  <c r="Z11" i="12"/>
  <c r="S11" i="12" s="1"/>
  <c r="T11" i="12" s="1"/>
  <c r="Z19" i="12"/>
  <c r="S19" i="12" s="1"/>
  <c r="K11" i="12"/>
  <c r="B11" i="13" s="1"/>
  <c r="F13" i="11"/>
  <c r="K13" i="12"/>
  <c r="B13" i="13" s="1"/>
  <c r="A29" i="11"/>
  <c r="A32" i="11" s="1"/>
  <c r="A35" i="11" s="1"/>
  <c r="G13" i="11"/>
  <c r="J13" i="11"/>
  <c r="E13" i="11"/>
  <c r="B13" i="11"/>
  <c r="V12" i="11" s="1"/>
  <c r="I13" i="11"/>
  <c r="C11" i="13"/>
  <c r="P21" i="17"/>
  <c r="R26" i="17"/>
  <c r="O26" i="17" s="1"/>
  <c r="Q21" i="17"/>
  <c r="R21" i="17"/>
  <c r="A48" i="17"/>
  <c r="C47" i="17"/>
  <c r="F19" i="12" l="1"/>
  <c r="F20" i="12" s="1"/>
  <c r="F15" i="12"/>
  <c r="F16" i="12" s="1"/>
  <c r="F17" i="12" s="1"/>
  <c r="F18" i="12" s="1"/>
  <c r="G19" i="12"/>
  <c r="G20" i="12" s="1"/>
  <c r="G15" i="12"/>
  <c r="G16" i="12" s="1"/>
  <c r="G17" i="12" s="1"/>
  <c r="G18" i="12" s="1"/>
  <c r="E19" i="12"/>
  <c r="E20" i="12" s="1"/>
  <c r="E15" i="12"/>
  <c r="E16" i="12" s="1"/>
  <c r="E17" i="12" s="1"/>
  <c r="E18" i="12" s="1"/>
  <c r="Q19" i="17"/>
  <c r="C18" i="17"/>
  <c r="A19" i="17"/>
  <c r="D14" i="12"/>
  <c r="D15" i="12" s="1"/>
  <c r="D16" i="12" s="1"/>
  <c r="D17" i="12" s="1"/>
  <c r="V14" i="12"/>
  <c r="E20" i="11"/>
  <c r="H20" i="11"/>
  <c r="F20" i="11"/>
  <c r="A33" i="17"/>
  <c r="C32" i="17"/>
  <c r="C24" i="17"/>
  <c r="A25" i="17"/>
  <c r="C42" i="17"/>
  <c r="A43" i="17"/>
  <c r="C43" i="17" s="1"/>
  <c r="L18" i="11"/>
  <c r="D13" i="11"/>
  <c r="Q11" i="11"/>
  <c r="V13" i="11"/>
  <c r="S12" i="11"/>
  <c r="AC11" i="11"/>
  <c r="R13" i="11"/>
  <c r="V11" i="11"/>
  <c r="AC13" i="11"/>
  <c r="T12" i="11"/>
  <c r="U12" i="11"/>
  <c r="R12" i="11"/>
  <c r="Q13" i="11"/>
  <c r="S13" i="11"/>
  <c r="AC12" i="11"/>
  <c r="Q12" i="11"/>
  <c r="U13" i="11"/>
  <c r="P12" i="11"/>
  <c r="T11" i="11"/>
  <c r="W12" i="11"/>
  <c r="W11" i="11"/>
  <c r="S11" i="11"/>
  <c r="R11" i="11"/>
  <c r="P13" i="11"/>
  <c r="P11" i="11"/>
  <c r="U11" i="11"/>
  <c r="W13" i="11"/>
  <c r="T13" i="11"/>
  <c r="V27" i="17"/>
  <c r="T16" i="17" s="1"/>
  <c r="O27" i="17"/>
  <c r="A49" i="17"/>
  <c r="C49" i="17" s="1"/>
  <c r="C48" i="17"/>
  <c r="C14" i="12"/>
  <c r="C15" i="12" s="1"/>
  <c r="M21" i="11" l="1"/>
  <c r="V17" i="12"/>
  <c r="V19" i="12" s="1"/>
  <c r="D18" i="12"/>
  <c r="K15" i="12"/>
  <c r="B15" i="13" s="1"/>
  <c r="C16" i="12"/>
  <c r="C16" i="13" s="1"/>
  <c r="A20" i="17"/>
  <c r="C20" i="17" s="1"/>
  <c r="C19" i="17"/>
  <c r="C23" i="11"/>
  <c r="B20" i="11" s="1"/>
  <c r="A26" i="17"/>
  <c r="C26" i="17" s="1"/>
  <c r="C25" i="17"/>
  <c r="C33" i="17"/>
  <c r="A34" i="17"/>
  <c r="C34" i="17" s="1"/>
  <c r="K14" i="12"/>
  <c r="L21" i="11" s="1"/>
  <c r="C17" i="12" l="1"/>
  <c r="K16" i="12"/>
  <c r="B16" i="13" s="1"/>
  <c r="G23" i="11"/>
  <c r="H23" i="11"/>
  <c r="E23" i="11"/>
  <c r="F23" i="11"/>
  <c r="B14" i="13"/>
  <c r="D19" i="12" l="1"/>
  <c r="I17" i="12" s="1"/>
  <c r="K17" i="12"/>
  <c r="B17" i="13" s="1"/>
  <c r="C18" i="12"/>
  <c r="G21" i="12"/>
  <c r="G22" i="12" s="1"/>
  <c r="F21" i="12"/>
  <c r="F22" i="12" s="1"/>
  <c r="E21" i="12"/>
  <c r="E22" i="12" s="1"/>
  <c r="K18" i="12" l="1"/>
  <c r="B18" i="13" s="1"/>
  <c r="E23" i="12"/>
  <c r="F23" i="12"/>
  <c r="G23" i="12"/>
  <c r="C19" i="12" l="1"/>
  <c r="K19" i="12" s="1"/>
  <c r="B19" i="13" s="1"/>
  <c r="G24" i="12"/>
  <c r="G25" i="12" s="1"/>
  <c r="F24" i="12"/>
  <c r="F25" i="12" s="1"/>
  <c r="E24" i="12"/>
  <c r="E25" i="12" s="1"/>
  <c r="C26" i="11"/>
  <c r="H26" i="11" s="1"/>
  <c r="M24" i="11"/>
  <c r="E30" i="12" l="1"/>
  <c r="E31" i="12" s="1"/>
  <c r="E32" i="12" s="1"/>
  <c r="E33" i="12" s="1"/>
  <c r="E34" i="12" s="1"/>
  <c r="E35" i="12" s="1"/>
  <c r="E26" i="12"/>
  <c r="F30" i="12"/>
  <c r="F31" i="12" s="1"/>
  <c r="F32" i="12" s="1"/>
  <c r="F33" i="12" s="1"/>
  <c r="F26" i="12"/>
  <c r="G30" i="12"/>
  <c r="G31" i="12" s="1"/>
  <c r="G32" i="12" s="1"/>
  <c r="G26" i="12"/>
  <c r="F34" i="12"/>
  <c r="F35" i="12" s="1"/>
  <c r="G34" i="12"/>
  <c r="G35" i="12" s="1"/>
  <c r="G33" i="12"/>
  <c r="B23" i="11"/>
  <c r="E26" i="11"/>
  <c r="G26" i="11"/>
  <c r="F26" i="11"/>
  <c r="F27" i="12" l="1"/>
  <c r="F28" i="12" s="1"/>
  <c r="F29" i="12" s="1"/>
  <c r="G27" i="12"/>
  <c r="G28" i="12" s="1"/>
  <c r="G29" i="12" s="1"/>
  <c r="E27" i="12"/>
  <c r="E28" i="12" s="1"/>
  <c r="E29" i="12" s="1"/>
  <c r="G36" i="12"/>
  <c r="G37" i="12" s="1"/>
  <c r="G38" i="12" s="1"/>
  <c r="G39" i="12" s="1"/>
  <c r="E36" i="12"/>
  <c r="E37" i="12" s="1"/>
  <c r="E38" i="12" s="1"/>
  <c r="E39" i="12" s="1"/>
  <c r="F36" i="12"/>
  <c r="F37" i="12" s="1"/>
  <c r="F38" i="12" s="1"/>
  <c r="F39" i="12" s="1"/>
  <c r="D20" i="12"/>
  <c r="V21" i="12" l="1"/>
  <c r="C20" i="12"/>
  <c r="V30" i="12" l="1"/>
  <c r="V31" i="12" s="1"/>
  <c r="V34" i="12" s="1"/>
  <c r="M27" i="11"/>
  <c r="C29" i="11"/>
  <c r="K20" i="12"/>
  <c r="B20" i="13" s="1"/>
  <c r="C35" i="11" l="1"/>
  <c r="C32" i="11"/>
  <c r="H32" i="11" s="1"/>
  <c r="M33" i="11"/>
  <c r="M30" i="11"/>
  <c r="H29" i="11"/>
  <c r="E29" i="11"/>
  <c r="B26" i="11"/>
  <c r="F29" i="11"/>
  <c r="G29" i="11"/>
  <c r="B35" i="11" l="1"/>
  <c r="G35" i="11"/>
  <c r="H35" i="11"/>
  <c r="E32" i="11"/>
  <c r="E35" i="11" s="1"/>
  <c r="F32" i="11"/>
  <c r="F35" i="11" s="1"/>
  <c r="B32" i="11"/>
  <c r="B29" i="11"/>
  <c r="G32" i="11"/>
  <c r="J26" i="11"/>
  <c r="I26" i="11" l="1"/>
  <c r="J20" i="11"/>
  <c r="J23" i="11"/>
  <c r="D26" i="11"/>
  <c r="J35" i="11" l="1"/>
  <c r="J29" i="11" l="1"/>
  <c r="L24" i="11"/>
  <c r="I35" i="11" l="1"/>
  <c r="D35" i="11" s="1"/>
  <c r="J32" i="11" l="1"/>
  <c r="I29" i="11" l="1"/>
  <c r="D29" i="11" s="1"/>
  <c r="I32" i="11"/>
  <c r="D32" i="11" s="1"/>
  <c r="I23" i="11"/>
  <c r="D23" i="11" s="1"/>
  <c r="I20" i="11"/>
  <c r="D20" i="11" s="1"/>
  <c r="D21" i="12" l="1"/>
  <c r="I19" i="12" l="1"/>
  <c r="D22" i="12"/>
  <c r="D23" i="12" l="1"/>
  <c r="D24" i="12" l="1"/>
  <c r="D25" i="12" s="1"/>
  <c r="D26" i="12" s="1"/>
  <c r="D27" i="12" l="1"/>
  <c r="D28" i="12" s="1"/>
  <c r="D29" i="12" s="1"/>
  <c r="D30" i="12" s="1"/>
  <c r="D31" i="12" s="1"/>
  <c r="D32" i="12" s="1"/>
  <c r="D33" i="12" s="1"/>
  <c r="D34" i="12" s="1"/>
  <c r="D35" i="12" l="1"/>
  <c r="D36" i="12" l="1"/>
  <c r="D37" i="12" l="1"/>
  <c r="I31" i="12"/>
  <c r="D38" i="12" l="1"/>
  <c r="D39" i="12" l="1"/>
  <c r="H19" i="12" s="1"/>
  <c r="B19" i="12" s="1"/>
  <c r="T19" i="12" s="1"/>
  <c r="U19" i="12" s="1"/>
  <c r="I34" i="12"/>
  <c r="I21" i="12"/>
  <c r="H34" i="12"/>
  <c r="H17" i="12" l="1"/>
  <c r="B17" i="12" s="1"/>
  <c r="T17" i="12" s="1"/>
  <c r="H21" i="12"/>
  <c r="B21" i="12" s="1"/>
  <c r="T21" i="12" s="1"/>
  <c r="U21" i="12" s="1"/>
  <c r="H31" i="12"/>
  <c r="B31" i="12" s="1"/>
  <c r="B34" i="12"/>
  <c r="T34" i="12" s="1"/>
  <c r="U34" i="12" l="1"/>
  <c r="K26" i="11"/>
  <c r="N24" i="11" s="1"/>
  <c r="V24" i="11" l="1"/>
  <c r="U24" i="11"/>
  <c r="P25" i="11"/>
  <c r="P26" i="11" s="1"/>
  <c r="W24" i="11"/>
  <c r="AC24" i="11"/>
  <c r="AC25" i="11" s="1"/>
  <c r="AC26" i="11" s="1"/>
  <c r="Q25" i="11" l="1"/>
  <c r="Q26" i="11" l="1"/>
  <c r="R25" i="11"/>
  <c r="R26" i="11" l="1"/>
  <c r="S25" i="11"/>
  <c r="T25" i="11" l="1"/>
  <c r="S26" i="11"/>
  <c r="T26" i="11" l="1"/>
  <c r="U25" i="11"/>
  <c r="V25" i="11" l="1"/>
  <c r="U26" i="11"/>
  <c r="C21" i="12" l="1"/>
  <c r="W25" i="11"/>
  <c r="W26" i="11" s="1"/>
  <c r="V26" i="11"/>
  <c r="K21" i="12" l="1"/>
  <c r="L27" i="11" s="1"/>
  <c r="C22" i="12" l="1"/>
  <c r="C22" i="13" s="1"/>
  <c r="B21" i="13"/>
  <c r="C23" i="12" l="1"/>
  <c r="K22" i="12"/>
  <c r="B22" i="13" s="1"/>
  <c r="K23" i="12" l="1"/>
  <c r="B23" i="13" s="1"/>
  <c r="C24" i="12" l="1"/>
  <c r="C25" i="12"/>
  <c r="K24" i="12"/>
  <c r="B24" i="13" s="1"/>
  <c r="K25" i="12" l="1"/>
  <c r="B25" i="13" s="1"/>
  <c r="C26" i="12"/>
  <c r="C27" i="12" l="1"/>
  <c r="C28" i="12" s="1"/>
  <c r="K26" i="12"/>
  <c r="B26" i="13" s="1"/>
  <c r="K27" i="12" l="1"/>
  <c r="B27" i="13" s="1"/>
  <c r="C29" i="12"/>
  <c r="K28" i="12"/>
  <c r="B28" i="13" s="1"/>
  <c r="K29" i="12" l="1"/>
  <c r="B29" i="13" s="1"/>
  <c r="C30" i="12"/>
  <c r="K30" i="12" l="1"/>
  <c r="C31" i="12"/>
  <c r="C32" i="12" l="1"/>
  <c r="K31" i="12"/>
  <c r="L30" i="11"/>
  <c r="B30" i="13"/>
  <c r="L33" i="11" l="1"/>
  <c r="B31" i="13"/>
  <c r="C33" i="12"/>
  <c r="K32" i="12"/>
  <c r="B32" i="13" s="1"/>
  <c r="K33" i="12" l="1"/>
  <c r="B33" i="13" s="1"/>
  <c r="C34" i="12"/>
  <c r="K34" i="12" l="1"/>
  <c r="C35" i="12"/>
  <c r="C36" i="12" l="1"/>
  <c r="K35" i="12"/>
  <c r="B35" i="13" s="1"/>
  <c r="B34" i="13"/>
  <c r="I14" i="12"/>
  <c r="H14" i="12"/>
  <c r="K36" i="12" l="1"/>
  <c r="B36" i="13" s="1"/>
  <c r="C37" i="12"/>
  <c r="B14" i="12"/>
  <c r="T14" i="12" s="1"/>
  <c r="K23" i="11" s="1"/>
  <c r="N21" i="11" s="1"/>
  <c r="K29" i="11"/>
  <c r="N27" i="11" s="1"/>
  <c r="C38" i="12" l="1"/>
  <c r="K37" i="12"/>
  <c r="B37" i="13" s="1"/>
  <c r="U14" i="12"/>
  <c r="K38" i="12" l="1"/>
  <c r="B38" i="13" s="1"/>
  <c r="C39" i="12"/>
  <c r="I13" i="12" s="1"/>
  <c r="I30" i="12" l="1"/>
  <c r="K39" i="12"/>
  <c r="B39" i="13" s="1"/>
  <c r="H30" i="12"/>
  <c r="B30" i="12" s="1"/>
  <c r="H13" i="12"/>
  <c r="B13" i="12" s="1"/>
  <c r="B12" i="12" l="1"/>
  <c r="W27" i="11" l="1"/>
  <c r="U27" i="11"/>
  <c r="AC27" i="11"/>
  <c r="AC28" i="11" s="1"/>
  <c r="AC29" i="11" s="1"/>
  <c r="V27" i="11"/>
  <c r="P28" i="11"/>
  <c r="P29" i="11" s="1"/>
  <c r="P22" i="11" l="1"/>
  <c r="P23" i="11" s="1"/>
  <c r="Q28" i="11"/>
  <c r="R28" i="11" l="1"/>
  <c r="Q29" i="11"/>
  <c r="Q22" i="11" l="1"/>
  <c r="Q23" i="11" s="1"/>
  <c r="S28" i="11"/>
  <c r="R29" i="11"/>
  <c r="T28" i="11" l="1"/>
  <c r="S29" i="11"/>
  <c r="R22" i="11"/>
  <c r="R23" i="11" s="1"/>
  <c r="S22" i="11" l="1"/>
  <c r="S23" i="11" s="1"/>
  <c r="T29" i="11"/>
  <c r="U28" i="11"/>
  <c r="T22" i="11" l="1"/>
  <c r="T23" i="11" s="1"/>
  <c r="U29" i="11"/>
  <c r="V28" i="11"/>
  <c r="V29" i="11" l="1"/>
  <c r="W28" i="11"/>
  <c r="W29" i="11" s="1"/>
  <c r="W21" i="11" l="1"/>
  <c r="D38" i="13" l="1"/>
  <c r="D37" i="13"/>
  <c r="D36" i="13"/>
  <c r="S32" i="12" l="1"/>
  <c r="T32" i="12" s="1"/>
  <c r="S33" i="12" l="1"/>
  <c r="T33" i="12" s="1"/>
  <c r="T13" i="12" s="1"/>
  <c r="K20" i="11" l="1"/>
  <c r="N18" i="11" s="1"/>
  <c r="U13" i="12"/>
  <c r="T31" i="12"/>
  <c r="T12" i="12"/>
  <c r="N14" i="11" s="1"/>
  <c r="T30" i="12"/>
  <c r="K32" i="11" l="1"/>
  <c r="N30" i="11" s="1"/>
  <c r="U30" i="12"/>
  <c r="U31" i="12"/>
  <c r="K35" i="11"/>
  <c r="N33" i="11" s="1"/>
  <c r="W30" i="11" l="1"/>
  <c r="V30" i="11"/>
  <c r="U30" i="11"/>
  <c r="U21" i="11"/>
  <c r="U22" i="11" s="1"/>
  <c r="V21" i="11"/>
  <c r="AC21" i="11"/>
  <c r="AC22" i="11" s="1"/>
  <c r="AC23" i="11" s="1"/>
  <c r="V22" i="11" l="1"/>
  <c r="U23" i="11"/>
  <c r="W22" i="11" l="1"/>
  <c r="W23" i="11" s="1"/>
  <c r="V23" i="11"/>
  <c r="C28" i="13" l="1"/>
  <c r="C26" i="13"/>
  <c r="C27" i="13"/>
  <c r="D22" i="13"/>
  <c r="D16" i="13"/>
  <c r="D27" i="13" l="1"/>
  <c r="D26" i="13"/>
  <c r="D28" i="13"/>
  <c r="P30" i="11" l="1"/>
  <c r="P31" i="11" s="1"/>
  <c r="P32" i="11" s="1"/>
  <c r="AC30" i="11"/>
  <c r="AC31" i="11" s="1"/>
  <c r="AC32" i="11" s="1"/>
  <c r="Q31" i="11" l="1"/>
  <c r="Q32" i="11" l="1"/>
  <c r="R31" i="11"/>
  <c r="R32" i="11" l="1"/>
  <c r="S31" i="11"/>
  <c r="S32" i="11" l="1"/>
  <c r="T31" i="11"/>
  <c r="U31" i="11" l="1"/>
  <c r="T32" i="11"/>
  <c r="U32" i="11" l="1"/>
  <c r="V31" i="11"/>
  <c r="W31" i="11" l="1"/>
  <c r="W32" i="11" s="1"/>
  <c r="V32" i="11"/>
  <c r="U33" i="11" l="1"/>
  <c r="S33" i="11" l="1"/>
  <c r="W33" i="11"/>
  <c r="AC33" i="11"/>
  <c r="AC34" i="11" s="1"/>
  <c r="AC35" i="11" s="1"/>
  <c r="AC20" i="11" s="1"/>
  <c r="AC19" i="11" s="1"/>
  <c r="AC18" i="11" s="1"/>
  <c r="Q33" i="11"/>
  <c r="AC17" i="11" l="1"/>
  <c r="AC16" i="11" l="1"/>
  <c r="AC15" i="11"/>
  <c r="AC14" i="11" s="1"/>
  <c r="P34" i="11"/>
  <c r="Q34" i="11" s="1"/>
  <c r="T33" i="11"/>
  <c r="V33" i="11"/>
  <c r="P35" i="11" l="1"/>
  <c r="P20" i="11" s="1"/>
  <c r="P17" i="11" s="1"/>
  <c r="P15" i="11" s="1"/>
  <c r="P14" i="11" s="1"/>
  <c r="Q35" i="11"/>
  <c r="Q20" i="11" s="1"/>
  <c r="R34" i="11"/>
  <c r="P19" i="11" l="1"/>
  <c r="P16" i="11"/>
  <c r="R35" i="11"/>
  <c r="R20" i="11" s="1"/>
  <c r="S34" i="11"/>
  <c r="Q19" i="11"/>
  <c r="Q17" i="11"/>
  <c r="Q16" i="11" l="1"/>
  <c r="Q15" i="11"/>
  <c r="Q14" i="11" s="1"/>
  <c r="T34" i="11"/>
  <c r="S35" i="11"/>
  <c r="S20" i="11" s="1"/>
  <c r="R17" i="11"/>
  <c r="R19" i="11"/>
  <c r="U34" i="11" l="1"/>
  <c r="T35" i="11"/>
  <c r="T20" i="11" s="1"/>
  <c r="S19" i="11"/>
  <c r="S17" i="11"/>
  <c r="R15" i="11"/>
  <c r="R14" i="11" s="1"/>
  <c r="R16" i="11"/>
  <c r="S16" i="11" l="1"/>
  <c r="S15" i="11"/>
  <c r="S14" i="11" s="1"/>
  <c r="T17" i="11"/>
  <c r="T19" i="11"/>
  <c r="V34" i="11"/>
  <c r="U35" i="11"/>
  <c r="U20" i="11" s="1"/>
  <c r="T16" i="11" l="1"/>
  <c r="T15" i="11"/>
  <c r="T14" i="11" s="1"/>
  <c r="U17" i="11"/>
  <c r="U19" i="11"/>
  <c r="W34" i="11"/>
  <c r="W35" i="11" s="1"/>
  <c r="W20" i="11" s="1"/>
  <c r="V35" i="11"/>
  <c r="V20" i="11" s="1"/>
  <c r="V17" i="11" l="1"/>
  <c r="V19" i="11"/>
  <c r="U16" i="11"/>
  <c r="U15" i="11"/>
  <c r="U14" i="11" s="1"/>
  <c r="W17" i="11"/>
  <c r="W19" i="11"/>
  <c r="W15" i="11" l="1"/>
  <c r="W14" i="11" s="1"/>
  <c r="W16" i="11"/>
  <c r="L8" i="11" s="1"/>
  <c r="V16" i="11"/>
  <c r="V15" i="11"/>
  <c r="V14" i="11" s="1"/>
  <c r="X36" i="12"/>
  <c r="X33" i="12"/>
  <c r="X17" i="12"/>
  <c r="X37" i="12"/>
  <c r="X27" i="12"/>
  <c r="X22" i="12"/>
  <c r="X38" i="12"/>
  <c r="X25" i="12"/>
  <c r="X26" i="12"/>
  <c r="X16" i="12"/>
  <c r="X39" i="12"/>
  <c r="X15" i="12"/>
  <c r="X35" i="12"/>
  <c r="X18" i="12"/>
  <c r="X23" i="12"/>
  <c r="X29" i="12"/>
  <c r="X32" i="12"/>
  <c r="X20" i="12"/>
  <c r="X28" i="12"/>
  <c r="X24" i="12"/>
  <c r="Y24" i="12" l="1"/>
  <c r="U24" i="12" s="1"/>
  <c r="Y28" i="12"/>
  <c r="U28" i="12" s="1"/>
  <c r="Y20" i="12"/>
  <c r="U20" i="12" s="1"/>
  <c r="Y32" i="12"/>
  <c r="U32" i="12" s="1"/>
  <c r="Y29" i="12"/>
  <c r="U29" i="12" s="1"/>
  <c r="Y23" i="12"/>
  <c r="U23" i="12" s="1"/>
  <c r="Y18" i="12"/>
  <c r="U18" i="12" s="1"/>
  <c r="Y35" i="12"/>
  <c r="U35" i="12" s="1"/>
  <c r="Y15" i="12"/>
  <c r="U15" i="12" s="1"/>
  <c r="Y39" i="12"/>
  <c r="U39" i="12" s="1"/>
  <c r="Y16" i="12"/>
  <c r="U16" i="12" s="1"/>
  <c r="Y26" i="12"/>
  <c r="U26" i="12" s="1"/>
  <c r="Y25" i="12"/>
  <c r="U25" i="12" s="1"/>
  <c r="Y38" i="12"/>
  <c r="U38" i="12" s="1"/>
  <c r="Y22" i="12"/>
  <c r="U22" i="12" s="1"/>
  <c r="Y27" i="12"/>
  <c r="U27" i="12" s="1"/>
  <c r="Y37" i="12"/>
  <c r="U37" i="12" s="1"/>
  <c r="Y17" i="12"/>
  <c r="U17" i="12" s="1"/>
  <c r="Y33" i="12"/>
  <c r="U33" i="12" s="1"/>
  <c r="Y36" i="12"/>
  <c r="U36" i="12" s="1"/>
  <c r="U5" i="12" l="1"/>
</calcChain>
</file>

<file path=xl/sharedStrings.xml><?xml version="1.0" encoding="utf-8"?>
<sst xmlns="http://schemas.openxmlformats.org/spreadsheetml/2006/main" count="636" uniqueCount="293">
  <si>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</si>
  <si>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</si>
  <si>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</si>
  <si>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</si>
  <si>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</si>
  <si>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</si>
  <si>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</si>
  <si>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</si>
  <si>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</si>
  <si>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</si>
  <si>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</si>
  <si>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</si>
  <si>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</si>
  <si>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</si>
  <si>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</si>
  <si>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</si>
  <si>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</si>
  <si>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</si>
  <si>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</si>
  <si>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</si>
  <si>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</si>
  <si>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</si>
  <si>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</si>
  <si>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</si>
  <si>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</si>
  <si>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</si>
  <si>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</si>
  <si>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</si>
  <si>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</si>
  <si>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</si>
  <si>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</si>
  <si>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</si>
  <si>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</si>
  <si>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</si>
  <si>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</si>
  <si>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</si>
  <si>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</si>
  <si>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</si>
  <si>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</si>
  <si>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</si>
  <si>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</si>
  <si>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</si>
  <si>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</si>
  <si>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</si>
  <si>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</si>
  <si>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</si>
  <si>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</si>
  <si>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</si>
  <si>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</si>
  <si>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</si>
  <si>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</si>
  <si>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</si>
  <si>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</si>
  <si>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</si>
  <si>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</si>
  <si>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</si>
  <si>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</si>
  <si>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</si>
  <si>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</si>
  <si>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</si>
  <si>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</si>
  <si>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</si>
  <si>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</si>
  <si>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</si>
  <si>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</si>
  <si>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</si>
  <si>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</si>
  <si>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</si>
  <si>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</si>
  <si>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</si>
  <si>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</si>
  <si>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</si>
  <si>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</si>
  <si>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</si>
  <si>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</si>
  <si>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</si>
  <si>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</si>
  <si>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</si>
  <si>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</si>
  <si>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</si>
  <si>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</si>
  <si>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</si>
  <si>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</si>
  <si>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</si>
  <si>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</si>
  <si>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</si>
  <si>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</si>
  <si>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</si>
  <si>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</si>
  <si>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</si>
  <si>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</si>
  <si>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</si>
  <si>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</si>
  <si>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</si>
  <si>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</si>
  <si>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</si>
  <si>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</si>
  <si>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</si>
  <si>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</si>
  <si>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</si>
  <si>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</si>
  <si>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</si>
  <si>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</si>
  <si>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</si>
  <si>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</si>
  <si>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</si>
  <si>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</si>
  <si>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</si>
  <si>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</si>
  <si>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</si>
  <si>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</si>
  <si>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</si>
  <si>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</si>
  <si>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</si>
  <si>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</si>
  <si>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</si>
  <si>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</si>
  <si>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</si>
  <si>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</si>
  <si>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</si>
  <si>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</si>
  <si>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</si>
  <si>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</si>
  <si>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</si>
  <si>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</si>
  <si>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</si>
  <si>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</si>
  <si>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</si>
  <si>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</si>
  <si>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</si>
  <si>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</si>
  <si>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</si>
  <si>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</si>
  <si>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</si>
  <si>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</si>
  <si>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</si>
  <si>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</si>
  <si>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</si>
  <si>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</si>
  <si>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</si>
  <si>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</si>
  <si>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</si>
  <si>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</si>
  <si>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</si>
  <si>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</si>
  <si>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</si>
  <si>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</si>
  <si>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</si>
  <si>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</si>
  <si>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</si>
  <si>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</si>
  <si>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</si>
  <si>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</si>
  <si>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</si>
  <si>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</si>
  <si>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</si>
  <si>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</si>
  <si>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</si>
  <si>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</si>
  <si>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</si>
  <si>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</si>
  <si>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</si>
  <si>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</si>
  <si>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</si>
  <si>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</si>
  <si>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</si>
  <si>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</si>
  <si>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</si>
  <si>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</si>
  <si>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</si>
  <si>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</si>
  <si>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</si>
  <si>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</si>
  <si>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</si>
  <si>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</si>
  <si>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</si>
  <si>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</si>
  <si>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</si>
  <si>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</si>
  <si>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</si>
  <si>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</si>
  <si>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</si>
  <si>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</si>
  <si>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</si>
  <si>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</si>
  <si>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</si>
  <si>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</si>
  <si>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</si>
  <si>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</si>
  <si>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</si>
  <si>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</si>
  <si>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</si>
  <si>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</si>
  <si>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</si>
  <si>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</si>
  <si>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</si>
  <si>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</si>
  <si>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</si>
  <si>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</si>
  <si>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</si>
  <si>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</si>
  <si>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</si>
  <si>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</si>
  <si>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</si>
  <si>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</si>
  <si>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</si>
  <si>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</si>
  <si>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</si>
  <si>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</si>
  <si>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</si>
  <si>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</si>
  <si>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</si>
  <si>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</si>
  <si>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</si>
  <si>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</si>
  <si>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</si>
  <si>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</si>
  <si>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</si>
  <si>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</si>
  <si>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</si>
  <si>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</si>
  <si>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</si>
  <si>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</si>
  <si>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</si>
  <si>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</si>
  <si>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</si>
  <si>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</si>
  <si>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</si>
  <si>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</si>
  <si>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Única</t>
  </si>
  <si>
    <t>Engenheiro Civil</t>
  </si>
  <si>
    <t>SERVIÇOS PRELIMINARES</t>
  </si>
  <si>
    <t>SINAPI</t>
  </si>
  <si>
    <t>COMPOSIÇÃO</t>
  </si>
  <si>
    <t>SINALIZAÇÃO</t>
  </si>
  <si>
    <t>Infraestrutura de pavimentação</t>
  </si>
  <si>
    <t>NÃO</t>
  </si>
  <si>
    <t>Jerri Adriani Meneghetti</t>
  </si>
  <si>
    <t>Prefeito Municipal</t>
  </si>
  <si>
    <t>Não</t>
  </si>
  <si>
    <t>SINALIZAÇÃO HORIZONTAL</t>
  </si>
  <si>
    <t>SINALIZAÇÃO VERTICAL</t>
  </si>
  <si>
    <t>Eng. Kleber A. L. Colla</t>
  </si>
  <si>
    <t>CREA RS243889</t>
  </si>
  <si>
    <t>12339862</t>
  </si>
  <si>
    <t>M²</t>
  </si>
  <si>
    <t>PINTURA DE EIXO VIÁRIO SOBRE ASFALTO COM TINTA RETRORREFLETIVA A BASE DE RESINA ACRÍLICA COM MICROESFERAS DE VIDRO</t>
  </si>
  <si>
    <t>102512</t>
  </si>
  <si>
    <t>PINTURA DE FAIXA DE PEDESTRE OU ZEBRADA TINTA RETRORREFLETIVA A BASE DE RESINA ACRÍLICA COM MICROESFERAS DE VIDRO</t>
  </si>
  <si>
    <t>102509</t>
  </si>
  <si>
    <t>Município de Vista Alegre do Prata</t>
  </si>
  <si>
    <t>Vista Alegre do Prata/RS</t>
  </si>
  <si>
    <t>Estrada entre comunidade Poméia e Comunidade Caravagio (trecho 02 estaca 0+300 a 2+009)</t>
  </si>
  <si>
    <t>MOBILIZAÇÃO</t>
  </si>
  <si>
    <t>UN.</t>
  </si>
  <si>
    <t>01</t>
  </si>
  <si>
    <t>m²</t>
  </si>
  <si>
    <t>MÊS</t>
  </si>
  <si>
    <t>TERRAPLENAGEM</t>
  </si>
  <si>
    <t>03</t>
  </si>
  <si>
    <t xml:space="preserve">NIVELAMENTO E COMPACTAÇÃO DE BASE DE BRITA GRADUADA                                                                                                                                                                                                                                                                                                                                                                             </t>
  </si>
  <si>
    <t>m³</t>
  </si>
  <si>
    <t>PAVIMENTAÇÃO</t>
  </si>
  <si>
    <t>02</t>
  </si>
  <si>
    <t>FORNECIMENTO E IMPLANTAÇÃO DE PLACA DE ADVERTÊNCIA EM AÇO, LADO DE 0,60 M - PELÍCULA
RETRORREFLETIVA TIPO I + SI</t>
  </si>
  <si>
    <t>FORNECIMENTO E IMPLANTAÇÃO DE PLACA DE REGULAMENTAÇÃO EM AÇO D = 0,60 M - PELÍCULA
RETRORREFLETIVA TIPO I + SI</t>
  </si>
  <si>
    <t>FORNECIMENTO E IMPLANTAÇÃO DE PLACA EM AÇO - 2,00 X 1,00 M - PELÍCULA RETRORREFLETIVA TIPO I + I</t>
  </si>
  <si>
    <t>FORNECIMENTO E IMPLANTAÇÃO DE SUPORTE METÁLICO GALVANIZADO PARA PLACA DE ADVERTÊNCIA OU
REGULAMENTAÇÃO - LADO OU DIÂMETRO DE 0,60 M</t>
  </si>
  <si>
    <t>FORNECIMENTO E IMPLANTAÇÃO DE SUPORTE METÁLICO GALVANIZADO PARA PLACAS - 2,00 X 1,00 M</t>
  </si>
  <si>
    <t>un.</t>
  </si>
  <si>
    <t>ADMINISTRAÇÃO LOCAL DE OBRA</t>
  </si>
  <si>
    <t>UM</t>
  </si>
  <si>
    <t>SICRO</t>
  </si>
  <si>
    <t>5213374</t>
  </si>
  <si>
    <t>Placa em aço - 3,00 x 2,00 m - película retrorrefletiva tipo III + X - fornecimento e implantação</t>
  </si>
  <si>
    <t>un</t>
  </si>
  <si>
    <t>tkm</t>
  </si>
  <si>
    <t>4011351</t>
  </si>
  <si>
    <t>Imprimação com asfalto diluído</t>
  </si>
  <si>
    <t>4011353</t>
  </si>
  <si>
    <t>Pintura de ligação</t>
  </si>
  <si>
    <t>4011463</t>
  </si>
  <si>
    <t>Concreto asfáltico - faixa C-12,5 - areia e brita comerciais</t>
  </si>
  <si>
    <t>t</t>
  </si>
  <si>
    <t>5914612</t>
  </si>
  <si>
    <t>Transporte de mistura betuminosa a quente com caminhão com caçamba térmica de 6 m³ - rodovia pavimentada</t>
  </si>
  <si>
    <t>Cotação</t>
  </si>
  <si>
    <t>ASFALTO DILUÍDO CM-30 PARA USO EM PAVIMENTAÇÃO ASFÁLTICA - ACRESCIDO DE ICMS (R$ 4,82594/Kg S/ICMS)</t>
  </si>
  <si>
    <t>T</t>
  </si>
  <si>
    <t>CIMENTO ASFÁLTICO CAP 50/70 - ACRESCIDO ICMS (R$ 3,88251/Kg S/ICMS)</t>
  </si>
  <si>
    <t>EMULSÃO ASFÁLTICA CATIONICA RR-1C PARA USO EM PAVIMENTAÇÃO ASFÁLTICA - ACRESCIDO DE ICMS (R$ 2,78839/Kg S/ICMS)</t>
  </si>
  <si>
    <t>5914622</t>
  </si>
  <si>
    <t>Transporte de material betuminoso com caminhão tanque distribuidor - rodovia pavimentada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</si>
</sst>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7"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sz val="8"/>
      <color rgb="FF000000"/>
      <name val="Segoe UI"/>
      <family val="2"/>
    </font>
    <font>
      <sz val="10"/>
      <name val="Times New Roman"/>
      <family val="1"/>
    </font>
    <font>
      <sz val="10"/>
      <color indexed="8"/>
      <name val="Arial"/>
      <family val="2"/>
    </font>
    <font>
      <sz val="11"/>
      <name val="Arial"/>
      <family val="1"/>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
      <patternFill patternType="solid">
        <fgColor theme="0" tint="-0.14999847407452621"/>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54">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6" fillId="20" borderId="1" applyNumberFormat="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3" fillId="0" borderId="0"/>
    <xf numFmtId="0" fontId="5" fillId="4" borderId="0" applyNumberFormat="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9" fontId="1" fillId="0" borderId="0" applyFont="0" applyFill="0" applyBorder="0" applyAlignment="0" applyProtection="0"/>
    <xf numFmtId="0" fontId="12" fillId="20" borderId="8"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xf numFmtId="0" fontId="54" fillId="0" borderId="0"/>
    <xf numFmtId="0" fontId="54" fillId="0" borderId="0"/>
    <xf numFmtId="164" fontId="1" fillId="0" borderId="0" applyFont="0" applyFill="0" applyBorder="0" applyAlignment="0" applyProtection="0"/>
    <xf numFmtId="164" fontId="1" fillId="0" borderId="0" applyFont="0" applyFill="0" applyBorder="0" applyAlignment="0" applyProtection="0"/>
    <xf numFmtId="0" fontId="56" fillId="0" borderId="0"/>
  </cellStyleXfs>
  <cellXfs count="355">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47" applyFont="1" applyFill="1" applyBorder="1" applyAlignment="1" applyProtection="1">
      <alignment horizontal="center" vertical="center"/>
    </xf>
    <xf numFmtId="10" fontId="22" fillId="24" borderId="10" xfId="38"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47"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36" applyFont="1" applyBorder="1" applyAlignment="1">
      <alignment horizontal="left" vertical="top"/>
    </xf>
    <xf numFmtId="0" fontId="22" fillId="0" borderId="0" xfId="36" applyFont="1" applyAlignment="1">
      <alignment horizontal="left" vertical="top"/>
    </xf>
    <xf numFmtId="0" fontId="22" fillId="0" borderId="12" xfId="36" applyFont="1" applyBorder="1" applyAlignment="1">
      <alignment horizontal="left" vertical="top"/>
    </xf>
    <xf numFmtId="10" fontId="1" fillId="0" borderId="0" xfId="38"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4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35"/>
    <xf numFmtId="0" fontId="22" fillId="0" borderId="0" xfId="35" applyFont="1" applyAlignment="1">
      <alignment horizontal="center"/>
    </xf>
    <xf numFmtId="0" fontId="22" fillId="0" borderId="14" xfId="35" applyFont="1" applyBorder="1" applyAlignment="1">
      <alignment horizontal="center"/>
    </xf>
    <xf numFmtId="10" fontId="31" fillId="0" borderId="14" xfId="35" applyNumberFormat="1" applyFont="1" applyBorder="1" applyAlignment="1">
      <alignment horizontal="center"/>
    </xf>
    <xf numFmtId="0" fontId="21" fillId="0" borderId="0" xfId="35" applyFont="1" applyAlignment="1">
      <alignment horizontal="center"/>
    </xf>
    <xf numFmtId="0" fontId="32" fillId="0" borderId="0" xfId="35" applyFont="1"/>
    <xf numFmtId="0" fontId="22" fillId="0" borderId="0" xfId="35" applyFont="1"/>
    <xf numFmtId="0" fontId="22" fillId="0" borderId="14" xfId="35" applyFont="1" applyBorder="1" applyAlignment="1">
      <alignment horizontal="center" vertical="center" wrapText="1"/>
    </xf>
    <xf numFmtId="0" fontId="30" fillId="0" borderId="14" xfId="35" applyFont="1" applyBorder="1" applyAlignment="1">
      <alignment horizontal="center" vertical="center"/>
    </xf>
    <xf numFmtId="10" fontId="30" fillId="25" borderId="14" xfId="35" applyNumberFormat="1" applyFont="1" applyFill="1" applyBorder="1" applyAlignment="1" applyProtection="1">
      <alignment horizontal="center" vertical="center"/>
      <protection locked="0"/>
    </xf>
    <xf numFmtId="4" fontId="26" fillId="0" borderId="14" xfId="35" applyNumberFormat="1" applyFont="1" applyBorder="1" applyAlignment="1">
      <alignment horizontal="center" vertical="center"/>
    </xf>
    <xf numFmtId="10" fontId="30" fillId="0" borderId="14" xfId="35" applyNumberFormat="1" applyFont="1" applyBorder="1" applyAlignment="1">
      <alignment horizontal="center" vertical="center"/>
    </xf>
    <xf numFmtId="10" fontId="30" fillId="0" borderId="14" xfId="35" applyNumberFormat="1" applyFont="1" applyBorder="1" applyAlignment="1">
      <alignment horizontal="center" vertical="center" wrapText="1"/>
    </xf>
    <xf numFmtId="0" fontId="30" fillId="0" borderId="14" xfId="35" applyFont="1" applyBorder="1" applyAlignment="1">
      <alignment horizontal="center" vertical="center" wrapText="1"/>
    </xf>
    <xf numFmtId="0" fontId="39" fillId="0" borderId="0" xfId="35" applyFont="1" applyAlignment="1">
      <alignment horizontal="center" vertical="center" wrapText="1"/>
    </xf>
    <xf numFmtId="10" fontId="39" fillId="0" borderId="0" xfId="35" applyNumberFormat="1" applyFont="1" applyAlignment="1">
      <alignment horizontal="center" vertical="center"/>
    </xf>
    <xf numFmtId="170" fontId="1" fillId="0" borderId="0" xfId="35" applyNumberFormat="1"/>
    <xf numFmtId="0" fontId="30" fillId="0" borderId="0" xfId="35" applyFont="1"/>
    <xf numFmtId="0" fontId="30" fillId="0" borderId="0" xfId="35" applyFont="1" applyAlignment="1">
      <alignment vertical="top"/>
    </xf>
    <xf numFmtId="0" fontId="34" fillId="0" borderId="0" xfId="35"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36" applyFont="1" applyBorder="1" applyAlignment="1">
      <alignment vertical="top"/>
    </xf>
    <xf numFmtId="0" fontId="22" fillId="0" borderId="15" xfId="36" applyFont="1" applyBorder="1" applyAlignment="1">
      <alignment horizontal="center" vertical="top"/>
    </xf>
    <xf numFmtId="10" fontId="37" fillId="25" borderId="16" xfId="38" applyNumberFormat="1" applyFont="1" applyFill="1" applyBorder="1" applyAlignment="1" applyProtection="1">
      <alignment horizontal="center" vertical="top" wrapText="1"/>
    </xf>
    <xf numFmtId="10" fontId="0" fillId="0" borderId="16" xfId="38" applyNumberFormat="1" applyFont="1" applyFill="1" applyBorder="1" applyAlignment="1" applyProtection="1">
      <alignment horizontal="center" vertical="top" wrapText="1"/>
    </xf>
    <xf numFmtId="164" fontId="22" fillId="24" borderId="19" xfId="47" applyFont="1" applyFill="1" applyBorder="1" applyAlignment="1" applyProtection="1">
      <alignment horizontal="center" vertical="center" shrinkToFit="1"/>
    </xf>
    <xf numFmtId="164" fontId="1" fillId="0" borderId="20" xfId="47" applyFont="1" applyFill="1" applyBorder="1" applyAlignment="1">
      <alignment horizontal="center" vertical="center" shrinkToFit="1"/>
    </xf>
    <xf numFmtId="0" fontId="21" fillId="0" borderId="0" xfId="0" applyFont="1" applyAlignment="1">
      <alignment horizontal="left" vertical="center"/>
    </xf>
    <xf numFmtId="0" fontId="1" fillId="0" borderId="0" xfId="35" applyAlignment="1">
      <alignment horizontal="center" vertical="top"/>
    </xf>
    <xf numFmtId="0" fontId="38" fillId="0" borderId="0" xfId="36"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38"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35" applyNumberFormat="1" applyFont="1" applyBorder="1" applyAlignment="1">
      <alignment horizontal="center" vertical="center" wrapText="1"/>
    </xf>
    <xf numFmtId="0" fontId="46" fillId="0" borderId="0" xfId="35" applyFont="1" applyAlignment="1">
      <alignment wrapText="1"/>
    </xf>
    <xf numFmtId="0" fontId="47" fillId="0" borderId="0" xfId="35" applyFont="1" applyAlignment="1">
      <alignment vertical="top" wrapText="1"/>
    </xf>
    <xf numFmtId="0" fontId="44" fillId="0" borderId="14" xfId="35" applyFont="1" applyBorder="1" applyAlignment="1">
      <alignment horizontal="center" vertical="center"/>
    </xf>
    <xf numFmtId="4" fontId="26" fillId="0" borderId="0" xfId="35" applyNumberFormat="1" applyFont="1" applyAlignment="1">
      <alignment horizontal="center" vertical="center" wrapText="1"/>
    </xf>
    <xf numFmtId="0" fontId="1" fillId="0" borderId="0" xfId="35"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47"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47" applyNumberFormat="1" applyFont="1" applyFill="1" applyBorder="1" applyAlignment="1">
      <alignment vertical="center" shrinkToFit="1"/>
    </xf>
    <xf numFmtId="10" fontId="22" fillId="24" borderId="10" xfId="47"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38" applyNumberFormat="1" applyFont="1" applyFill="1" applyBorder="1" applyAlignment="1" applyProtection="1">
      <alignment horizontal="center" vertical="top" wrapText="1"/>
    </xf>
    <xf numFmtId="10" fontId="37" fillId="0" borderId="18" xfId="38"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35" applyFont="1" applyBorder="1" applyAlignment="1">
      <alignment horizontal="left"/>
    </xf>
    <xf numFmtId="0" fontId="1" fillId="0" borderId="17" xfId="35"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47" applyNumberFormat="1" applyFont="1" applyFill="1" applyBorder="1" applyAlignment="1" applyProtection="1">
      <alignment horizontal="center" vertical="center" shrinkToFit="1"/>
    </xf>
    <xf numFmtId="10" fontId="26" fillId="28" borderId="0" xfId="38" applyNumberFormat="1" applyFont="1" applyFill="1" applyBorder="1" applyAlignment="1" applyProtection="1">
      <alignment horizontal="center" vertical="center" shrinkToFit="1"/>
    </xf>
    <xf numFmtId="4" fontId="26" fillId="28" borderId="13" xfId="47"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0" fontId="2" fillId="28" borderId="23" xfId="0" applyFont="1" applyFill="1" applyBorder="1" applyAlignment="1">
      <alignment vertical="center" wrapText="1"/>
    </xf>
    <xf numFmtId="164" fontId="1" fillId="0" borderId="28" xfId="4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38" applyNumberFormat="1" applyFont="1" applyFill="1" applyBorder="1" applyAlignment="1" applyProtection="1">
      <alignment horizontal="center" vertical="center"/>
    </xf>
    <xf numFmtId="4" fontId="30" fillId="0" borderId="0" xfId="38"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38" applyNumberFormat="1" applyFont="1" applyFill="1" applyBorder="1" applyAlignment="1" applyProtection="1">
      <alignment horizontal="center" vertical="center"/>
    </xf>
    <xf numFmtId="4" fontId="30" fillId="0" borderId="11" xfId="38" applyNumberFormat="1" applyFont="1" applyFill="1" applyBorder="1" applyAlignment="1" applyProtection="1">
      <alignment horizontal="center" vertical="center"/>
    </xf>
    <xf numFmtId="4" fontId="26" fillId="27" borderId="18" xfId="47" applyNumberFormat="1" applyFont="1" applyFill="1" applyBorder="1" applyAlignment="1" applyProtection="1">
      <alignment horizontal="center" vertical="center" shrinkToFit="1"/>
    </xf>
    <xf numFmtId="10" fontId="26" fillId="28" borderId="11" xfId="38" applyNumberFormat="1" applyFont="1" applyFill="1" applyBorder="1" applyAlignment="1" applyProtection="1">
      <alignment horizontal="center" vertical="center" shrinkToFit="1"/>
    </xf>
    <xf numFmtId="4" fontId="26" fillId="28" borderId="18" xfId="47"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38" applyNumberFormat="1" applyFont="1" applyFill="1" applyBorder="1" applyAlignment="1" applyProtection="1">
      <alignment horizontal="center" vertical="center" shrinkToFit="1"/>
    </xf>
    <xf numFmtId="10" fontId="26" fillId="27" borderId="0" xfId="38" applyNumberFormat="1" applyFont="1" applyFill="1" applyBorder="1" applyAlignment="1" applyProtection="1">
      <alignment horizontal="center" vertical="center" shrinkToFit="1"/>
    </xf>
    <xf numFmtId="4" fontId="30" fillId="0" borderId="12" xfId="38"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47"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38"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38" applyNumberFormat="1" applyFont="1" applyFill="1" applyBorder="1" applyAlignment="1" applyProtection="1">
      <alignment horizontal="center" vertical="center"/>
      <protection locked="0"/>
    </xf>
    <xf numFmtId="10" fontId="30" fillId="25" borderId="35" xfId="38" applyNumberFormat="1" applyFont="1" applyFill="1" applyBorder="1" applyAlignment="1" applyProtection="1">
      <alignment horizontal="center" vertical="center"/>
      <protection locked="0"/>
    </xf>
    <xf numFmtId="10" fontId="30" fillId="25" borderId="37" xfId="38" applyNumberFormat="1" applyFont="1" applyFill="1" applyBorder="1" applyAlignment="1" applyProtection="1">
      <alignment horizontal="center" vertical="center"/>
      <protection locked="0"/>
    </xf>
    <xf numFmtId="164" fontId="1" fillId="31" borderId="24" xfId="47"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38" applyNumberFormat="1" applyFont="1" applyFill="1" applyBorder="1" applyAlignment="1" applyProtection="1">
      <alignment horizontal="center" vertical="center" wrapText="1"/>
      <protection locked="0"/>
    </xf>
    <xf numFmtId="164" fontId="1" fillId="25" borderId="24" xfId="47" applyFont="1" applyFill="1" applyBorder="1" applyAlignment="1" applyProtection="1">
      <alignment vertical="center" shrinkToFit="1"/>
      <protection locked="0"/>
    </xf>
    <xf numFmtId="39" fontId="55" fillId="32" borderId="24" xfId="47" applyNumberFormat="1" applyFont="1" applyFill="1" applyBorder="1" applyAlignment="1" applyProtection="1">
      <alignment horizontal="left" vertical="center"/>
      <protection locked="0"/>
    </xf>
    <xf numFmtId="0" fontId="1" fillId="32" borderId="24" xfId="52" applyNumberFormat="1" applyFont="1" applyFill="1" applyBorder="1" applyAlignment="1" applyProtection="1">
      <alignment horizontal="justify" vertical="center" wrapText="1"/>
      <protection locked="0"/>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0" fontId="22" fillId="0" borderId="11" xfId="36" applyFont="1" applyBorder="1" applyAlignment="1">
      <alignment horizontal="left" vertical="top"/>
    </xf>
    <xf numFmtId="0" fontId="22" fillId="0" borderId="0" xfId="36" applyFont="1" applyAlignment="1">
      <alignment horizontal="left" vertical="top"/>
    </xf>
    <xf numFmtId="0" fontId="22" fillId="0" borderId="12" xfId="36" applyFont="1" applyBorder="1" applyAlignment="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1" fillId="25" borderId="18" xfId="0" applyNumberFormat="1" applyFon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Alignment="1">
      <alignment horizontal="left" wrapText="1" indent="2"/>
    </xf>
    <xf numFmtId="0" fontId="0" fillId="0" borderId="0" xfId="0" applyAlignment="1">
      <alignment horizontal="left" indent="2"/>
    </xf>
    <xf numFmtId="10" fontId="1" fillId="25" borderId="18" xfId="38" applyNumberFormat="1" applyFont="1" applyFill="1" applyBorder="1" applyAlignment="1" applyProtection="1">
      <alignment horizontal="left" vertical="top" wrapText="1"/>
      <protection locked="0"/>
    </xf>
    <xf numFmtId="10" fontId="37" fillId="25" borderId="13" xfId="38" applyNumberFormat="1" applyFont="1" applyFill="1" applyBorder="1" applyAlignment="1" applyProtection="1">
      <alignment horizontal="left" vertical="top" wrapText="1"/>
      <protection locked="0"/>
    </xf>
    <xf numFmtId="10" fontId="37" fillId="25" borderId="38" xfId="38" applyNumberFormat="1" applyFont="1" applyFill="1" applyBorder="1" applyAlignment="1" applyProtection="1">
      <alignment horizontal="left" vertical="top" wrapText="1"/>
      <protection locked="0"/>
    </xf>
    <xf numFmtId="10" fontId="1" fillId="0" borderId="18" xfId="38" applyNumberFormat="1" applyFont="1" applyFill="1" applyBorder="1" applyAlignment="1" applyProtection="1">
      <alignment horizontal="left" vertical="top" wrapText="1"/>
    </xf>
    <xf numFmtId="10" fontId="1" fillId="0" borderId="13" xfId="38" applyNumberFormat="1" applyFont="1" applyFill="1" applyBorder="1" applyAlignment="1" applyProtection="1">
      <alignment horizontal="left" vertical="top" wrapText="1"/>
    </xf>
    <xf numFmtId="10" fontId="37" fillId="0" borderId="13" xfId="38" applyNumberFormat="1" applyFont="1" applyFill="1" applyBorder="1" applyAlignment="1" applyProtection="1">
      <alignment horizontal="left" vertical="top" wrapText="1"/>
    </xf>
    <xf numFmtId="10" fontId="37" fillId="0" borderId="38" xfId="38" applyNumberFormat="1" applyFont="1" applyFill="1" applyBorder="1" applyAlignment="1" applyProtection="1">
      <alignment horizontal="left" vertical="top" wrapText="1"/>
    </xf>
    <xf numFmtId="14" fontId="37" fillId="0" borderId="18" xfId="38" applyNumberFormat="1" applyFont="1" applyFill="1" applyBorder="1" applyAlignment="1" applyProtection="1">
      <alignment horizontal="center" vertical="top" wrapText="1"/>
    </xf>
    <xf numFmtId="14" fontId="37" fillId="0" borderId="38" xfId="38" applyNumberFormat="1" applyFont="1" applyFill="1" applyBorder="1" applyAlignment="1" applyProtection="1">
      <alignment horizontal="center" vertical="top" wrapText="1"/>
    </xf>
    <xf numFmtId="0" fontId="1" fillId="0" borderId="0" xfId="0" applyFont="1" applyAlignment="1">
      <alignment horizontal="left" wrapText="1" indent="3"/>
    </xf>
    <xf numFmtId="0" fontId="0" fillId="0" borderId="0" xfId="0" applyAlignment="1">
      <alignment horizontal="left" indent="3"/>
    </xf>
    <xf numFmtId="0" fontId="1" fillId="0" borderId="18" xfId="0" applyFont="1" applyBorder="1" applyAlignment="1">
      <alignment horizontal="left" vertical="top" wrapText="1"/>
    </xf>
    <xf numFmtId="0" fontId="1" fillId="0" borderId="38" xfId="0" applyFont="1" applyBorder="1" applyAlignment="1">
      <alignment horizontal="left" vertical="top" wrapText="1"/>
    </xf>
    <xf numFmtId="14" fontId="1" fillId="0" borderId="18" xfId="38" applyNumberFormat="1" applyFont="1" applyFill="1" applyBorder="1" applyAlignment="1" applyProtection="1">
      <alignment horizontal="center" vertical="top" wrapText="1"/>
    </xf>
    <xf numFmtId="14" fontId="1" fillId="0" borderId="38" xfId="38" applyNumberFormat="1" applyFont="1" applyFill="1" applyBorder="1" applyAlignment="1" applyProtection="1">
      <alignment horizontal="center" vertical="top" wrapText="1"/>
    </xf>
    <xf numFmtId="0" fontId="1" fillId="0" borderId="13" xfId="0" applyFont="1" applyBorder="1" applyAlignment="1">
      <alignment horizontal="left" vertical="top" wrapText="1"/>
    </xf>
    <xf numFmtId="167" fontId="1" fillId="0" borderId="18" xfId="38" applyNumberFormat="1" applyFont="1" applyFill="1" applyBorder="1" applyAlignment="1" applyProtection="1">
      <alignment horizontal="left" vertical="top" wrapText="1"/>
    </xf>
    <xf numFmtId="167" fontId="1" fillId="0" borderId="13" xfId="38" applyNumberFormat="1" applyFont="1" applyFill="1" applyBorder="1" applyAlignment="1" applyProtection="1">
      <alignment horizontal="left" vertical="top" wrapText="1"/>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38" fillId="0" borderId="11" xfId="36" applyFont="1" applyBorder="1" applyAlignment="1">
      <alignment horizontal="left" vertical="top"/>
    </xf>
    <xf numFmtId="0" fontId="38" fillId="0" borderId="12" xfId="36" applyFont="1" applyBorder="1" applyAlignment="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Alignment="1" applyProtection="1">
      <alignment horizontal="left"/>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22" fillId="0" borderId="0" xfId="0" applyFont="1" applyAlignment="1">
      <alignment horizontal="left" wrapText="1" indent="1"/>
    </xf>
    <xf numFmtId="0" fontId="22" fillId="0" borderId="0" xfId="0" applyFont="1" applyAlignment="1">
      <alignment horizontal="left" indent="1"/>
    </xf>
    <xf numFmtId="0" fontId="51" fillId="29" borderId="0" xfId="0" applyFont="1" applyFill="1" applyAlignment="1">
      <alignment horizontal="left" vertical="top" wrapText="1" indent="2"/>
    </xf>
    <xf numFmtId="0" fontId="51" fillId="29" borderId="0" xfId="0" applyFont="1" applyFill="1" applyAlignment="1">
      <alignment horizontal="left" vertical="top" indent="2"/>
    </xf>
    <xf numFmtId="49" fontId="1" fillId="25" borderId="0" xfId="0" applyNumberFormat="1" applyFont="1" applyFill="1" applyAlignment="1" applyProtection="1">
      <alignment horizontal="left"/>
      <protection locked="0"/>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14" fontId="1" fillId="25" borderId="18" xfId="38" applyNumberFormat="1" applyFont="1" applyFill="1" applyBorder="1" applyAlignment="1" applyProtection="1">
      <alignment horizontal="center" vertical="top" wrapText="1"/>
      <protection locked="0"/>
    </xf>
    <xf numFmtId="14" fontId="37" fillId="25" borderId="38" xfId="38" applyNumberFormat="1" applyFont="1" applyFill="1" applyBorder="1" applyAlignment="1" applyProtection="1">
      <alignment horizontal="center" vertical="top" wrapText="1"/>
      <protection locked="0"/>
    </xf>
    <xf numFmtId="49" fontId="1" fillId="25" borderId="18" xfId="38" applyNumberFormat="1" applyFont="1" applyFill="1" applyBorder="1" applyAlignment="1" applyProtection="1">
      <alignment horizontal="left" vertical="top" wrapText="1"/>
      <protection locked="0"/>
    </xf>
    <xf numFmtId="49" fontId="1" fillId="25" borderId="13" xfId="38" applyNumberFormat="1" applyFont="1" applyFill="1" applyBorder="1" applyAlignment="1" applyProtection="1">
      <alignment horizontal="left" vertical="top" wrapText="1"/>
      <protection locked="0"/>
    </xf>
    <xf numFmtId="49" fontId="37" fillId="25" borderId="13" xfId="38" applyNumberFormat="1" applyFont="1" applyFill="1" applyBorder="1" applyAlignment="1" applyProtection="1">
      <alignment horizontal="left" vertical="top" wrapText="1"/>
      <protection locked="0"/>
    </xf>
    <xf numFmtId="49" fontId="37" fillId="25" borderId="38" xfId="38" applyNumberFormat="1" applyFont="1" applyFill="1" applyBorder="1" applyAlignment="1" applyProtection="1">
      <alignment horizontal="left" vertical="top" wrapText="1"/>
      <protection locked="0"/>
    </xf>
    <xf numFmtId="14" fontId="1" fillId="25" borderId="38" xfId="38"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0" fontId="22" fillId="0" borderId="40" xfId="0" applyFont="1" applyBorder="1" applyAlignment="1">
      <alignment horizontal="left" wrapText="1"/>
    </xf>
    <xf numFmtId="0" fontId="22" fillId="0" borderId="0" xfId="0" applyFont="1" applyAlignment="1">
      <alignment horizontal="left" wrapText="1"/>
    </xf>
    <xf numFmtId="49" fontId="1" fillId="0" borderId="0" xfId="35" applyNumberFormat="1" applyAlignment="1" applyProtection="1">
      <alignment horizontal="left"/>
      <protection locked="0"/>
    </xf>
    <xf numFmtId="0" fontId="26" fillId="0" borderId="0" xfId="35" applyFont="1" applyAlignment="1">
      <alignment horizontal="left" vertical="center"/>
    </xf>
    <xf numFmtId="0" fontId="22" fillId="0" borderId="0" xfId="35" applyFont="1" applyAlignment="1">
      <alignment horizontal="left" vertical="center"/>
    </xf>
    <xf numFmtId="10" fontId="2" fillId="25" borderId="14" xfId="35" applyNumberFormat="1" applyFont="1" applyFill="1" applyBorder="1" applyAlignment="1" applyProtection="1">
      <alignment horizontal="center"/>
      <protection locked="0"/>
    </xf>
    <xf numFmtId="0" fontId="2" fillId="0" borderId="14" xfId="35" applyFont="1" applyBorder="1" applyAlignment="1">
      <alignment horizontal="left"/>
    </xf>
    <xf numFmtId="0" fontId="26" fillId="0" borderId="14" xfId="35" applyFont="1" applyBorder="1" applyAlignment="1">
      <alignment horizontal="center" vertical="center"/>
    </xf>
    <xf numFmtId="0" fontId="2" fillId="0" borderId="14" xfId="35" applyFont="1" applyBorder="1" applyAlignment="1">
      <alignment horizontal="left" wrapText="1"/>
    </xf>
    <xf numFmtId="4" fontId="26" fillId="0" borderId="14" xfId="35" applyNumberFormat="1" applyFont="1" applyBorder="1" applyAlignment="1">
      <alignment horizontal="center" vertical="center" wrapText="1"/>
    </xf>
    <xf numFmtId="169" fontId="2" fillId="25" borderId="18" xfId="33" applyFont="1" applyFill="1" applyBorder="1" applyAlignment="1" applyProtection="1">
      <alignment horizontal="left"/>
      <protection locked="0"/>
    </xf>
    <xf numFmtId="169" fontId="2" fillId="25" borderId="13" xfId="33" applyFont="1" applyFill="1" applyBorder="1" applyAlignment="1" applyProtection="1">
      <alignment horizontal="left"/>
      <protection locked="0"/>
    </xf>
    <xf numFmtId="169" fontId="2" fillId="25" borderId="38" xfId="33" applyFont="1" applyFill="1" applyBorder="1" applyAlignment="1" applyProtection="1">
      <alignment horizontal="left"/>
      <protection locked="0"/>
    </xf>
    <xf numFmtId="0" fontId="1" fillId="0" borderId="18" xfId="35" applyBorder="1" applyAlignment="1">
      <alignment horizontal="center" vertical="top" wrapText="1"/>
    </xf>
    <xf numFmtId="0" fontId="1" fillId="0" borderId="38" xfId="35" applyBorder="1" applyAlignment="1">
      <alignment horizontal="center" vertical="top" wrapText="1"/>
    </xf>
    <xf numFmtId="0" fontId="1" fillId="0" borderId="18" xfId="35" applyBorder="1" applyAlignment="1">
      <alignment horizontal="left" vertical="top" wrapText="1"/>
    </xf>
    <xf numFmtId="0" fontId="1" fillId="0" borderId="38" xfId="35" applyBorder="1" applyAlignment="1">
      <alignment horizontal="left" vertical="top" wrapText="1"/>
    </xf>
    <xf numFmtId="49" fontId="1" fillId="0" borderId="18" xfId="35" applyNumberFormat="1" applyBorder="1" applyAlignment="1">
      <alignment horizontal="left" vertical="top" wrapText="1"/>
    </xf>
    <xf numFmtId="0" fontId="1" fillId="0" borderId="13" xfId="35" applyBorder="1" applyAlignment="1">
      <alignment horizontal="left" vertical="top" wrapText="1"/>
    </xf>
    <xf numFmtId="0" fontId="2" fillId="0" borderId="16" xfId="33" applyNumberFormat="1" applyFont="1" applyFill="1" applyBorder="1" applyAlignment="1" applyProtection="1">
      <alignment horizontal="left" wrapText="1"/>
    </xf>
    <xf numFmtId="0" fontId="47" fillId="0" borderId="0" xfId="35" applyFont="1" applyAlignment="1">
      <alignment horizontal="center" vertical="top" wrapText="1"/>
    </xf>
    <xf numFmtId="171" fontId="1" fillId="0" borderId="13" xfId="35" applyNumberFormat="1" applyBorder="1" applyAlignment="1">
      <alignment horizontal="left"/>
    </xf>
    <xf numFmtId="0" fontId="1" fillId="0" borderId="14" xfId="35" applyBorder="1" applyAlignment="1">
      <alignment horizontal="left" vertical="center" wrapText="1"/>
    </xf>
    <xf numFmtId="0" fontId="1" fillId="0" borderId="14" xfId="35" applyBorder="1" applyAlignment="1">
      <alignment horizontal="left" vertical="center"/>
    </xf>
    <xf numFmtId="0" fontId="22" fillId="0" borderId="14" xfId="35" applyFont="1" applyBorder="1" applyAlignment="1">
      <alignment horizontal="center" vertical="center"/>
    </xf>
    <xf numFmtId="0" fontId="35" fillId="0" borderId="14" xfId="35" applyFont="1" applyBorder="1" applyAlignment="1">
      <alignment horizontal="center" vertical="center" wrapText="1"/>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71" fontId="1" fillId="0" borderId="0" xfId="35" applyNumberFormat="1" applyAlignment="1">
      <alignment horizontal="left"/>
    </xf>
    <xf numFmtId="0" fontId="45" fillId="0" borderId="0" xfId="35" applyFont="1" applyAlignment="1">
      <alignment horizontal="left" vertical="center" indent="1"/>
    </xf>
    <xf numFmtId="0" fontId="39" fillId="0" borderId="0" xfId="35" applyFont="1" applyAlignment="1">
      <alignment horizontal="left" vertical="center" wrapText="1"/>
    </xf>
    <xf numFmtId="2" fontId="33" fillId="0" borderId="17" xfId="35" applyNumberFormat="1" applyFont="1" applyBorder="1" applyAlignment="1">
      <alignment horizontal="center" vertical="center"/>
    </xf>
    <xf numFmtId="0" fontId="1" fillId="0" borderId="0" xfId="35" applyAlignment="1">
      <alignment horizontal="center" vertical="center"/>
    </xf>
    <xf numFmtId="168" fontId="1" fillId="0" borderId="13" xfId="35" applyNumberFormat="1" applyBorder="1" applyAlignment="1">
      <alignment horizontal="left"/>
    </xf>
    <xf numFmtId="49" fontId="1" fillId="25" borderId="32" xfId="35" applyNumberFormat="1" applyFill="1" applyBorder="1" applyAlignment="1" applyProtection="1">
      <alignment horizontal="left" vertical="top" wrapText="1"/>
      <protection locked="0"/>
    </xf>
    <xf numFmtId="49" fontId="1" fillId="25" borderId="10" xfId="35" applyNumberFormat="1" applyFill="1" applyBorder="1" applyAlignment="1" applyProtection="1">
      <alignment horizontal="left" vertical="top" wrapText="1"/>
      <protection locked="0"/>
    </xf>
    <xf numFmtId="49" fontId="1" fillId="25" borderId="19" xfId="35" applyNumberFormat="1" applyFill="1" applyBorder="1" applyAlignment="1" applyProtection="1">
      <alignment horizontal="left" vertical="top" wrapText="1"/>
      <protection locked="0"/>
    </xf>
    <xf numFmtId="0" fontId="1" fillId="0" borderId="17" xfId="35" applyBorder="1" applyAlignment="1">
      <alignment horizontal="center" vertical="center"/>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170" fontId="1" fillId="0" borderId="13" xfId="0" applyNumberFormat="1" applyFont="1" applyBorder="1" applyAlignment="1">
      <alignment horizontal="left" vertical="center"/>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0" fontId="49" fillId="0" borderId="0" xfId="0" applyFont="1" applyAlignment="1">
      <alignment horizontal="center" vertical="top" wrapText="1"/>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cellXfs>
  <cellStyles count="54">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21" xr:uid="{00000000-0005-0000-0000-000012000000}"/>
    <cellStyle name="Accent2" xfId="22" xr:uid="{00000000-0005-0000-0000-000013000000}"/>
    <cellStyle name="Accent3" xfId="23" xr:uid="{00000000-0005-0000-0000-000014000000}"/>
    <cellStyle name="Accent4" xfId="24" xr:uid="{00000000-0005-0000-0000-000015000000}"/>
    <cellStyle name="Accent5" xfId="25" xr:uid="{00000000-0005-0000-0000-000016000000}"/>
    <cellStyle name="Accent6" xfId="26" xr:uid="{00000000-0005-0000-0000-000017000000}"/>
    <cellStyle name="Bad" xfId="29" xr:uid="{00000000-0005-0000-0000-000018000000}"/>
    <cellStyle name="Bom" xfId="28" builtinId="26" customBuiltin="1"/>
    <cellStyle name="Calculation" xfId="19" xr:uid="{00000000-0005-0000-0000-00001A000000}"/>
    <cellStyle name="Célula de Verificação" xfId="20" builtinId="23" customBuiltin="1"/>
    <cellStyle name="Célula Vinculada" xfId="31" builtinId="24" customBuiltin="1"/>
    <cellStyle name="Entrada" xfId="30" builtinId="20" customBuiltin="1"/>
    <cellStyle name="Excel Built-in Normal" xfId="27" xr:uid="{00000000-0005-0000-0000-00001E000000}"/>
    <cellStyle name="Explanatory Text" xfId="40" xr:uid="{00000000-0005-0000-0000-00001F000000}"/>
    <cellStyle name="Heading 1" xfId="42" xr:uid="{00000000-0005-0000-0000-000020000000}"/>
    <cellStyle name="Heading 2" xfId="43" xr:uid="{00000000-0005-0000-0000-000021000000}"/>
    <cellStyle name="Heading 3" xfId="44" xr:uid="{00000000-0005-0000-0000-000022000000}"/>
    <cellStyle name="Heading 4" xfId="45" xr:uid="{00000000-0005-0000-0000-000023000000}"/>
    <cellStyle name="Moeda 2" xfId="32" xr:uid="{00000000-0005-0000-0000-000024000000}"/>
    <cellStyle name="Moeda_Composicao BDI v2.1" xfId="33" xr:uid="{00000000-0005-0000-0000-000025000000}"/>
    <cellStyle name="Neutro" xfId="34" builtinId="28" customBuiltin="1"/>
    <cellStyle name="Normal" xfId="0" builtinId="0"/>
    <cellStyle name="Normal 2" xfId="35" xr:uid="{00000000-0005-0000-0000-000028000000}"/>
    <cellStyle name="Normal 3" xfId="50" xr:uid="{00000000-0005-0000-0000-000029000000}"/>
    <cellStyle name="Normal 4 2" xfId="49" xr:uid="{00000000-0005-0000-0000-00002A000000}"/>
    <cellStyle name="Normal 6" xfId="53" xr:uid="{A8E5711E-B64E-4476-A0EC-3FED915DF8CD}"/>
    <cellStyle name="Normal_FICHA DE VERIFICAÇÃO PRELIMINAR - Plano R" xfId="36" xr:uid="{00000000-0005-0000-0000-00002B000000}"/>
    <cellStyle name="Nota" xfId="37" builtinId="10" customBuiltin="1"/>
    <cellStyle name="Output" xfId="39" xr:uid="{00000000-0005-0000-0000-00002D000000}"/>
    <cellStyle name="Porcentagem" xfId="38" builtinId="5"/>
    <cellStyle name="Texto de Aviso" xfId="48" builtinId="11" customBuiltin="1"/>
    <cellStyle name="Title" xfId="41" xr:uid="{00000000-0005-0000-0000-000031000000}"/>
    <cellStyle name="Total" xfId="46" builtinId="25" customBuiltin="1"/>
    <cellStyle name="Vírgula" xfId="47" builtinId="3"/>
    <cellStyle name="Vírgula 10" xfId="52" xr:uid="{00000000-0005-0000-0000-000033000000}"/>
    <cellStyle name="Vírgula 6 3" xfId="51" xr:uid="{00000000-0005-0000-0000-000034000000}"/>
  </cellStyles>
  <dxfs count="193">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CheckBox" checked="Checked" fmlaLink="$X$3" noThreeD="1"/>
</file>

<file path=xl/ctrlProps/ctrlProp4.xml><?xml version="1.0" encoding="utf-8"?>
<formControlPr xmlns="http://schemas.microsoft.com/office/spreadsheetml/2009/9/main" objectType="CheckBox" checked="Checked" fmlaLink="$X$4" noThreeD="1"/>
</file>

<file path=xl/ctrlProps/ctrlProp5.xml><?xml version="1.0" encoding="utf-8"?>
<formControlPr xmlns="http://schemas.microsoft.com/office/spreadsheetml/2009/9/main" objectType="CheckBox" checked="Checked" fmlaLink="$X$5" noThreeD="1"/>
</file>

<file path=xl/ctrlProps/ctrlProp6.xml><?xml version="1.0" encoding="utf-8"?>
<formControlPr xmlns="http://schemas.microsoft.com/office/spreadsheetml/2009/9/main" objectType="CheckBox" checked="Checked" fmlaLink="$X$6" noThreeD="1"/>
</file>

<file path=xl/ctrlProps/ctrlProp7.xml><?xml version="1.0" encoding="utf-8"?>
<formControlPr xmlns="http://schemas.microsoft.com/office/spreadsheetml/2009/9/main" objectType="CheckBox" checked="Checked" fmlaLink="$X$7" noThreeD="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0.emf"/><Relationship Id="rId1" Type="http://schemas.openxmlformats.org/officeDocument/2006/relationships/image" Target="../media/image1.emf"/><Relationship Id="rId4" Type="http://schemas.openxmlformats.org/officeDocument/2006/relationships/image" Target="../media/image4.emf"/></Relationships>
</file>

<file path=xl/drawings/_rels/drawing6.xml.rels><?xml version="1.0" encoding="UTF-8" standalone="yes"?>
<Relationships xmlns="http://schemas.openxmlformats.org/package/2006/relationships"><Relationship Id="rId3" Type="http://schemas.openxmlformats.org/officeDocument/2006/relationships/image" Target="../media/image14.emf"/><Relationship Id="rId7" Type="http://schemas.openxmlformats.org/officeDocument/2006/relationships/image" Target="../media/image17.emf"/><Relationship Id="rId2" Type="http://schemas.openxmlformats.org/officeDocument/2006/relationships/image" Target="../media/image10.emf"/><Relationship Id="rId1" Type="http://schemas.openxmlformats.org/officeDocument/2006/relationships/image" Target="../media/image1.emf"/><Relationship Id="rId6" Type="http://schemas.openxmlformats.org/officeDocument/2006/relationships/image" Target="../media/image16.emf"/><Relationship Id="rId5" Type="http://schemas.openxmlformats.org/officeDocument/2006/relationships/image" Target="../media/image4.emf"/><Relationship Id="rId4" Type="http://schemas.openxmlformats.org/officeDocument/2006/relationships/image" Target="../media/image15.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8.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13.emf"/><Relationship Id="rId1" Type="http://schemas.openxmlformats.org/officeDocument/2006/relationships/image" Target="../media/image12.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19.emf"/><Relationship Id="rId2" Type="http://schemas.openxmlformats.org/officeDocument/2006/relationships/image" Target="../media/image18.emf"/><Relationship Id="rId1" Type="http://schemas.openxmlformats.org/officeDocument/2006/relationships/image" Target="../media/image12.emf"/><Relationship Id="rId6" Type="http://schemas.openxmlformats.org/officeDocument/2006/relationships/image" Target="../media/image21.emf"/><Relationship Id="rId5" Type="http://schemas.openxmlformats.org/officeDocument/2006/relationships/image" Target="../media/image20.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12</xdr:col>
      <xdr:colOff>495300</xdr:colOff>
      <xdr:row>12</xdr:row>
      <xdr:rowOff>85725</xdr:rowOff>
    </xdr:from>
    <xdr:to>
      <xdr:col>15</xdr:col>
      <xdr:colOff>466725</xdr:colOff>
      <xdr:row>15</xdr:row>
      <xdr:rowOff>57150</xdr:rowOff>
    </xdr:to>
    <xdr:sp macro="[0]!Importar" textlink="">
      <xdr:nvSpPr>
        <xdr:cNvPr id="2" name="ImportButton">
          <a:extLst>
            <a:ext uri="{FF2B5EF4-FFF2-40B4-BE49-F238E27FC236}">
              <a16:creationId xmlns:a16="http://schemas.microsoft.com/office/drawing/2014/main" id="{00000000-0008-0000-0000-000002000000}"/>
            </a:ext>
          </a:extLst>
        </xdr:cNvPr>
        <xdr:cNvSpPr>
          <a:spLocks noChangeArrowheads="1"/>
        </xdr:cNvSpPr>
      </xdr:nvSpPr>
      <xdr:spPr bwMode="auto">
        <a:xfrm>
          <a:off x="8077200" y="1847850"/>
          <a:ext cx="1714500" cy="457200"/>
        </a:xfrm>
        <a:prstGeom prst="rect">
          <a:avLst/>
        </a:prstGeom>
        <a:solidFill>
          <a:srgbClr val="D0CECE"/>
        </a:solidFill>
        <a:ln w="6350" algn="ctr">
          <a:solidFill>
            <a:srgbClr val="41719C"/>
          </a:solidFill>
          <a:miter lim="800000"/>
          <a:headEnd/>
          <a:tailEnd/>
        </a:ln>
        <a:effectLst>
          <a:outerShdw dist="63500" dir="2700000" algn="tl" rotWithShape="0">
            <a:srgbClr val="000000"/>
          </a:outerShdw>
        </a:effectLst>
      </xdr:spPr>
      <xdr:txBody>
        <a:bodyPr vertOverflow="clip" wrap="square" lIns="27432" tIns="27432" rIns="27432" bIns="27432" anchor="ctr" upright="1"/>
        <a:lstStyle/>
        <a:p>
          <a:pPr algn="ctr" rtl="0">
            <a:defRPr sz="1000"/>
          </a:pPr>
          <a:r>
            <a:rPr lang="pt-BR" sz="1050" b="0" i="0" u="none" strike="noStrike" baseline="0">
              <a:solidFill>
                <a:srgbClr val="000000"/>
              </a:solidFill>
              <a:latin typeface="Calibri"/>
            </a:rPr>
            <a:t>Importar PO</a:t>
          </a:r>
        </a:p>
        <a:p>
          <a:pPr algn="ctr" rtl="0">
            <a:defRPr sz="1000"/>
          </a:pPr>
          <a:r>
            <a:rPr lang="pt-BR" sz="1050" b="0" i="0" u="none" strike="noStrike" baseline="0">
              <a:solidFill>
                <a:srgbClr val="000000"/>
              </a:solidFill>
              <a:latin typeface="Calibri"/>
            </a:rPr>
            <a:t>(MO27476)</a:t>
          </a:r>
        </a:p>
      </xdr:txBody>
    </xdr:sp>
    <xdr:clientData fPrintsWithSheet="0"/>
  </xdr:twoCellAnchor>
  <mc:AlternateContent xmlns:mc="http://schemas.openxmlformats.org/markup-compatibility/2006">
    <mc:Choice xmlns:a14="http://schemas.microsoft.com/office/drawing/2010/main" Requires="a14">
      <xdr:twoCellAnchor editAs="oneCell">
        <xdr:from>
          <xdr:col>0</xdr:col>
          <xdr:colOff>438150</xdr:colOff>
          <xdr:row>18</xdr:row>
          <xdr:rowOff>95250</xdr:rowOff>
        </xdr:from>
        <xdr:to>
          <xdr:col>5</xdr:col>
          <xdr:colOff>257175</xdr:colOff>
          <xdr:row>20</xdr:row>
          <xdr:rowOff>57150</xdr:rowOff>
        </xdr:to>
        <xdr:sp macro="" textlink="">
          <xdr:nvSpPr>
            <xdr:cNvPr id="34202" name="OptionPLQ-ON" descr="Parcela 1" hidden="1">
              <a:extLst>
                <a:ext uri="{63B3BB69-23CF-44E3-9099-C40C66FF867C}">
                  <a14:compatExt spid="_x0000_s34202"/>
                </a:ext>
                <a:ext uri="{FF2B5EF4-FFF2-40B4-BE49-F238E27FC236}">
                  <a16:creationId xmlns:a16="http://schemas.microsoft.com/office/drawing/2014/main" id="{00000000-0008-0000-0000-00009A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MÚLTIPLAS FRENTES (PREENCHIMENTO NA PLQ)</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18</xdr:row>
          <xdr:rowOff>95250</xdr:rowOff>
        </xdr:from>
        <xdr:to>
          <xdr:col>11</xdr:col>
          <xdr:colOff>171450</xdr:colOff>
          <xdr:row>20</xdr:row>
          <xdr:rowOff>57150</xdr:rowOff>
        </xdr:to>
        <xdr:sp macro="" textlink="">
          <xdr:nvSpPr>
            <xdr:cNvPr id="34203" name="OptionPLQ-OFF" descr="Parcela 1" hidden="1">
              <a:extLst>
                <a:ext uri="{63B3BB69-23CF-44E3-9099-C40C66FF867C}">
                  <a14:compatExt spid="_x0000_s34203"/>
                </a:ext>
                <a:ext uri="{FF2B5EF4-FFF2-40B4-BE49-F238E27FC236}">
                  <a16:creationId xmlns:a16="http://schemas.microsoft.com/office/drawing/2014/main" id="{00000000-0008-0000-0000-00009B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FRENTE ÚNICA (PREENCHIMENTO DIRETAMENTE NA PO)</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353683</xdr:colOff>
          <xdr:row>0</xdr:row>
          <xdr:rowOff>34506</xdr:rowOff>
        </xdr:from>
        <xdr:to>
          <xdr:col>18</xdr:col>
          <xdr:colOff>25879</xdr:colOff>
          <xdr:row>2</xdr:row>
          <xdr:rowOff>69011</xdr:rowOff>
        </xdr:to>
        <xdr:pic>
          <xdr:nvPicPr>
            <xdr:cNvPr id="207088" name="SigiloPic">
              <a:extLst>
                <a:ext uri="{FF2B5EF4-FFF2-40B4-BE49-F238E27FC236}">
                  <a16:creationId xmlns:a16="http://schemas.microsoft.com/office/drawing/2014/main" id="{82805020-E834-2E05-F66E-DE28FB4BC9EE}"/>
                </a:ext>
              </a:extLst>
            </xdr:cNvPr>
            <xdr:cNvPicPr>
              <a:picLocks noChangeArrowheads="1"/>
              <a:extLst>
                <a:ext uri="{84589F7E-364E-4C9E-8A38-B11213B215E9}">
                  <a14:cameraTool cellRange="PO!$T$1:$T$2" spid="_x0000_s207109"/>
                </a:ext>
              </a:extLst>
            </xdr:cNvPicPr>
          </xdr:nvPicPr>
          <xdr:blipFill>
            <a:blip xmlns:r="http://schemas.openxmlformats.org/officeDocument/2006/relationships" r:embed="rId2"/>
            <a:srcRect/>
            <a:stretch>
              <a:fillRect/>
            </a:stretch>
          </xdr:blipFill>
          <xdr:spPr bwMode="auto">
            <a:xfrm>
              <a:off x="6435306" y="34506"/>
              <a:ext cx="1155939" cy="39681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68E73298-BB64-40E3-BBA2-FAE523070E77}"/>
            </a:ext>
          </a:extLst>
        </xdr:cNvPr>
        <xdr:cNvSpPr txBox="1">
          <a:spLocks noChangeArrowheads="1"/>
        </xdr:cNvSpPr>
      </xdr:nvSpPr>
      <xdr:spPr bwMode="auto">
        <a:xfrm>
          <a:off x="7890510" y="901065"/>
          <a:ext cx="1057275" cy="33909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BC9AE39A-15C8-4DBC-8977-D8F0ED5D0BEC}"/>
            </a:ext>
          </a:extLst>
        </xdr:cNvPr>
        <xdr:cNvSpPr/>
      </xdr:nvSpPr>
      <xdr:spPr>
        <a:xfrm>
          <a:off x="28575" y="19050"/>
          <a:ext cx="1840230" cy="386715"/>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a16="http://schemas.microsoft.com/office/drawing/2014/main" id="{E310B9A8-173B-4C6A-9911-0D1EDA821F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840230" cy="3867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353683</xdr:colOff>
          <xdr:row>0</xdr:row>
          <xdr:rowOff>34506</xdr:rowOff>
        </xdr:from>
        <xdr:to>
          <xdr:col>17</xdr:col>
          <xdr:colOff>696583</xdr:colOff>
          <xdr:row>1</xdr:row>
          <xdr:rowOff>164046</xdr:rowOff>
        </xdr:to>
        <xdr:pic>
          <xdr:nvPicPr>
            <xdr:cNvPr id="5" name="SigiloPic">
              <a:extLst>
                <a:ext uri="{FF2B5EF4-FFF2-40B4-BE49-F238E27FC236}">
                  <a16:creationId xmlns:a16="http://schemas.microsoft.com/office/drawing/2014/main" id="{D9386EC9-6EB3-4B89-B947-33B39E6E3004}"/>
                </a:ext>
              </a:extLst>
            </xdr:cNvPr>
            <xdr:cNvPicPr>
              <a:picLocks noChangeArrowheads="1"/>
              <a:extLst>
                <a:ext uri="{84589F7E-364E-4C9E-8A38-B11213B215E9}">
                  <a14:cameraTool cellRange="PO!$T$1:$T$2" spid="_x0000_s216075"/>
                </a:ext>
              </a:extLst>
            </xdr:cNvPicPr>
          </xdr:nvPicPr>
          <xdr:blipFill>
            <a:blip xmlns:r="http://schemas.openxmlformats.org/officeDocument/2006/relationships" r:embed="rId2"/>
            <a:srcRect/>
            <a:stretch>
              <a:fillRect/>
            </a:stretch>
          </xdr:blipFill>
          <xdr:spPr bwMode="auto">
            <a:xfrm>
              <a:off x="6411583" y="34506"/>
              <a:ext cx="1082040" cy="32004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a:xfrm>
          <a:off x="0" y="0"/>
          <a:ext cx="0" cy="0"/>
        </a:xfrm>
        <a:prstGeom prst="rect">
          <a:avLst/>
        </a:prstGeom>
      </xdr:spPr>
    </xdr:sp>
    <xdr:clientData/>
  </xdr:twoCellAnchor>
  <xdr:twoCellAnchor>
    <xdr:from>
      <xdr:col>13</xdr:col>
      <xdr:colOff>142874</xdr:colOff>
      <xdr:row>7</xdr:row>
      <xdr:rowOff>166687</xdr:rowOff>
    </xdr:from>
    <xdr:to>
      <xdr:col>13</xdr:col>
      <xdr:colOff>1619249</xdr:colOff>
      <xdr:row>7</xdr:row>
      <xdr:rowOff>347662</xdr:rowOff>
    </xdr:to>
    <xdr:sp macro="[0]!EditarPlan" textlink="">
      <xdr:nvSpPr>
        <xdr:cNvPr id="5" name="EditarButton">
          <a:extLst>
            <a:ext uri="{FF2B5EF4-FFF2-40B4-BE49-F238E27FC236}">
              <a16:creationId xmlns:a16="http://schemas.microsoft.com/office/drawing/2014/main" id="{00000000-0008-0000-0200-000005000000}"/>
            </a:ext>
          </a:extLst>
        </xdr:cNvPr>
        <xdr:cNvSpPr txBox="1">
          <a:spLocks noChangeArrowheads="1"/>
        </xdr:cNvSpPr>
      </xdr:nvSpPr>
      <xdr:spPr bwMode="auto">
        <a:xfrm>
          <a:off x="3667124" y="1905000"/>
          <a:ext cx="1476375" cy="180975"/>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PLANILHA</a:t>
          </a:r>
        </a:p>
      </xdr:txBody>
    </xdr:sp>
    <xdr:clientData fPrintsWithSheet="0"/>
  </xdr:twoCellAnchor>
  <xdr:twoCellAnchor>
    <xdr:from>
      <xdr:col>13</xdr:col>
      <xdr:colOff>3762375</xdr:colOff>
      <xdr:row>7</xdr:row>
      <xdr:rowOff>166687</xdr:rowOff>
    </xdr:from>
    <xdr:to>
      <xdr:col>13</xdr:col>
      <xdr:colOff>5076826</xdr:colOff>
      <xdr:row>9</xdr:row>
      <xdr:rowOff>154779</xdr:rowOff>
    </xdr:to>
    <xdr:sp macro="[0]!licitacaouserform" textlink="">
      <xdr:nvSpPr>
        <xdr:cNvPr id="6" name="LicitButton">
          <a:extLst>
            <a:ext uri="{FF2B5EF4-FFF2-40B4-BE49-F238E27FC236}">
              <a16:creationId xmlns:a16="http://schemas.microsoft.com/office/drawing/2014/main" id="{00000000-0008-0000-0200-000006000000}"/>
            </a:ext>
          </a:extLst>
        </xdr:cNvPr>
        <xdr:cNvSpPr txBox="1">
          <a:spLocks noChangeArrowheads="1"/>
        </xdr:cNvSpPr>
      </xdr:nvSpPr>
      <xdr:spPr bwMode="auto">
        <a:xfrm>
          <a:off x="7286625" y="1905000"/>
          <a:ext cx="1314451" cy="369092"/>
        </a:xfrm>
        <a:prstGeom prst="rect">
          <a:avLst/>
        </a:prstGeom>
        <a:solidFill>
          <a:srgbClr val="33CCCC"/>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LICITAR / REPROGRAMAR</a:t>
          </a:r>
        </a:p>
      </xdr:txBody>
    </xdr:sp>
    <xdr:clientData fPrintsWithSheet="0"/>
  </xdr:twoCellAnchor>
  <xdr:twoCellAnchor>
    <xdr:from>
      <xdr:col>13</xdr:col>
      <xdr:colOff>1976437</xdr:colOff>
      <xdr:row>7</xdr:row>
      <xdr:rowOff>166686</xdr:rowOff>
    </xdr:from>
    <xdr:to>
      <xdr:col>13</xdr:col>
      <xdr:colOff>3452812</xdr:colOff>
      <xdr:row>7</xdr:row>
      <xdr:rowOff>346686</xdr:rowOff>
    </xdr:to>
    <xdr:sp macro="[0]!fixarReferencias" textlink="">
      <xdr:nvSpPr>
        <xdr:cNvPr id="7" name="FixarButton">
          <a:extLst>
            <a:ext uri="{FF2B5EF4-FFF2-40B4-BE49-F238E27FC236}">
              <a16:creationId xmlns:a16="http://schemas.microsoft.com/office/drawing/2014/main" id="{00000000-0008-0000-0200-000007000000}"/>
            </a:ext>
          </a:extLst>
        </xdr:cNvPr>
        <xdr:cNvSpPr txBox="1">
          <a:spLocks noChangeArrowheads="1"/>
        </xdr:cNvSpPr>
      </xdr:nvSpPr>
      <xdr:spPr bwMode="auto">
        <a:xfrm>
          <a:off x="5500687" y="1904999"/>
          <a:ext cx="1476375" cy="1800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FIXAR DESCRICOES</a:t>
          </a:r>
        </a:p>
      </xdr:txBody>
    </xdr:sp>
    <xdr:clientData fPrintsWithSheet="0"/>
  </xdr:twoCellAnchor>
  <xdr:twoCellAnchor>
    <xdr:from>
      <xdr:col>11</xdr:col>
      <xdr:colOff>378619</xdr:colOff>
      <xdr:row>7</xdr:row>
      <xdr:rowOff>164306</xdr:rowOff>
    </xdr:from>
    <xdr:to>
      <xdr:col>12</xdr:col>
      <xdr:colOff>807244</xdr:colOff>
      <xdr:row>7</xdr:row>
      <xdr:rowOff>345281</xdr:rowOff>
    </xdr:to>
    <xdr:sp macro="[0]!buscaCodigo" textlink="">
      <xdr:nvSpPr>
        <xdr:cNvPr id="8" name="BuscarButton">
          <a:extLst>
            <a:ext uri="{FF2B5EF4-FFF2-40B4-BE49-F238E27FC236}">
              <a16:creationId xmlns:a16="http://schemas.microsoft.com/office/drawing/2014/main" id="{00000000-0008-0000-0200-000008000000}"/>
            </a:ext>
          </a:extLst>
        </xdr:cNvPr>
        <xdr:cNvSpPr txBox="1">
          <a:spLocks noChangeArrowheads="1"/>
        </xdr:cNvSpPr>
      </xdr:nvSpPr>
      <xdr:spPr bwMode="auto">
        <a:xfrm>
          <a:off x="1807369" y="1902619"/>
          <a:ext cx="1476375" cy="180975"/>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BUSCAR CÓDIGO</a:t>
          </a:r>
        </a:p>
      </xdr:txBody>
    </xdr:sp>
    <xdr:clientData fPrintsWithSheet="0"/>
  </xdr:twoCellAnchor>
  <xdr:twoCellAnchor editAs="oneCell">
    <xdr:from>
      <xdr:col>14</xdr:col>
      <xdr:colOff>714374</xdr:colOff>
      <xdr:row>6</xdr:row>
      <xdr:rowOff>285748</xdr:rowOff>
    </xdr:from>
    <xdr:to>
      <xdr:col>19</xdr:col>
      <xdr:colOff>1047748</xdr:colOff>
      <xdr:row>7</xdr:row>
      <xdr:rowOff>330852</xdr:rowOff>
    </xdr:to>
    <xdr:sp macro="" textlink="">
      <xdr:nvSpPr>
        <xdr:cNvPr id="9" name="TextBoxArred">
          <a:extLst>
            <a:ext uri="{FF2B5EF4-FFF2-40B4-BE49-F238E27FC236}">
              <a16:creationId xmlns:a16="http://schemas.microsoft.com/office/drawing/2014/main" id="{00000000-0008-0000-0200-000009000000}"/>
            </a:ext>
          </a:extLst>
        </xdr:cNvPr>
        <xdr:cNvSpPr txBox="1">
          <a:spLocks noChangeArrowheads="1"/>
        </xdr:cNvSpPr>
      </xdr:nvSpPr>
      <xdr:spPr bwMode="auto">
        <a:xfrm flipH="1">
          <a:off x="9620249" y="1714498"/>
          <a:ext cx="4905374" cy="354667"/>
        </a:xfrm>
        <a:prstGeom prst="rect">
          <a:avLst/>
        </a:prstGeom>
        <a:noFill/>
        <a:ln w="635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27432" tIns="22860" rIns="27432" bIns="0" anchor="t" upright="1"/>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15</xdr:col>
          <xdr:colOff>476250</xdr:colOff>
          <xdr:row>7</xdr:row>
          <xdr:rowOff>133350</xdr:rowOff>
        </xdr:from>
        <xdr:to>
          <xdr:col>15</xdr:col>
          <xdr:colOff>962025</xdr:colOff>
          <xdr:row>7</xdr:row>
          <xdr:rowOff>390525</xdr:rowOff>
        </xdr:to>
        <xdr:sp macro="" textlink="">
          <xdr:nvSpPr>
            <xdr:cNvPr id="197642" name="CaixaArredQuant" hidden="1">
              <a:extLst>
                <a:ext uri="{63B3BB69-23CF-44E3-9099-C40C66FF867C}">
                  <a14:compatExt spid="_x0000_s197642"/>
                </a:ext>
                <a:ext uri="{FF2B5EF4-FFF2-40B4-BE49-F238E27FC236}">
                  <a16:creationId xmlns:a16="http://schemas.microsoft.com/office/drawing/2014/main" id="{00000000-0008-0000-0300-00000A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476250</xdr:colOff>
          <xdr:row>7</xdr:row>
          <xdr:rowOff>133350</xdr:rowOff>
        </xdr:from>
        <xdr:to>
          <xdr:col>16</xdr:col>
          <xdr:colOff>952500</xdr:colOff>
          <xdr:row>7</xdr:row>
          <xdr:rowOff>390525</xdr:rowOff>
        </xdr:to>
        <xdr:sp macro="" textlink="">
          <xdr:nvSpPr>
            <xdr:cNvPr id="197650" name="CaixaArredCustoUnit" hidden="1">
              <a:extLst>
                <a:ext uri="{63B3BB69-23CF-44E3-9099-C40C66FF867C}">
                  <a14:compatExt spid="_x0000_s197650"/>
                </a:ext>
                <a:ext uri="{FF2B5EF4-FFF2-40B4-BE49-F238E27FC236}">
                  <a16:creationId xmlns:a16="http://schemas.microsoft.com/office/drawing/2014/main" id="{00000000-0008-0000-0300-000012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285750</xdr:colOff>
          <xdr:row>7</xdr:row>
          <xdr:rowOff>133350</xdr:rowOff>
        </xdr:from>
        <xdr:to>
          <xdr:col>17</xdr:col>
          <xdr:colOff>771525</xdr:colOff>
          <xdr:row>7</xdr:row>
          <xdr:rowOff>390525</xdr:rowOff>
        </xdr:to>
        <xdr:sp macro="" textlink="">
          <xdr:nvSpPr>
            <xdr:cNvPr id="197651" name="CaixaArredBDI" hidden="1">
              <a:extLst>
                <a:ext uri="{63B3BB69-23CF-44E3-9099-C40C66FF867C}">
                  <a14:compatExt spid="_x0000_s197651"/>
                </a:ext>
                <a:ext uri="{FF2B5EF4-FFF2-40B4-BE49-F238E27FC236}">
                  <a16:creationId xmlns:a16="http://schemas.microsoft.com/office/drawing/2014/main" id="{00000000-0008-0000-0300-000013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381000</xdr:colOff>
          <xdr:row>7</xdr:row>
          <xdr:rowOff>133350</xdr:rowOff>
        </xdr:from>
        <xdr:to>
          <xdr:col>18</xdr:col>
          <xdr:colOff>857250</xdr:colOff>
          <xdr:row>7</xdr:row>
          <xdr:rowOff>390525</xdr:rowOff>
        </xdr:to>
        <xdr:sp macro="" textlink="">
          <xdr:nvSpPr>
            <xdr:cNvPr id="197652" name="CaixaArredPrecoUnit" hidden="1">
              <a:extLst>
                <a:ext uri="{63B3BB69-23CF-44E3-9099-C40C66FF867C}">
                  <a14:compatExt spid="_x0000_s197652"/>
                </a:ext>
                <a:ext uri="{FF2B5EF4-FFF2-40B4-BE49-F238E27FC236}">
                  <a16:creationId xmlns:a16="http://schemas.microsoft.com/office/drawing/2014/main" id="{00000000-0008-0000-0300-000014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476250</xdr:colOff>
          <xdr:row>7</xdr:row>
          <xdr:rowOff>123825</xdr:rowOff>
        </xdr:from>
        <xdr:to>
          <xdr:col>19</xdr:col>
          <xdr:colOff>952500</xdr:colOff>
          <xdr:row>7</xdr:row>
          <xdr:rowOff>381000</xdr:rowOff>
        </xdr:to>
        <xdr:sp macro="" textlink="">
          <xdr:nvSpPr>
            <xdr:cNvPr id="197660" name="CaixaArredPrecoTotal" hidden="1">
              <a:extLst>
                <a:ext uri="{63B3BB69-23CF-44E3-9099-C40C66FF867C}">
                  <a14:compatExt spid="_x0000_s197660"/>
                </a:ext>
                <a:ext uri="{FF2B5EF4-FFF2-40B4-BE49-F238E27FC236}">
                  <a16:creationId xmlns:a16="http://schemas.microsoft.com/office/drawing/2014/main" id="{00000000-0008-0000-0300-00001C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1043796</xdr:colOff>
          <xdr:row>6</xdr:row>
          <xdr:rowOff>250166</xdr:rowOff>
        </xdr:to>
        <xdr:pic>
          <xdr:nvPicPr>
            <xdr:cNvPr id="202376" name="Picture 482">
              <a:extLst>
                <a:ext uri="{FF2B5EF4-FFF2-40B4-BE49-F238E27FC236}">
                  <a16:creationId xmlns:a16="http://schemas.microsoft.com/office/drawing/2014/main" id="{A4FAA208-1678-21C3-2A21-AFF904B9BFB1}"/>
                </a:ext>
              </a:extLst>
            </xdr:cNvPr>
            <xdr:cNvPicPr>
              <a:picLocks noChangeArrowheads="1"/>
              <a:extLst>
                <a:ext uri="{84589F7E-364E-4C9E-8A38-B11213B215E9}">
                  <a14:cameraTool cellRange="DADOS!$A$220:$X$230" spid="_x0000_s202437"/>
                </a:ext>
              </a:extLst>
            </xdr:cNvPicPr>
          </xdr:nvPicPr>
          <xdr:blipFill>
            <a:blip xmlns:r="http://schemas.openxmlformats.org/officeDocument/2006/relationships" r:embed="rId2"/>
            <a:srcRect/>
            <a:stretch>
              <a:fillRect/>
            </a:stretch>
          </xdr:blipFill>
          <xdr:spPr bwMode="auto">
            <a:xfrm>
              <a:off x="603849" y="474453"/>
              <a:ext cx="14414740" cy="1181819"/>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4175185</xdr:colOff>
          <xdr:row>50</xdr:row>
          <xdr:rowOff>0</xdr:rowOff>
        </xdr:from>
        <xdr:to>
          <xdr:col>19</xdr:col>
          <xdr:colOff>163902</xdr:colOff>
          <xdr:row>54</xdr:row>
          <xdr:rowOff>129396</xdr:rowOff>
        </xdr:to>
        <xdr:pic>
          <xdr:nvPicPr>
            <xdr:cNvPr id="202377" name="Picture 483">
              <a:extLst>
                <a:ext uri="{FF2B5EF4-FFF2-40B4-BE49-F238E27FC236}">
                  <a16:creationId xmlns:a16="http://schemas.microsoft.com/office/drawing/2014/main" id="{F641D42A-2D69-D1DA-EB8E-4102A64D43AC}"/>
                </a:ext>
              </a:extLst>
            </xdr:cNvPr>
            <xdr:cNvPicPr>
              <a:picLocks noChangeArrowheads="1"/>
              <a:extLst>
                <a:ext uri="{84589F7E-364E-4C9E-8A38-B11213B215E9}">
                  <a14:cameraTool cellRange="DADOS!$A$53:$K$57" spid="_x0000_s202438"/>
                </a:ext>
              </a:extLst>
            </xdr:cNvPicPr>
          </xdr:nvPicPr>
          <xdr:blipFill>
            <a:blip xmlns:r="http://schemas.openxmlformats.org/officeDocument/2006/relationships" r:embed="rId3"/>
            <a:srcRect/>
            <a:stretch>
              <a:fillRect/>
            </a:stretch>
          </xdr:blipFill>
          <xdr:spPr bwMode="auto">
            <a:xfrm>
              <a:off x="7832785" y="19944272"/>
              <a:ext cx="6305909" cy="79363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2</xdr:col>
      <xdr:colOff>676275</xdr:colOff>
      <xdr:row>8</xdr:row>
      <xdr:rowOff>104775</xdr:rowOff>
    </xdr:from>
    <xdr:to>
      <xdr:col>2</xdr:col>
      <xdr:colOff>1704975</xdr:colOff>
      <xdr:row>8</xdr:row>
      <xdr:rowOff>485775</xdr:rowOff>
    </xdr:to>
    <xdr:sp macro="[0]!IncluirPLQ" textlink="">
      <xdr:nvSpPr>
        <xdr:cNvPr id="6" name="AddPLQ">
          <a:extLst>
            <a:ext uri="{FF2B5EF4-FFF2-40B4-BE49-F238E27FC236}">
              <a16:creationId xmlns:a16="http://schemas.microsoft.com/office/drawing/2014/main" id="{00000000-0008-0000-0300-000006000000}"/>
            </a:ext>
          </a:extLst>
        </xdr:cNvPr>
        <xdr:cNvSpPr txBox="1">
          <a:spLocks noChangeArrowheads="1"/>
        </xdr:cNvSpPr>
      </xdr:nvSpPr>
      <xdr:spPr bwMode="auto">
        <a:xfrm>
          <a:off x="2238375" y="2076450"/>
          <a:ext cx="1028700" cy="3810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10 FRENTES</a:t>
          </a:r>
        </a:p>
      </xdr:txBody>
    </xdr:sp>
    <xdr:clientData fPrintsWithSheet="0"/>
  </xdr:twoCellAnchor>
  <xdr:twoCellAnchor editAs="oneCell">
    <xdr:from>
      <xdr:col>2</xdr:col>
      <xdr:colOff>1971675</xdr:colOff>
      <xdr:row>8</xdr:row>
      <xdr:rowOff>104775</xdr:rowOff>
    </xdr:from>
    <xdr:to>
      <xdr:col>2</xdr:col>
      <xdr:colOff>3000375</xdr:colOff>
      <xdr:row>8</xdr:row>
      <xdr:rowOff>485775</xdr:rowOff>
    </xdr:to>
    <xdr:sp macro="[0]!ExcluirPLQ" textlink="">
      <xdr:nvSpPr>
        <xdr:cNvPr id="7" name="RemovePLQ">
          <a:extLst>
            <a:ext uri="{FF2B5EF4-FFF2-40B4-BE49-F238E27FC236}">
              <a16:creationId xmlns:a16="http://schemas.microsoft.com/office/drawing/2014/main" id="{00000000-0008-0000-0300-000007000000}"/>
            </a:ext>
          </a:extLst>
        </xdr:cNvPr>
        <xdr:cNvSpPr txBox="1">
          <a:spLocks noChangeArrowheads="1"/>
        </xdr:cNvSpPr>
      </xdr:nvSpPr>
      <xdr:spPr bwMode="auto">
        <a:xfrm>
          <a:off x="3533775" y="2076450"/>
          <a:ext cx="1028700" cy="381000"/>
        </a:xfrm>
        <a:prstGeom prst="rect">
          <a:avLst/>
        </a:prstGeom>
        <a:solidFill>
          <a:srgbClr val="993366"/>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FFFFFF"/>
              </a:solidFill>
              <a:latin typeface="Arial"/>
              <a:cs typeface="Arial"/>
            </a:rPr>
            <a:t>EXCLUIR 10 FRENTES</a:t>
          </a:r>
        </a:p>
      </xdr:txBody>
    </xdr:sp>
    <xdr:clientData fPrintsWithSheet="0"/>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5</xdr:col>
          <xdr:colOff>1353</xdr:colOff>
          <xdr:row>5</xdr:row>
          <xdr:rowOff>138023</xdr:rowOff>
        </xdr:to>
        <xdr:pic>
          <xdr:nvPicPr>
            <xdr:cNvPr id="214037" name="PIC1">
              <a:extLst>
                <a:ext uri="{FF2B5EF4-FFF2-40B4-BE49-F238E27FC236}">
                  <a16:creationId xmlns:a16="http://schemas.microsoft.com/office/drawing/2014/main" id="{652DB861-67D8-C1FD-11AA-8F2EDC5A6185}"/>
                </a:ext>
              </a:extLst>
            </xdr:cNvPr>
            <xdr:cNvPicPr>
              <a:picLocks noChangeArrowheads="1"/>
              <a:extLst>
                <a:ext uri="{84589F7E-364E-4C9E-8A38-B11213B215E9}">
                  <a14:cameraTool cellRange="DADOS!$A$220:$X$230" spid="_x0000_s214105"/>
                </a:ext>
              </a:extLst>
            </xdr:cNvPicPr>
          </xdr:nvPicPr>
          <xdr:blipFill>
            <a:blip xmlns:r="http://schemas.openxmlformats.org/officeDocument/2006/relationships" r:embed="rId2"/>
            <a:srcRect r="56371"/>
            <a:stretch>
              <a:fillRect/>
            </a:stretch>
          </xdr:blipFill>
          <xdr:spPr bwMode="auto">
            <a:xfrm>
              <a:off x="879894" y="577970"/>
              <a:ext cx="6340415" cy="113868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15</xdr:col>
          <xdr:colOff>4060</xdr:colOff>
          <xdr:row>5</xdr:row>
          <xdr:rowOff>138023</xdr:rowOff>
        </xdr:to>
        <xdr:pic>
          <xdr:nvPicPr>
            <xdr:cNvPr id="214038" name="PIC2">
              <a:extLst>
                <a:ext uri="{FF2B5EF4-FFF2-40B4-BE49-F238E27FC236}">
                  <a16:creationId xmlns:a16="http://schemas.microsoft.com/office/drawing/2014/main" id="{4E703F59-C636-E5F7-0C96-E75271E390E7}"/>
                </a:ext>
              </a:extLst>
            </xdr:cNvPr>
            <xdr:cNvPicPr>
              <a:picLocks noChangeArrowheads="1"/>
              <a:extLst>
                <a:ext uri="{84589F7E-364E-4C9E-8A38-B11213B215E9}">
                  <a14:cameraTool cellRange="DADOS!$A$220:$X$230" spid="_x0000_s214106"/>
                </a:ext>
              </a:extLst>
            </xdr:cNvPicPr>
          </xdr:nvPicPr>
          <xdr:blipFill>
            <a:blip xmlns:r="http://schemas.openxmlformats.org/officeDocument/2006/relationships" r:embed="rId2"/>
            <a:srcRect l="44028"/>
            <a:stretch>
              <a:fillRect/>
            </a:stretch>
          </xdr:blipFill>
          <xdr:spPr bwMode="auto">
            <a:xfrm>
              <a:off x="7220309" y="577970"/>
              <a:ext cx="8108831" cy="113868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802257</xdr:colOff>
          <xdr:row>41</xdr:row>
          <xdr:rowOff>8626</xdr:rowOff>
        </xdr:from>
        <xdr:to>
          <xdr:col>14</xdr:col>
          <xdr:colOff>34506</xdr:colOff>
          <xdr:row>45</xdr:row>
          <xdr:rowOff>172528</xdr:rowOff>
        </xdr:to>
        <xdr:pic>
          <xdr:nvPicPr>
            <xdr:cNvPr id="214039" name="Picture 483">
              <a:extLst>
                <a:ext uri="{FF2B5EF4-FFF2-40B4-BE49-F238E27FC236}">
                  <a16:creationId xmlns:a16="http://schemas.microsoft.com/office/drawing/2014/main" id="{BAFC2E43-E1A6-6EA0-1CE0-ECA89272DB94}"/>
                </a:ext>
              </a:extLst>
            </xdr:cNvPr>
            <xdr:cNvPicPr>
              <a:picLocks noChangeArrowheads="1"/>
              <a:extLst>
                <a:ext uri="{84589F7E-364E-4C9E-8A38-B11213B215E9}">
                  <a14:cameraTool cellRange="DADOS!$A$53:$K$57" spid="_x0000_s214107"/>
                </a:ext>
              </a:extLst>
            </xdr:cNvPicPr>
          </xdr:nvPicPr>
          <xdr:blipFill>
            <a:blip xmlns:r="http://schemas.openxmlformats.org/officeDocument/2006/relationships" r:embed="rId3"/>
            <a:srcRect/>
            <a:stretch>
              <a:fillRect/>
            </a:stretch>
          </xdr:blipFill>
          <xdr:spPr bwMode="auto">
            <a:xfrm>
              <a:off x="8022566" y="22144008"/>
              <a:ext cx="6530196" cy="82813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396815</xdr:colOff>
          <xdr:row>0</xdr:row>
          <xdr:rowOff>69011</xdr:rowOff>
        </xdr:from>
        <xdr:to>
          <xdr:col>14</xdr:col>
          <xdr:colOff>802257</xdr:colOff>
          <xdr:row>2</xdr:row>
          <xdr:rowOff>25879</xdr:rowOff>
        </xdr:to>
        <xdr:pic>
          <xdr:nvPicPr>
            <xdr:cNvPr id="214040" name="SigiloPic">
              <a:extLst>
                <a:ext uri="{FF2B5EF4-FFF2-40B4-BE49-F238E27FC236}">
                  <a16:creationId xmlns:a16="http://schemas.microsoft.com/office/drawing/2014/main" id="{78EB9BD6-C81E-5DD5-64E3-3D13BA9FBA69}"/>
                </a:ext>
              </a:extLst>
            </xdr:cNvPr>
            <xdr:cNvPicPr>
              <a:picLocks noChangeArrowheads="1"/>
              <a:extLst>
                <a:ext uri="{84589F7E-364E-4C9E-8A38-B11213B215E9}">
                  <a14:cameraTool cellRange="PO!$T$1:$T$2" spid="_x0000_s214108"/>
                </a:ext>
              </a:extLst>
            </xdr:cNvPicPr>
          </xdr:nvPicPr>
          <xdr:blipFill>
            <a:blip xmlns:r="http://schemas.openxmlformats.org/officeDocument/2006/relationships" r:embed="rId4"/>
            <a:srcRect/>
            <a:stretch>
              <a:fillRect/>
            </a:stretch>
          </xdr:blipFill>
          <xdr:spPr bwMode="auto">
            <a:xfrm>
              <a:off x="14104189" y="69011"/>
              <a:ext cx="1216324" cy="370936"/>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250166</xdr:rowOff>
        </xdr:to>
        <xdr:pic>
          <xdr:nvPicPr>
            <xdr:cNvPr id="213512" name="PIC2">
              <a:extLst>
                <a:ext uri="{FF2B5EF4-FFF2-40B4-BE49-F238E27FC236}">
                  <a16:creationId xmlns:a16="http://schemas.microsoft.com/office/drawing/2014/main" id="{19EF8871-39D9-3189-C2E4-B25996E327DF}"/>
                </a:ext>
              </a:extLst>
            </xdr:cNvPr>
            <xdr:cNvPicPr>
              <a:picLocks noChangeArrowheads="1"/>
              <a:extLst>
                <a:ext uri="{84589F7E-364E-4C9E-8A38-B11213B215E9}">
                  <a14:cameraTool cellRange="DADOS!$A$220:$X$230" spid="_x0000_s213750"/>
                </a:ext>
              </a:extLst>
            </xdr:cNvPicPr>
          </xdr:nvPicPr>
          <xdr:blipFill>
            <a:blip xmlns:r="http://schemas.openxmlformats.org/officeDocument/2006/relationships" r:embed="rId2"/>
            <a:srcRect l="39473"/>
            <a:stretch>
              <a:fillRect/>
            </a:stretch>
          </xdr:blipFill>
          <xdr:spPr bwMode="auto">
            <a:xfrm>
              <a:off x="5822830" y="474453"/>
              <a:ext cx="8695427" cy="1181819"/>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172528</xdr:colOff>
          <xdr:row>3</xdr:row>
          <xdr:rowOff>0</xdr:rowOff>
        </xdr:from>
        <xdr:to>
          <xdr:col>15</xdr:col>
          <xdr:colOff>1233</xdr:colOff>
          <xdr:row>6</xdr:row>
          <xdr:rowOff>250166</xdr:rowOff>
        </xdr:to>
        <xdr:pic>
          <xdr:nvPicPr>
            <xdr:cNvPr id="213513" name="PIC1">
              <a:extLst>
                <a:ext uri="{FF2B5EF4-FFF2-40B4-BE49-F238E27FC236}">
                  <a16:creationId xmlns:a16="http://schemas.microsoft.com/office/drawing/2014/main" id="{CE701611-AA33-3365-1796-E3D5ABD2CE2D}"/>
                </a:ext>
              </a:extLst>
            </xdr:cNvPr>
            <xdr:cNvPicPr>
              <a:picLocks noChangeArrowheads="1"/>
              <a:extLst>
                <a:ext uri="{84589F7E-364E-4C9E-8A38-B11213B215E9}">
                  <a14:cameraTool cellRange="DADOS!$A$220:$X$230" spid="_x0000_s213751"/>
                </a:ext>
              </a:extLst>
            </xdr:cNvPicPr>
          </xdr:nvPicPr>
          <xdr:blipFill>
            <a:blip xmlns:r="http://schemas.openxmlformats.org/officeDocument/2006/relationships" r:embed="rId3"/>
            <a:srcRect r="60628"/>
            <a:stretch>
              <a:fillRect/>
            </a:stretch>
          </xdr:blipFill>
          <xdr:spPr bwMode="auto">
            <a:xfrm>
              <a:off x="172528" y="474453"/>
              <a:ext cx="5650302" cy="1181819"/>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1104181</xdr:colOff>
          <xdr:row>37</xdr:row>
          <xdr:rowOff>0</xdr:rowOff>
        </xdr:from>
        <xdr:to>
          <xdr:col>22</xdr:col>
          <xdr:colOff>34506</xdr:colOff>
          <xdr:row>41</xdr:row>
          <xdr:rowOff>163902</xdr:rowOff>
        </xdr:to>
        <xdr:pic>
          <xdr:nvPicPr>
            <xdr:cNvPr id="213514" name="Picture 483">
              <a:extLst>
                <a:ext uri="{FF2B5EF4-FFF2-40B4-BE49-F238E27FC236}">
                  <a16:creationId xmlns:a16="http://schemas.microsoft.com/office/drawing/2014/main" id="{6E849C4C-96C8-332F-A887-BEB38234CDBD}"/>
                </a:ext>
              </a:extLst>
            </xdr:cNvPr>
            <xdr:cNvPicPr>
              <a:picLocks noChangeArrowheads="1"/>
              <a:extLst>
                <a:ext uri="{84589F7E-364E-4C9E-8A38-B11213B215E9}">
                  <a14:cameraTool cellRange="DADOS!$A$53:$K$57" spid="_x0000_s213752"/>
                </a:ext>
              </a:extLst>
            </xdr:cNvPicPr>
          </xdr:nvPicPr>
          <xdr:blipFill>
            <a:blip xmlns:r="http://schemas.openxmlformats.org/officeDocument/2006/relationships" r:embed="rId4"/>
            <a:srcRect/>
            <a:stretch>
              <a:fillRect/>
            </a:stretch>
          </xdr:blipFill>
          <xdr:spPr bwMode="auto">
            <a:xfrm>
              <a:off x="6909758" y="15113479"/>
              <a:ext cx="6556076" cy="82813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1035170</xdr:colOff>
          <xdr:row>0</xdr:row>
          <xdr:rowOff>77638</xdr:rowOff>
        </xdr:from>
        <xdr:to>
          <xdr:col>22</xdr:col>
          <xdr:colOff>1130060</xdr:colOff>
          <xdr:row>2</xdr:row>
          <xdr:rowOff>138023</xdr:rowOff>
        </xdr:to>
        <xdr:pic>
          <xdr:nvPicPr>
            <xdr:cNvPr id="213515" name="SigiloPic">
              <a:extLst>
                <a:ext uri="{FF2B5EF4-FFF2-40B4-BE49-F238E27FC236}">
                  <a16:creationId xmlns:a16="http://schemas.microsoft.com/office/drawing/2014/main" id="{88E430B7-FBF1-0408-6951-435FD366A96B}"/>
                </a:ext>
              </a:extLst>
            </xdr:cNvPr>
            <xdr:cNvPicPr>
              <a:picLocks noChangeArrowheads="1"/>
              <a:extLst>
                <a:ext uri="{84589F7E-364E-4C9E-8A38-B11213B215E9}">
                  <a14:cameraTool cellRange="PO!$T$1:$T$2" spid="_x0000_s213753"/>
                </a:ext>
              </a:extLst>
            </xdr:cNvPicPr>
          </xdr:nvPicPr>
          <xdr:blipFill>
            <a:blip xmlns:r="http://schemas.openxmlformats.org/officeDocument/2006/relationships" r:embed="rId5"/>
            <a:srcRect/>
            <a:stretch>
              <a:fillRect/>
            </a:stretch>
          </xdr:blipFill>
          <xdr:spPr bwMode="auto">
            <a:xfrm>
              <a:off x="13379570" y="77638"/>
              <a:ext cx="1138687" cy="37956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37</xdr:row>
          <xdr:rowOff>0</xdr:rowOff>
        </xdr:from>
        <xdr:to>
          <xdr:col>23</xdr:col>
          <xdr:colOff>0</xdr:colOff>
          <xdr:row>41</xdr:row>
          <xdr:rowOff>163902</xdr:rowOff>
        </xdr:to>
        <xdr:pic>
          <xdr:nvPicPr>
            <xdr:cNvPr id="213516" name="Picture 132650">
              <a:extLst>
                <a:ext uri="{FF2B5EF4-FFF2-40B4-BE49-F238E27FC236}">
                  <a16:creationId xmlns:a16="http://schemas.microsoft.com/office/drawing/2014/main" id="{0F97E3F1-0A6A-D09F-956F-754FF214084E}"/>
                </a:ext>
              </a:extLst>
            </xdr:cNvPr>
            <xdr:cNvPicPr>
              <a:picLocks noChangeArrowheads="1"/>
              <a:extLst>
                <a:ext uri="{84589F7E-364E-4C9E-8A38-B11213B215E9}">
                  <a14:cameraTool cellRange="DADOS!$A$53:$K$57" spid="_x0000_s213754"/>
                </a:ext>
              </a:extLst>
            </xdr:cNvPicPr>
          </xdr:nvPicPr>
          <xdr:blipFill>
            <a:blip xmlns:r="http://schemas.openxmlformats.org/officeDocument/2006/relationships" r:embed="rId6"/>
            <a:srcRect/>
            <a:stretch>
              <a:fillRect/>
            </a:stretch>
          </xdr:blipFill>
          <xdr:spPr bwMode="auto">
            <a:xfrm>
              <a:off x="14518257" y="15113479"/>
              <a:ext cx="0" cy="82813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77638</xdr:rowOff>
        </xdr:from>
        <xdr:to>
          <xdr:col>23</xdr:col>
          <xdr:colOff>0</xdr:colOff>
          <xdr:row>2</xdr:row>
          <xdr:rowOff>138023</xdr:rowOff>
        </xdr:to>
        <xdr:pic>
          <xdr:nvPicPr>
            <xdr:cNvPr id="213517" name="Picture 132651">
              <a:extLst>
                <a:ext uri="{FF2B5EF4-FFF2-40B4-BE49-F238E27FC236}">
                  <a16:creationId xmlns:a16="http://schemas.microsoft.com/office/drawing/2014/main" id="{3D21FBC5-5F95-1006-01AA-894A0EA97F86}"/>
                </a:ext>
              </a:extLst>
            </xdr:cNvPr>
            <xdr:cNvPicPr>
              <a:picLocks noChangeArrowheads="1"/>
              <a:extLst>
                <a:ext uri="{84589F7E-364E-4C9E-8A38-B11213B215E9}">
                  <a14:cameraTool cellRange="PO!$T$1:$T$2" spid="_x0000_s213755"/>
                </a:ext>
              </a:extLst>
            </xdr:cNvPicPr>
          </xdr:nvPicPr>
          <xdr:blipFill>
            <a:blip xmlns:r="http://schemas.openxmlformats.org/officeDocument/2006/relationships" r:embed="rId5"/>
            <a:srcRect/>
            <a:stretch>
              <a:fillRect/>
            </a:stretch>
          </xdr:blipFill>
          <xdr:spPr bwMode="auto">
            <a:xfrm>
              <a:off x="14518257" y="77638"/>
              <a:ext cx="0" cy="37956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37</xdr:row>
          <xdr:rowOff>0</xdr:rowOff>
        </xdr:from>
        <xdr:to>
          <xdr:col>23</xdr:col>
          <xdr:colOff>0</xdr:colOff>
          <xdr:row>41</xdr:row>
          <xdr:rowOff>163902</xdr:rowOff>
        </xdr:to>
        <xdr:pic>
          <xdr:nvPicPr>
            <xdr:cNvPr id="213518" name="Picture 132652">
              <a:extLst>
                <a:ext uri="{FF2B5EF4-FFF2-40B4-BE49-F238E27FC236}">
                  <a16:creationId xmlns:a16="http://schemas.microsoft.com/office/drawing/2014/main" id="{1C613FE8-7A2C-6C2D-D7B5-CFA1F089BF9C}"/>
                </a:ext>
              </a:extLst>
            </xdr:cNvPr>
            <xdr:cNvPicPr>
              <a:picLocks noChangeArrowheads="1"/>
              <a:extLst>
                <a:ext uri="{84589F7E-364E-4C9E-8A38-B11213B215E9}">
                  <a14:cameraTool cellRange="DADOS!$A$53:$K$57" spid="_x0000_s213756"/>
                </a:ext>
              </a:extLst>
            </xdr:cNvPicPr>
          </xdr:nvPicPr>
          <xdr:blipFill>
            <a:blip xmlns:r="http://schemas.openxmlformats.org/officeDocument/2006/relationships" r:embed="rId4"/>
            <a:srcRect/>
            <a:stretch>
              <a:fillRect/>
            </a:stretch>
          </xdr:blipFill>
          <xdr:spPr bwMode="auto">
            <a:xfrm>
              <a:off x="14518257" y="15113479"/>
              <a:ext cx="0" cy="82813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77638</xdr:rowOff>
        </xdr:from>
        <xdr:to>
          <xdr:col>23</xdr:col>
          <xdr:colOff>0</xdr:colOff>
          <xdr:row>2</xdr:row>
          <xdr:rowOff>138023</xdr:rowOff>
        </xdr:to>
        <xdr:pic>
          <xdr:nvPicPr>
            <xdr:cNvPr id="213519" name="Picture 132653">
              <a:extLst>
                <a:ext uri="{FF2B5EF4-FFF2-40B4-BE49-F238E27FC236}">
                  <a16:creationId xmlns:a16="http://schemas.microsoft.com/office/drawing/2014/main" id="{F31F8876-0E51-3BF3-B986-FBA6E40A1621}"/>
                </a:ext>
              </a:extLst>
            </xdr:cNvPr>
            <xdr:cNvPicPr>
              <a:picLocks noChangeArrowheads="1"/>
              <a:extLst>
                <a:ext uri="{84589F7E-364E-4C9E-8A38-B11213B215E9}">
                  <a14:cameraTool cellRange="PO!$T$1:$T$2" spid="_x0000_s213757"/>
                </a:ext>
              </a:extLst>
            </xdr:cNvPicPr>
          </xdr:nvPicPr>
          <xdr:blipFill>
            <a:blip xmlns:r="http://schemas.openxmlformats.org/officeDocument/2006/relationships" r:embed="rId5"/>
            <a:srcRect/>
            <a:stretch>
              <a:fillRect/>
            </a:stretch>
          </xdr:blipFill>
          <xdr:spPr bwMode="auto">
            <a:xfrm>
              <a:off x="14518257" y="77638"/>
              <a:ext cx="0" cy="37956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37</xdr:row>
          <xdr:rowOff>0</xdr:rowOff>
        </xdr:from>
        <xdr:to>
          <xdr:col>23</xdr:col>
          <xdr:colOff>0</xdr:colOff>
          <xdr:row>41</xdr:row>
          <xdr:rowOff>163902</xdr:rowOff>
        </xdr:to>
        <xdr:pic>
          <xdr:nvPicPr>
            <xdr:cNvPr id="213520" name="Picture 132654">
              <a:extLst>
                <a:ext uri="{FF2B5EF4-FFF2-40B4-BE49-F238E27FC236}">
                  <a16:creationId xmlns:a16="http://schemas.microsoft.com/office/drawing/2014/main" id="{CC5B5A62-130D-5CCD-1723-2D6AF22BBFE2}"/>
                </a:ext>
              </a:extLst>
            </xdr:cNvPr>
            <xdr:cNvPicPr>
              <a:picLocks noChangeArrowheads="1"/>
              <a:extLst>
                <a:ext uri="{84589F7E-364E-4C9E-8A38-B11213B215E9}">
                  <a14:cameraTool cellRange="DADOS!$A$53:$K$57" spid="_x0000_s213758"/>
                </a:ext>
              </a:extLst>
            </xdr:cNvPicPr>
          </xdr:nvPicPr>
          <xdr:blipFill>
            <a:blip xmlns:r="http://schemas.openxmlformats.org/officeDocument/2006/relationships" r:embed="rId4"/>
            <a:srcRect/>
            <a:stretch>
              <a:fillRect/>
            </a:stretch>
          </xdr:blipFill>
          <xdr:spPr bwMode="auto">
            <a:xfrm>
              <a:off x="14518257" y="15113479"/>
              <a:ext cx="0" cy="82813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77638</xdr:rowOff>
        </xdr:from>
        <xdr:to>
          <xdr:col>23</xdr:col>
          <xdr:colOff>0</xdr:colOff>
          <xdr:row>2</xdr:row>
          <xdr:rowOff>138023</xdr:rowOff>
        </xdr:to>
        <xdr:pic>
          <xdr:nvPicPr>
            <xdr:cNvPr id="213521" name="Picture 132655">
              <a:extLst>
                <a:ext uri="{FF2B5EF4-FFF2-40B4-BE49-F238E27FC236}">
                  <a16:creationId xmlns:a16="http://schemas.microsoft.com/office/drawing/2014/main" id="{A3708477-6DC7-216D-95ED-7F01FE1E6E41}"/>
                </a:ext>
              </a:extLst>
            </xdr:cNvPr>
            <xdr:cNvPicPr>
              <a:picLocks noChangeArrowheads="1"/>
              <a:extLst>
                <a:ext uri="{84589F7E-364E-4C9E-8A38-B11213B215E9}">
                  <a14:cameraTool cellRange="PO!$T$1:$T$2" spid="_x0000_s213759"/>
                </a:ext>
              </a:extLst>
            </xdr:cNvPicPr>
          </xdr:nvPicPr>
          <xdr:blipFill>
            <a:blip xmlns:r="http://schemas.openxmlformats.org/officeDocument/2006/relationships" r:embed="rId5"/>
            <a:srcRect/>
            <a:stretch>
              <a:fillRect/>
            </a:stretch>
          </xdr:blipFill>
          <xdr:spPr bwMode="auto">
            <a:xfrm>
              <a:off x="14518257" y="77638"/>
              <a:ext cx="0" cy="37956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37</xdr:row>
          <xdr:rowOff>0</xdr:rowOff>
        </xdr:from>
        <xdr:to>
          <xdr:col>23</xdr:col>
          <xdr:colOff>0</xdr:colOff>
          <xdr:row>41</xdr:row>
          <xdr:rowOff>163902</xdr:rowOff>
        </xdr:to>
        <xdr:pic>
          <xdr:nvPicPr>
            <xdr:cNvPr id="213522" name="Picture 132656">
              <a:extLst>
                <a:ext uri="{FF2B5EF4-FFF2-40B4-BE49-F238E27FC236}">
                  <a16:creationId xmlns:a16="http://schemas.microsoft.com/office/drawing/2014/main" id="{6A8CB9F0-AE5B-E953-619D-AD558EFB2DF1}"/>
                </a:ext>
              </a:extLst>
            </xdr:cNvPr>
            <xdr:cNvPicPr>
              <a:picLocks noChangeArrowheads="1"/>
              <a:extLst>
                <a:ext uri="{84589F7E-364E-4C9E-8A38-B11213B215E9}">
                  <a14:cameraTool cellRange="DADOS!$A$53:$K$57" spid="_x0000_s213760"/>
                </a:ext>
              </a:extLst>
            </xdr:cNvPicPr>
          </xdr:nvPicPr>
          <xdr:blipFill>
            <a:blip xmlns:r="http://schemas.openxmlformats.org/officeDocument/2006/relationships" r:embed="rId7"/>
            <a:srcRect/>
            <a:stretch>
              <a:fillRect/>
            </a:stretch>
          </xdr:blipFill>
          <xdr:spPr bwMode="auto">
            <a:xfrm>
              <a:off x="14518257" y="15113479"/>
              <a:ext cx="0" cy="82813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77638</xdr:rowOff>
        </xdr:from>
        <xdr:to>
          <xdr:col>23</xdr:col>
          <xdr:colOff>0</xdr:colOff>
          <xdr:row>2</xdr:row>
          <xdr:rowOff>138023</xdr:rowOff>
        </xdr:to>
        <xdr:pic>
          <xdr:nvPicPr>
            <xdr:cNvPr id="213523" name="Picture 132657">
              <a:extLst>
                <a:ext uri="{FF2B5EF4-FFF2-40B4-BE49-F238E27FC236}">
                  <a16:creationId xmlns:a16="http://schemas.microsoft.com/office/drawing/2014/main" id="{0ECF977A-2163-DAD5-F1C1-905793759AE5}"/>
                </a:ext>
              </a:extLst>
            </xdr:cNvPr>
            <xdr:cNvPicPr>
              <a:picLocks noChangeArrowheads="1"/>
              <a:extLst>
                <a:ext uri="{84589F7E-364E-4C9E-8A38-B11213B215E9}">
                  <a14:cameraTool cellRange="PO!$T$1:$T$2" spid="_x0000_s213761"/>
                </a:ext>
              </a:extLst>
            </xdr:cNvPicPr>
          </xdr:nvPicPr>
          <xdr:blipFill>
            <a:blip xmlns:r="http://schemas.openxmlformats.org/officeDocument/2006/relationships" r:embed="rId5"/>
            <a:srcRect/>
            <a:stretch>
              <a:fillRect/>
            </a:stretch>
          </xdr:blipFill>
          <xdr:spPr bwMode="auto">
            <a:xfrm>
              <a:off x="14518257" y="77638"/>
              <a:ext cx="0" cy="37956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37</xdr:row>
          <xdr:rowOff>0</xdr:rowOff>
        </xdr:from>
        <xdr:to>
          <xdr:col>23</xdr:col>
          <xdr:colOff>0</xdr:colOff>
          <xdr:row>41</xdr:row>
          <xdr:rowOff>163902</xdr:rowOff>
        </xdr:to>
        <xdr:pic>
          <xdr:nvPicPr>
            <xdr:cNvPr id="213524" name="Picture 132658">
              <a:extLst>
                <a:ext uri="{FF2B5EF4-FFF2-40B4-BE49-F238E27FC236}">
                  <a16:creationId xmlns:a16="http://schemas.microsoft.com/office/drawing/2014/main" id="{86350461-AAC4-19C1-54FE-D4D529B57A28}"/>
                </a:ext>
              </a:extLst>
            </xdr:cNvPr>
            <xdr:cNvPicPr>
              <a:picLocks noChangeArrowheads="1"/>
              <a:extLst>
                <a:ext uri="{84589F7E-364E-4C9E-8A38-B11213B215E9}">
                  <a14:cameraTool cellRange="DADOS!$A$53:$K$57" spid="_x0000_s213762"/>
                </a:ext>
              </a:extLst>
            </xdr:cNvPicPr>
          </xdr:nvPicPr>
          <xdr:blipFill>
            <a:blip xmlns:r="http://schemas.openxmlformats.org/officeDocument/2006/relationships" r:embed="rId4"/>
            <a:srcRect/>
            <a:stretch>
              <a:fillRect/>
            </a:stretch>
          </xdr:blipFill>
          <xdr:spPr bwMode="auto">
            <a:xfrm>
              <a:off x="14518257" y="15113479"/>
              <a:ext cx="0" cy="82813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77638</xdr:rowOff>
        </xdr:from>
        <xdr:to>
          <xdr:col>23</xdr:col>
          <xdr:colOff>0</xdr:colOff>
          <xdr:row>2</xdr:row>
          <xdr:rowOff>138023</xdr:rowOff>
        </xdr:to>
        <xdr:pic>
          <xdr:nvPicPr>
            <xdr:cNvPr id="213525" name="Picture 132659">
              <a:extLst>
                <a:ext uri="{FF2B5EF4-FFF2-40B4-BE49-F238E27FC236}">
                  <a16:creationId xmlns:a16="http://schemas.microsoft.com/office/drawing/2014/main" id="{9AEA92A5-F1C8-0621-30CB-84527447DCC9}"/>
                </a:ext>
              </a:extLst>
            </xdr:cNvPr>
            <xdr:cNvPicPr>
              <a:picLocks noChangeArrowheads="1"/>
              <a:extLst>
                <a:ext uri="{84589F7E-364E-4C9E-8A38-B11213B215E9}">
                  <a14:cameraTool cellRange="PO!$T$1:$T$2" spid="_x0000_s213763"/>
                </a:ext>
              </a:extLst>
            </xdr:cNvPicPr>
          </xdr:nvPicPr>
          <xdr:blipFill>
            <a:blip xmlns:r="http://schemas.openxmlformats.org/officeDocument/2006/relationships" r:embed="rId5"/>
            <a:srcRect/>
            <a:stretch>
              <a:fillRect/>
            </a:stretch>
          </xdr:blipFill>
          <xdr:spPr bwMode="auto">
            <a:xfrm>
              <a:off x="14518257" y="77638"/>
              <a:ext cx="0" cy="379562"/>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4.vml"/><Relationship Id="rId7" Type="http://schemas.openxmlformats.org/officeDocument/2006/relationships/ctrlProp" Target="../ctrlProps/ctrlProp6.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topLeftCell="A24" zoomScale="85" zoomScaleNormal="85" zoomScaleSheetLayoutView="100" workbookViewId="0">
      <selection activeCell="L47" sqref="L47"/>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56" t="s">
        <v>2</v>
      </c>
      <c r="C1" s="256"/>
      <c r="D1" s="256"/>
      <c r="E1" s="256"/>
      <c r="F1" s="256"/>
      <c r="G1" s="256"/>
      <c r="H1" s="256"/>
      <c r="I1" s="256"/>
      <c r="J1" s="256"/>
      <c r="K1" s="256"/>
      <c r="L1" s="256"/>
      <c r="M1" s="256"/>
      <c r="N1" s="256"/>
      <c r="O1" s="256"/>
      <c r="P1" s="256"/>
      <c r="Q1" s="256"/>
      <c r="R1" s="256"/>
      <c r="S1" s="256"/>
      <c r="T1" s="256"/>
      <c r="U1" s="256"/>
      <c r="V1" s="256"/>
      <c r="W1" s="256"/>
      <c r="X1" s="257"/>
    </row>
    <row r="2" spans="1:25" ht="13.7" customHeight="1" x14ac:dyDescent="0.2">
      <c r="A2" s="90" t="s">
        <v>228</v>
      </c>
      <c r="B2" s="258"/>
      <c r="C2" s="258"/>
      <c r="D2" s="258"/>
      <c r="E2" s="258"/>
      <c r="F2" s="258"/>
      <c r="G2" s="258"/>
      <c r="H2" s="258"/>
      <c r="I2" s="258"/>
      <c r="J2" s="258"/>
      <c r="K2" s="258"/>
      <c r="L2" s="258"/>
      <c r="M2" s="258"/>
      <c r="N2" s="258"/>
      <c r="O2" s="258"/>
      <c r="P2" s="258"/>
      <c r="Q2" s="258"/>
      <c r="R2" s="258"/>
      <c r="S2" s="258"/>
      <c r="T2" s="258"/>
      <c r="U2" s="258"/>
      <c r="V2" s="258"/>
      <c r="W2" s="258"/>
      <c r="X2" s="259"/>
    </row>
    <row r="3" spans="1:25" ht="13.7" customHeight="1" x14ac:dyDescent="0.2">
      <c r="A3"/>
      <c r="B3"/>
      <c r="F3"/>
      <c r="G3"/>
      <c r="H3"/>
    </row>
    <row r="4" spans="1:25" ht="12.75" customHeight="1" x14ac:dyDescent="0.2">
      <c r="A4" s="267" t="s">
        <v>168</v>
      </c>
      <c r="B4" s="267"/>
      <c r="C4" s="267"/>
      <c r="D4" s="267"/>
      <c r="E4" s="267"/>
      <c r="F4" s="267"/>
      <c r="G4" s="267"/>
      <c r="H4" s="267"/>
      <c r="I4" s="267"/>
      <c r="J4" s="267"/>
      <c r="K4" s="267"/>
      <c r="L4" s="267"/>
      <c r="M4" s="267"/>
      <c r="N4" s="267"/>
      <c r="O4" s="267"/>
      <c r="P4" s="267"/>
      <c r="Q4" s="267"/>
      <c r="R4" s="267"/>
      <c r="S4" s="267"/>
      <c r="T4" s="267"/>
      <c r="U4" s="267"/>
      <c r="V4" s="267"/>
      <c r="W4" s="267"/>
      <c r="X4" s="267"/>
    </row>
    <row r="6" spans="1:25" s="5" customFormat="1" ht="25.15" customHeight="1" x14ac:dyDescent="0.2">
      <c r="A6" s="268" t="s">
        <v>179</v>
      </c>
      <c r="B6" s="269"/>
      <c r="C6" s="269"/>
      <c r="D6" s="269"/>
      <c r="E6" s="269"/>
      <c r="F6" s="269"/>
      <c r="G6" s="269"/>
      <c r="H6" s="269"/>
      <c r="I6" s="269"/>
      <c r="J6" s="269"/>
      <c r="K6" s="269"/>
      <c r="L6" s="269"/>
      <c r="M6" s="269"/>
      <c r="N6" s="269"/>
      <c r="O6" s="269"/>
      <c r="P6" s="269"/>
      <c r="Q6" s="269"/>
      <c r="R6" s="269"/>
      <c r="S6" s="269"/>
      <c r="T6" s="269"/>
      <c r="U6" s="269"/>
      <c r="V6" s="269"/>
      <c r="W6" s="269"/>
      <c r="X6" s="269"/>
    </row>
    <row r="7" spans="1:25" ht="12.75" customHeight="1" x14ac:dyDescent="0.2"/>
    <row r="8" spans="1:25" ht="12.75" customHeight="1" x14ac:dyDescent="0.2">
      <c r="A8" s="270" t="s">
        <v>23</v>
      </c>
      <c r="B8" s="270"/>
      <c r="C8" s="270"/>
      <c r="D8" s="270"/>
      <c r="E8" s="270"/>
      <c r="F8" s="270"/>
      <c r="G8" s="270"/>
      <c r="H8" s="270"/>
      <c r="I8" s="270"/>
      <c r="J8" s="270"/>
      <c r="K8" s="270"/>
      <c r="L8" s="270"/>
      <c r="M8" s="270"/>
      <c r="N8" s="270"/>
      <c r="O8" s="270"/>
      <c r="P8" s="270"/>
      <c r="Q8" s="270"/>
      <c r="R8" s="270"/>
      <c r="S8" s="270"/>
      <c r="T8" s="270"/>
      <c r="U8" s="270"/>
      <c r="V8" s="270"/>
      <c r="W8" s="270"/>
      <c r="X8" s="270"/>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72" t="s">
        <v>169</v>
      </c>
      <c r="B10" s="272"/>
      <c r="C10" s="272"/>
      <c r="D10" s="272"/>
      <c r="E10" s="272"/>
      <c r="F10" s="272"/>
      <c r="G10" s="272"/>
      <c r="H10" s="272"/>
      <c r="I10" s="272"/>
      <c r="J10" s="272"/>
      <c r="K10" s="272"/>
      <c r="L10" s="272"/>
      <c r="M10" s="272"/>
      <c r="N10" s="272"/>
      <c r="O10" s="272"/>
      <c r="P10" s="272"/>
      <c r="Q10" s="272"/>
      <c r="R10" s="272"/>
      <c r="S10" s="272"/>
      <c r="T10" s="272"/>
      <c r="U10" s="272"/>
      <c r="V10" s="272"/>
      <c r="W10" s="272"/>
      <c r="X10" s="272"/>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5.15" customHeight="1" x14ac:dyDescent="0.2">
      <c r="A12" s="272" t="s">
        <v>1</v>
      </c>
      <c r="B12" s="272"/>
      <c r="C12" s="272"/>
      <c r="D12" s="272"/>
      <c r="E12" s="272"/>
      <c r="F12" s="272"/>
      <c r="G12" s="272"/>
      <c r="H12" s="272"/>
      <c r="I12" s="272"/>
      <c r="J12" s="272"/>
      <c r="K12" s="272"/>
      <c r="L12" s="272"/>
      <c r="M12" s="272"/>
      <c r="N12" s="272"/>
      <c r="O12" s="272"/>
      <c r="P12" s="272"/>
      <c r="Q12" s="272"/>
      <c r="R12" s="272"/>
      <c r="S12" s="272"/>
      <c r="T12" s="272"/>
      <c r="U12" s="272"/>
      <c r="V12" s="272"/>
      <c r="W12" s="272"/>
      <c r="X12" s="272"/>
    </row>
    <row r="14" spans="1:25" x14ac:dyDescent="0.2">
      <c r="A14" s="271" t="s">
        <v>24</v>
      </c>
      <c r="B14" s="270"/>
      <c r="C14" s="270"/>
      <c r="D14" s="270"/>
      <c r="E14" s="270"/>
      <c r="F14" s="270"/>
      <c r="G14" s="270"/>
      <c r="H14" s="270"/>
      <c r="I14" s="270"/>
      <c r="J14" s="270"/>
      <c r="K14" s="270"/>
      <c r="L14" s="270"/>
      <c r="M14" s="270"/>
      <c r="N14" s="270"/>
      <c r="O14" s="270"/>
      <c r="P14" s="270"/>
      <c r="Q14" s="270"/>
      <c r="R14" s="270"/>
      <c r="S14" s="270"/>
      <c r="T14" s="270"/>
      <c r="U14" s="270"/>
      <c r="V14" s="270"/>
      <c r="W14" s="270"/>
      <c r="X14" s="270"/>
    </row>
    <row r="16" spans="1:25" x14ac:dyDescent="0.2">
      <c r="A16" s="276" t="s">
        <v>186</v>
      </c>
      <c r="B16" s="277"/>
      <c r="C16" s="277"/>
      <c r="D16" s="277"/>
      <c r="E16" s="277"/>
      <c r="F16" s="277"/>
      <c r="G16" s="277"/>
      <c r="H16" s="277"/>
      <c r="I16" s="277"/>
      <c r="J16" s="277"/>
      <c r="K16" s="277"/>
      <c r="L16" s="277"/>
      <c r="M16" s="277"/>
      <c r="N16" s="277"/>
      <c r="O16" s="277"/>
      <c r="P16" s="277"/>
      <c r="Q16" s="277"/>
      <c r="R16" s="277"/>
      <c r="S16" s="277"/>
      <c r="T16" s="277"/>
      <c r="U16" s="277"/>
      <c r="V16" s="277"/>
      <c r="W16" s="277"/>
      <c r="X16" s="277"/>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51" t="s">
        <v>187</v>
      </c>
      <c r="B18" s="251"/>
      <c r="C18" s="252"/>
      <c r="D18" s="252"/>
      <c r="E18" s="252"/>
      <c r="F18" s="252"/>
      <c r="G18" s="252"/>
      <c r="H18" s="252"/>
      <c r="I18" s="252"/>
      <c r="J18" s="252"/>
      <c r="K18" s="252"/>
      <c r="L18" s="252"/>
      <c r="M18" s="252"/>
      <c r="N18" s="252"/>
      <c r="O18" s="252"/>
      <c r="P18" s="252"/>
      <c r="Q18" s="252"/>
      <c r="R18" s="252"/>
      <c r="S18" s="252"/>
      <c r="T18" s="252"/>
      <c r="U18" s="252"/>
      <c r="V18" s="252"/>
      <c r="W18" s="252"/>
      <c r="X18" s="252"/>
    </row>
    <row r="21" spans="1:25" x14ac:dyDescent="0.2">
      <c r="A21"/>
    </row>
    <row r="22" spans="1:25" ht="12.75" customHeight="1" x14ac:dyDescent="0.2">
      <c r="A22" s="276" t="s">
        <v>189</v>
      </c>
      <c r="B22" s="277"/>
      <c r="C22" s="277"/>
      <c r="D22" s="277"/>
      <c r="E22" s="277"/>
      <c r="F22" s="277"/>
      <c r="G22" s="277"/>
      <c r="H22" s="277"/>
      <c r="I22" s="277"/>
      <c r="J22" s="191"/>
      <c r="K22" s="191"/>
      <c r="L22" s="191"/>
      <c r="M22" s="191"/>
      <c r="N22" s="191"/>
      <c r="O22" s="191"/>
      <c r="P22" s="191"/>
      <c r="Q22" s="191"/>
      <c r="R22" s="191"/>
      <c r="S22" s="191"/>
      <c r="T22" s="191"/>
      <c r="U22" s="191"/>
      <c r="V22" s="191"/>
      <c r="W22" s="191"/>
      <c r="X22" s="191"/>
      <c r="Y22" s="191"/>
    </row>
    <row r="23" spans="1:25" ht="6" customHeight="1" x14ac:dyDescent="0.2">
      <c r="A23" s="38"/>
      <c r="B23"/>
      <c r="F23"/>
      <c r="G23"/>
      <c r="H23"/>
    </row>
    <row r="24" spans="1:25" ht="12.75" customHeight="1" x14ac:dyDescent="0.2">
      <c r="A24" s="251" t="s">
        <v>190</v>
      </c>
      <c r="B24" s="251"/>
      <c r="C24" s="252"/>
      <c r="D24" s="252"/>
      <c r="E24" s="252"/>
      <c r="F24" s="252"/>
      <c r="G24" s="252"/>
      <c r="H24" s="252"/>
      <c r="I24" s="252"/>
      <c r="J24" s="252"/>
      <c r="K24" s="252"/>
      <c r="L24" s="252"/>
      <c r="M24" s="252"/>
      <c r="N24" s="252"/>
      <c r="O24" s="252"/>
      <c r="P24" s="252"/>
      <c r="Q24" s="252"/>
      <c r="R24" s="252"/>
      <c r="S24" s="252"/>
      <c r="T24" s="252"/>
      <c r="U24" s="252"/>
      <c r="V24" s="252"/>
      <c r="W24" s="252"/>
      <c r="X24" s="252"/>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17" t="s">
        <v>191</v>
      </c>
      <c r="B26" s="217"/>
      <c r="C26" s="218"/>
      <c r="D26" s="218"/>
      <c r="E26" s="218"/>
      <c r="F26" s="218"/>
      <c r="G26" s="218"/>
      <c r="H26" s="218"/>
      <c r="I26" s="218"/>
      <c r="J26" s="218"/>
      <c r="K26" s="218"/>
      <c r="L26" s="218"/>
      <c r="M26" s="218"/>
      <c r="N26" s="218"/>
      <c r="O26" s="218"/>
      <c r="P26" s="218"/>
      <c r="Q26" s="218"/>
      <c r="R26" s="218"/>
      <c r="S26" s="218"/>
      <c r="T26" s="218"/>
      <c r="U26" s="218"/>
      <c r="V26" s="218"/>
      <c r="W26" s="218"/>
      <c r="X26" s="218"/>
    </row>
    <row r="27" spans="1:25" ht="6" customHeight="1" x14ac:dyDescent="0.2">
      <c r="A27" s="17"/>
      <c r="B27" s="17"/>
    </row>
    <row r="28" spans="1:25" ht="12.75" customHeight="1" x14ac:dyDescent="0.2">
      <c r="A28" s="206" t="s">
        <v>177</v>
      </c>
      <c r="B28" s="208"/>
      <c r="C28" s="206" t="s">
        <v>170</v>
      </c>
      <c r="D28" s="207"/>
      <c r="E28" s="208"/>
      <c r="F28" s="206" t="s">
        <v>171</v>
      </c>
      <c r="G28" s="207"/>
      <c r="H28" s="207"/>
      <c r="I28" s="208"/>
      <c r="J28" s="206" t="s">
        <v>172</v>
      </c>
      <c r="K28" s="207"/>
      <c r="L28" s="207"/>
      <c r="M28" s="207"/>
      <c r="N28" s="207"/>
      <c r="O28" s="208"/>
      <c r="P28" s="206" t="s">
        <v>0</v>
      </c>
      <c r="Q28" s="207"/>
      <c r="R28" s="207"/>
      <c r="S28" s="207"/>
      <c r="T28" s="207"/>
      <c r="U28" s="207"/>
      <c r="V28" s="207"/>
      <c r="W28" s="207"/>
      <c r="X28" s="208"/>
    </row>
    <row r="29" spans="1:25" ht="12.75" customHeight="1" x14ac:dyDescent="0.2">
      <c r="A29" s="209"/>
      <c r="B29" s="213"/>
      <c r="C29" s="209"/>
      <c r="D29" s="210"/>
      <c r="E29" s="211"/>
      <c r="F29" s="209"/>
      <c r="G29" s="212"/>
      <c r="H29" s="212"/>
      <c r="I29" s="213"/>
      <c r="J29" s="209" t="s">
        <v>235</v>
      </c>
      <c r="K29" s="212"/>
      <c r="L29" s="212"/>
      <c r="M29" s="212"/>
      <c r="N29" s="212"/>
      <c r="O29" s="213"/>
      <c r="P29" s="209" t="s">
        <v>252</v>
      </c>
      <c r="Q29" s="212"/>
      <c r="R29" s="212"/>
      <c r="S29" s="212"/>
      <c r="T29" s="212"/>
      <c r="U29" s="212"/>
      <c r="V29" s="212"/>
      <c r="W29" s="212"/>
      <c r="X29" s="213"/>
    </row>
    <row r="30" spans="1:25" ht="6" customHeight="1" x14ac:dyDescent="0.2">
      <c r="A30"/>
      <c r="B30"/>
      <c r="F30"/>
      <c r="G30"/>
      <c r="H30"/>
    </row>
    <row r="31" spans="1:25" x14ac:dyDescent="0.2">
      <c r="A31" s="206" t="s">
        <v>173</v>
      </c>
      <c r="B31" s="207"/>
      <c r="C31" s="207"/>
      <c r="D31" s="207"/>
      <c r="E31" s="207"/>
      <c r="F31" s="208"/>
      <c r="G31" s="206" t="s">
        <v>174</v>
      </c>
      <c r="H31" s="207"/>
      <c r="I31" s="207"/>
      <c r="J31" s="208"/>
      <c r="K31" s="206" t="s">
        <v>175</v>
      </c>
      <c r="L31" s="207"/>
      <c r="M31" s="207"/>
      <c r="N31" s="207"/>
      <c r="O31" s="207"/>
      <c r="P31" s="208"/>
      <c r="Q31" s="206" t="s">
        <v>180</v>
      </c>
      <c r="R31" s="207"/>
      <c r="S31" s="207"/>
      <c r="T31" s="207"/>
      <c r="U31" s="207"/>
      <c r="V31" s="207"/>
      <c r="W31" s="207"/>
      <c r="X31" s="208"/>
    </row>
    <row r="32" spans="1:25" x14ac:dyDescent="0.2">
      <c r="A32" s="214" t="s">
        <v>250</v>
      </c>
      <c r="B32" s="215"/>
      <c r="C32" s="215"/>
      <c r="D32" s="215"/>
      <c r="E32" s="215"/>
      <c r="F32" s="216"/>
      <c r="G32" s="209" t="s">
        <v>251</v>
      </c>
      <c r="H32" s="210"/>
      <c r="I32" s="210"/>
      <c r="J32" s="211"/>
      <c r="K32" s="209" t="s">
        <v>252</v>
      </c>
      <c r="L32" s="212"/>
      <c r="M32" s="212"/>
      <c r="N32" s="212"/>
      <c r="O32" s="212"/>
      <c r="P32" s="213"/>
      <c r="Q32" s="209" t="s">
        <v>252</v>
      </c>
      <c r="R32" s="212"/>
      <c r="S32" s="212"/>
      <c r="T32" s="212"/>
      <c r="U32" s="212"/>
      <c r="V32" s="212"/>
      <c r="W32" s="212"/>
      <c r="X32" s="213"/>
    </row>
    <row r="33" spans="1:24" ht="9" customHeight="1" x14ac:dyDescent="0.2"/>
    <row r="34" spans="1:24" s="19" customFormat="1" x14ac:dyDescent="0.2"/>
    <row r="35" spans="1:24" ht="12.75" customHeight="1" x14ac:dyDescent="0.2">
      <c r="A35" s="217" t="s">
        <v>192</v>
      </c>
      <c r="B35" s="217"/>
      <c r="C35" s="218"/>
      <c r="D35" s="218"/>
      <c r="E35" s="218"/>
      <c r="F35" s="218"/>
      <c r="G35" s="218"/>
      <c r="H35" s="218"/>
      <c r="I35" s="218"/>
      <c r="J35" s="218"/>
      <c r="K35" s="218"/>
      <c r="L35" s="218"/>
      <c r="M35" s="218"/>
      <c r="N35" s="218"/>
      <c r="O35" s="218"/>
      <c r="P35" s="218"/>
      <c r="Q35" s="218"/>
      <c r="R35" s="218"/>
      <c r="S35" s="218"/>
      <c r="T35" s="218"/>
      <c r="U35" s="218"/>
      <c r="V35" s="218"/>
      <c r="W35" s="218"/>
      <c r="X35" s="218"/>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6" t="s">
        <v>16</v>
      </c>
      <c r="B37" s="208"/>
      <c r="C37" s="78" t="s">
        <v>91</v>
      </c>
      <c r="D37" s="206" t="s">
        <v>14</v>
      </c>
      <c r="E37" s="207"/>
      <c r="F37" s="208"/>
      <c r="G37" s="206" t="s">
        <v>12</v>
      </c>
      <c r="H37" s="207"/>
      <c r="I37" s="207"/>
      <c r="J37" s="207"/>
      <c r="K37" s="207"/>
      <c r="L37" s="207"/>
      <c r="M37" s="207"/>
      <c r="N37" s="207"/>
      <c r="O37" s="207"/>
      <c r="P37" s="207"/>
      <c r="Q37" s="207"/>
      <c r="R37" s="207"/>
      <c r="S37" s="208"/>
      <c r="T37" s="79" t="s">
        <v>7</v>
      </c>
      <c r="U37" s="79" t="s">
        <v>8</v>
      </c>
      <c r="V37" s="79" t="s">
        <v>9</v>
      </c>
      <c r="W37" s="79" t="s">
        <v>10</v>
      </c>
      <c r="X37" s="79" t="s">
        <v>11</v>
      </c>
    </row>
    <row r="38" spans="1:24" ht="12.75" customHeight="1" x14ac:dyDescent="0.2">
      <c r="A38" s="241">
        <v>45962</v>
      </c>
      <c r="B38" s="242"/>
      <c r="C38" s="77" t="s">
        <v>239</v>
      </c>
      <c r="D38" s="209" t="s">
        <v>78</v>
      </c>
      <c r="E38" s="210"/>
      <c r="F38" s="211"/>
      <c r="G38" s="209" t="str">
        <f>Import.ObjetoCR</f>
        <v>Estrada entre comunidade Poméia e Comunidade Caravagio (trecho 02 estaca 0+300 a 2+009)</v>
      </c>
      <c r="H38" s="210"/>
      <c r="I38" s="210"/>
      <c r="J38" s="210"/>
      <c r="K38" s="210"/>
      <c r="L38" s="210"/>
      <c r="M38" s="210"/>
      <c r="N38" s="210"/>
      <c r="O38" s="210"/>
      <c r="P38" s="210"/>
      <c r="Q38" s="210"/>
      <c r="R38" s="210"/>
      <c r="S38" s="211"/>
      <c r="T38" s="80">
        <f ca="1">IF(ISERROR(INDIRECT("'BDI ("&amp;RIGHT(T37,1)&amp;")'!N27")),"",INDIRECT("'BDI ("&amp;RIGHT(T37,1)&amp;")'!N27"))</f>
        <v>0.2147</v>
      </c>
      <c r="U38" s="81">
        <f ca="1">IF(ISERROR(INDIRECT("'BDI ("&amp;RIGHT(U37,1)&amp;")'!N27")),"",INDIRECT("'BDI ("&amp;RIGHT(U37,1)&amp;")'!N27"))</f>
        <v>0.15</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17" t="s">
        <v>162</v>
      </c>
      <c r="B40" s="217"/>
      <c r="C40" s="218"/>
      <c r="D40" s="218"/>
      <c r="E40" s="218"/>
      <c r="F40" s="218"/>
      <c r="G40" s="218"/>
      <c r="H40" s="218"/>
      <c r="I40" s="218"/>
      <c r="J40" s="218"/>
      <c r="K40" s="218"/>
      <c r="L40" s="218"/>
      <c r="M40" s="218"/>
      <c r="N40" s="218"/>
      <c r="O40" s="218"/>
      <c r="P40" s="218"/>
      <c r="Q40" s="218"/>
      <c r="R40" s="218"/>
      <c r="S40" s="218"/>
      <c r="T40" s="218"/>
      <c r="U40" s="218"/>
      <c r="V40" s="218"/>
      <c r="W40" s="218"/>
      <c r="X40" s="218"/>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6" t="s">
        <v>87</v>
      </c>
      <c r="B42" s="208"/>
      <c r="C42" s="206" t="s">
        <v>111</v>
      </c>
      <c r="D42" s="207"/>
      <c r="E42" s="207"/>
      <c r="F42" s="207"/>
      <c r="G42" s="207"/>
      <c r="H42" s="206" t="s">
        <v>16</v>
      </c>
      <c r="I42" s="207"/>
      <c r="J42" s="20" t="s">
        <v>91</v>
      </c>
      <c r="K42" s="206" t="s">
        <v>88</v>
      </c>
      <c r="L42" s="207"/>
      <c r="M42" s="208"/>
      <c r="N42" s="20" t="s">
        <v>92</v>
      </c>
      <c r="O42" s="206" t="s">
        <v>93</v>
      </c>
      <c r="P42" s="207"/>
      <c r="Q42" s="207"/>
      <c r="R42" s="207"/>
      <c r="S42" s="207"/>
      <c r="T42" s="208"/>
      <c r="U42" s="239" t="s">
        <v>89</v>
      </c>
      <c r="V42" s="240"/>
      <c r="W42" s="239" t="s">
        <v>90</v>
      </c>
      <c r="X42" s="240"/>
    </row>
    <row r="43" spans="1:24" ht="12.75" customHeight="1" x14ac:dyDescent="0.2">
      <c r="A43" s="214"/>
      <c r="B43" s="273"/>
      <c r="C43" s="209"/>
      <c r="D43" s="210"/>
      <c r="E43" s="210"/>
      <c r="F43" s="210"/>
      <c r="G43" s="210"/>
      <c r="H43" s="241"/>
      <c r="I43" s="242"/>
      <c r="J43" s="74"/>
      <c r="K43" s="219"/>
      <c r="L43" s="220"/>
      <c r="M43" s="221"/>
      <c r="N43" s="89"/>
      <c r="O43" s="262"/>
      <c r="P43" s="263"/>
      <c r="Q43" s="263"/>
      <c r="R43" s="264"/>
      <c r="S43" s="264"/>
      <c r="T43" s="265"/>
      <c r="U43" s="260"/>
      <c r="V43" s="266"/>
      <c r="W43" s="260"/>
      <c r="X43" s="261"/>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17" t="s">
        <v>193</v>
      </c>
      <c r="B45" s="217"/>
      <c r="C45" s="218"/>
      <c r="D45" s="218"/>
      <c r="E45" s="218"/>
      <c r="F45" s="218"/>
      <c r="G45" s="218"/>
      <c r="H45" s="218"/>
      <c r="I45" s="218"/>
      <c r="J45" s="218"/>
      <c r="K45" s="218"/>
      <c r="L45" s="218"/>
      <c r="M45" s="218"/>
      <c r="N45" s="218"/>
      <c r="O45" s="218"/>
      <c r="P45" s="218"/>
      <c r="Q45" s="218"/>
      <c r="R45" s="218"/>
      <c r="S45" s="218"/>
      <c r="T45" s="218"/>
      <c r="U45" s="218"/>
      <c r="V45" s="218"/>
      <c r="W45" s="218"/>
      <c r="X45" s="218"/>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45">
        <v>46063</v>
      </c>
      <c r="B48" s="246"/>
      <c r="C48" s="247"/>
      <c r="E48" s="29"/>
      <c r="F48"/>
      <c r="G48"/>
      <c r="H48"/>
    </row>
    <row r="49" spans="1:24" x14ac:dyDescent="0.2">
      <c r="F49" s="25"/>
      <c r="G49" s="26"/>
      <c r="H49" s="27"/>
    </row>
    <row r="50" spans="1:24" x14ac:dyDescent="0.2">
      <c r="A50" s="217" t="s">
        <v>194</v>
      </c>
      <c r="B50" s="217"/>
      <c r="C50" s="218"/>
      <c r="D50" s="218"/>
      <c r="E50" s="218"/>
      <c r="F50" s="218"/>
      <c r="G50" s="218"/>
      <c r="H50" s="218"/>
      <c r="I50" s="218"/>
      <c r="J50" s="218"/>
      <c r="K50" s="218"/>
      <c r="L50" s="218"/>
      <c r="M50" s="218"/>
      <c r="N50" s="218"/>
      <c r="O50" s="218"/>
      <c r="P50" s="218"/>
      <c r="Q50" s="218"/>
      <c r="R50" s="218"/>
      <c r="S50" s="218"/>
      <c r="T50" s="218"/>
      <c r="U50" s="218"/>
      <c r="V50" s="218"/>
      <c r="W50" s="218"/>
      <c r="X50" s="218"/>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236</v>
      </c>
      <c r="L52" s="24"/>
    </row>
    <row r="53" spans="1:24" x14ac:dyDescent="0.2">
      <c r="A53" s="30"/>
      <c r="B53" s="30"/>
      <c r="C53" s="31"/>
      <c r="D53" s="31"/>
      <c r="E53" s="31"/>
      <c r="F53" s="25"/>
      <c r="G53" s="30"/>
      <c r="H53" s="30"/>
      <c r="I53" s="31"/>
      <c r="J53" s="31"/>
      <c r="K53" s="31"/>
    </row>
    <row r="54" spans="1:24" x14ac:dyDescent="0.2">
      <c r="A54" s="86" t="s">
        <v>140</v>
      </c>
      <c r="B54" s="249" t="s">
        <v>242</v>
      </c>
      <c r="C54" s="250"/>
      <c r="D54" s="250"/>
      <c r="E54" s="250"/>
      <c r="F54" s="25"/>
      <c r="G54" s="86" t="s">
        <v>140</v>
      </c>
      <c r="H54" s="250"/>
      <c r="I54" s="250"/>
      <c r="J54" s="250"/>
      <c r="K54" s="250"/>
    </row>
    <row r="55" spans="1:24" x14ac:dyDescent="0.2">
      <c r="A55" s="86" t="str">
        <f>IF(OR(TipoOrçamento="BASE",TipoOrçamento="REPROGRAMADONPL"),"Título:","Cargo:")</f>
        <v>Título:</v>
      </c>
      <c r="B55" s="249" t="s">
        <v>230</v>
      </c>
      <c r="C55" s="250"/>
      <c r="D55" s="250"/>
      <c r="E55" s="250"/>
      <c r="F55" s="25"/>
      <c r="G55" s="86" t="str">
        <f>A55</f>
        <v>Título:</v>
      </c>
      <c r="H55" s="250"/>
      <c r="I55" s="250"/>
      <c r="J55" s="250"/>
      <c r="K55" s="250"/>
    </row>
    <row r="56" spans="1:24" x14ac:dyDescent="0.2">
      <c r="A56" s="86" t="str">
        <f>IF(OR(TipoOrçamento="BASE",TipoOrçamento="REPROGRAMADONPL"),"CREA/CAU:","Empresa:")</f>
        <v>CREA/CAU:</v>
      </c>
      <c r="B56" s="255" t="s">
        <v>243</v>
      </c>
      <c r="C56" s="248"/>
      <c r="D56" s="248"/>
      <c r="E56" s="248"/>
      <c r="F56" s="25"/>
      <c r="G56" s="86" t="str">
        <f>A56</f>
        <v>CREA/CAU:</v>
      </c>
      <c r="H56" s="248"/>
      <c r="I56" s="248"/>
      <c r="J56" s="248"/>
      <c r="K56" s="248"/>
    </row>
    <row r="57" spans="1:24" x14ac:dyDescent="0.2">
      <c r="A57" s="86" t="str">
        <f>IF(OR(TipoOrçamento="BASE",TipoOrçamento="REPROGRAMADONPL"),"ART/RRT:","CNPJ:")</f>
        <v>ART/RRT:</v>
      </c>
      <c r="B57" s="255" t="s">
        <v>244</v>
      </c>
      <c r="C57" s="248"/>
      <c r="D57" s="248"/>
      <c r="E57" s="248"/>
      <c r="F57" s="25"/>
      <c r="G57" s="86" t="str">
        <f>A57</f>
        <v>ART/RRT:</v>
      </c>
      <c r="H57" s="248"/>
      <c r="I57" s="248"/>
      <c r="J57" s="248"/>
      <c r="K57" s="248"/>
    </row>
    <row r="58" spans="1:24" x14ac:dyDescent="0.2">
      <c r="F58" s="25"/>
      <c r="G58" s="26"/>
      <c r="H58" s="27"/>
    </row>
    <row r="59" spans="1:24" x14ac:dyDescent="0.2">
      <c r="F59" s="25"/>
      <c r="G59" s="26"/>
      <c r="H59" s="27"/>
    </row>
    <row r="60" spans="1:24" ht="12.75" customHeight="1" x14ac:dyDescent="0.2">
      <c r="A60" s="251" t="s">
        <v>195</v>
      </c>
      <c r="B60" s="251"/>
      <c r="C60" s="252"/>
      <c r="D60" s="252"/>
      <c r="E60" s="252"/>
      <c r="F60" s="252"/>
      <c r="G60" s="252"/>
      <c r="H60" s="252"/>
      <c r="I60" s="252"/>
      <c r="J60" s="252"/>
      <c r="K60" s="252"/>
      <c r="L60" s="252"/>
      <c r="M60" s="252"/>
      <c r="N60" s="252"/>
      <c r="O60" s="252"/>
      <c r="P60" s="252"/>
      <c r="Q60" s="252"/>
      <c r="R60" s="252"/>
      <c r="S60" s="252"/>
      <c r="T60" s="252"/>
      <c r="U60" s="252"/>
      <c r="V60" s="252"/>
      <c r="W60" s="252"/>
      <c r="X60" s="252"/>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53" t="s">
        <v>196</v>
      </c>
      <c r="B62" s="274"/>
      <c r="C62" s="275"/>
      <c r="D62" s="275"/>
      <c r="E62" s="275"/>
      <c r="F62" s="275"/>
      <c r="G62" s="275"/>
      <c r="H62" s="275"/>
      <c r="I62" s="275"/>
      <c r="J62" s="275"/>
      <c r="K62" s="275"/>
      <c r="L62" s="275"/>
      <c r="M62" s="275"/>
      <c r="N62" s="275"/>
      <c r="O62" s="275"/>
      <c r="P62" s="275"/>
      <c r="Q62" s="275"/>
      <c r="R62" s="275"/>
      <c r="S62" s="275"/>
      <c r="T62" s="275"/>
      <c r="U62" s="275"/>
      <c r="V62" s="275"/>
      <c r="W62" s="275"/>
      <c r="X62" s="275"/>
    </row>
    <row r="63" spans="1:24" ht="30.2" customHeight="1" x14ac:dyDescent="0.2">
      <c r="A63" s="253" t="s">
        <v>197</v>
      </c>
      <c r="B63" s="253"/>
      <c r="C63" s="254"/>
      <c r="D63" s="254"/>
      <c r="E63" s="254"/>
      <c r="F63" s="254"/>
      <c r="G63" s="254"/>
      <c r="H63" s="254"/>
      <c r="I63" s="254"/>
      <c r="J63" s="254"/>
      <c r="K63" s="254"/>
      <c r="L63" s="254"/>
      <c r="M63" s="254"/>
      <c r="N63" s="254"/>
      <c r="O63" s="254"/>
      <c r="P63" s="254"/>
      <c r="Q63" s="254"/>
      <c r="R63" s="254"/>
      <c r="S63" s="254"/>
      <c r="T63" s="254"/>
      <c r="U63" s="254"/>
      <c r="V63" s="254"/>
      <c r="W63" s="254"/>
      <c r="X63" s="254"/>
    </row>
    <row r="64" spans="1:24" x14ac:dyDescent="0.2">
      <c r="F64" s="25"/>
      <c r="G64" s="26"/>
      <c r="H64" s="27"/>
    </row>
    <row r="65" spans="1:24" ht="12.75" customHeight="1" x14ac:dyDescent="0.2">
      <c r="A65" s="251" t="s">
        <v>198</v>
      </c>
      <c r="B65" s="251"/>
      <c r="C65" s="252"/>
      <c r="D65" s="252"/>
      <c r="E65" s="252"/>
      <c r="F65" s="252"/>
      <c r="G65" s="252"/>
      <c r="H65" s="252"/>
      <c r="I65" s="252"/>
      <c r="J65" s="252"/>
      <c r="K65" s="252"/>
      <c r="L65" s="252"/>
      <c r="M65" s="252"/>
      <c r="N65" s="252"/>
      <c r="O65" s="252"/>
      <c r="P65" s="252"/>
      <c r="Q65" s="252"/>
      <c r="R65" s="252"/>
      <c r="S65" s="252"/>
      <c r="T65" s="252"/>
      <c r="U65" s="252"/>
      <c r="V65" s="252"/>
      <c r="W65" s="252"/>
      <c r="X65" s="252"/>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17" t="s">
        <v>199</v>
      </c>
      <c r="B67" s="217"/>
      <c r="C67" s="218"/>
      <c r="D67" s="218"/>
      <c r="E67" s="218"/>
      <c r="F67" s="218"/>
      <c r="G67" s="218"/>
      <c r="H67" s="218"/>
      <c r="I67" s="218"/>
      <c r="J67" s="218"/>
      <c r="K67" s="218"/>
      <c r="L67" s="218"/>
      <c r="M67" s="218"/>
      <c r="N67" s="218"/>
      <c r="O67" s="218"/>
      <c r="P67" s="218"/>
      <c r="Q67" s="218"/>
      <c r="R67" s="218"/>
      <c r="S67" s="218"/>
      <c r="T67" s="218"/>
      <c r="U67" s="218"/>
      <c r="V67" s="218"/>
      <c r="W67" s="218"/>
      <c r="X67" s="218"/>
    </row>
    <row r="68" spans="1:24" x14ac:dyDescent="0.2">
      <c r="A68" s="217" t="s">
        <v>200</v>
      </c>
      <c r="B68" s="217"/>
      <c r="C68" s="218"/>
      <c r="D68" s="218"/>
      <c r="E68" s="218"/>
      <c r="F68" s="218"/>
      <c r="G68" s="218"/>
      <c r="H68" s="218"/>
      <c r="I68" s="218"/>
      <c r="J68" s="218"/>
      <c r="K68" s="218"/>
      <c r="L68" s="218"/>
      <c r="M68" s="218"/>
      <c r="N68" s="218"/>
      <c r="O68" s="218"/>
      <c r="P68" s="218"/>
      <c r="Q68" s="218"/>
      <c r="R68" s="218"/>
      <c r="S68" s="218"/>
      <c r="T68" s="218"/>
      <c r="U68" s="218"/>
      <c r="V68" s="218"/>
      <c r="W68" s="218"/>
      <c r="X68" s="218"/>
    </row>
    <row r="69" spans="1:24" ht="12.75" customHeight="1" x14ac:dyDescent="0.2">
      <c r="A69" s="217" t="s">
        <v>201</v>
      </c>
      <c r="B69" s="217"/>
      <c r="C69" s="218"/>
      <c r="D69" s="218"/>
      <c r="E69" s="218"/>
      <c r="F69" s="218"/>
      <c r="G69" s="218"/>
      <c r="H69" s="218"/>
      <c r="I69" s="218"/>
      <c r="J69" s="218"/>
      <c r="K69" s="218"/>
      <c r="L69" s="218"/>
      <c r="M69" s="218"/>
      <c r="N69" s="218"/>
      <c r="O69" s="218"/>
      <c r="P69" s="218"/>
      <c r="Q69" s="218"/>
      <c r="R69" s="218"/>
      <c r="S69" s="218"/>
      <c r="T69" s="218"/>
      <c r="U69" s="218"/>
      <c r="V69" s="218"/>
      <c r="W69" s="218"/>
      <c r="X69" s="218"/>
    </row>
    <row r="70" spans="1:24" ht="12.75" customHeight="1" x14ac:dyDescent="0.2">
      <c r="A70" s="217" t="s">
        <v>202</v>
      </c>
      <c r="B70" s="217"/>
      <c r="C70" s="218"/>
      <c r="D70" s="218"/>
      <c r="E70" s="218"/>
      <c r="F70" s="218"/>
      <c r="G70" s="218"/>
      <c r="H70" s="218"/>
      <c r="I70" s="218"/>
      <c r="J70" s="218"/>
      <c r="K70" s="218"/>
      <c r="L70" s="218"/>
      <c r="M70" s="218"/>
      <c r="N70" s="218"/>
      <c r="O70" s="218"/>
      <c r="P70" s="218"/>
      <c r="Q70" s="218"/>
      <c r="R70" s="218"/>
      <c r="S70" s="218"/>
      <c r="T70" s="218"/>
      <c r="U70" s="218"/>
      <c r="V70" s="218"/>
      <c r="W70" s="218"/>
      <c r="X70" s="218"/>
    </row>
    <row r="71" spans="1:24" ht="12.75" customHeight="1" x14ac:dyDescent="0.2">
      <c r="A71" s="217" t="s">
        <v>203</v>
      </c>
      <c r="B71" s="217"/>
      <c r="C71" s="218"/>
      <c r="D71" s="218"/>
      <c r="E71" s="218"/>
      <c r="F71" s="218"/>
      <c r="G71" s="218"/>
      <c r="H71" s="218"/>
      <c r="I71" s="218"/>
      <c r="J71" s="218"/>
      <c r="K71" s="218"/>
      <c r="L71" s="218"/>
      <c r="M71" s="218"/>
      <c r="N71" s="218"/>
      <c r="O71" s="218"/>
      <c r="P71" s="218"/>
      <c r="Q71" s="218"/>
      <c r="R71" s="218"/>
      <c r="S71" s="218"/>
      <c r="T71" s="218"/>
      <c r="U71" s="218"/>
      <c r="V71" s="218"/>
      <c r="W71" s="218"/>
      <c r="X71" s="218"/>
    </row>
    <row r="72" spans="1:24" ht="12.75" customHeight="1" x14ac:dyDescent="0.2">
      <c r="A72" s="217" t="s">
        <v>204</v>
      </c>
      <c r="B72" s="217"/>
      <c r="C72" s="218"/>
      <c r="D72" s="218"/>
      <c r="E72" s="218"/>
      <c r="F72" s="218"/>
      <c r="G72" s="218"/>
      <c r="H72" s="218"/>
      <c r="I72" s="218"/>
      <c r="J72" s="218"/>
      <c r="K72" s="218"/>
      <c r="L72" s="218"/>
      <c r="M72" s="218"/>
      <c r="N72" s="218"/>
      <c r="O72" s="218"/>
      <c r="P72" s="218"/>
      <c r="Q72" s="218"/>
      <c r="R72" s="218"/>
      <c r="S72" s="218"/>
      <c r="T72" s="218"/>
      <c r="U72" s="218"/>
      <c r="V72" s="218"/>
      <c r="W72" s="218"/>
      <c r="X72" s="218"/>
    </row>
    <row r="73" spans="1:24" x14ac:dyDescent="0.2">
      <c r="F73" s="25"/>
      <c r="G73" s="26"/>
      <c r="H73" s="27"/>
    </row>
    <row r="74" spans="1:24" ht="12.75" customHeight="1" x14ac:dyDescent="0.2">
      <c r="A74" s="251" t="s">
        <v>205</v>
      </c>
      <c r="B74" s="251"/>
      <c r="C74" s="252"/>
      <c r="D74" s="252"/>
      <c r="E74" s="252"/>
      <c r="F74" s="252"/>
      <c r="G74" s="252"/>
      <c r="H74" s="252"/>
      <c r="I74" s="252"/>
      <c r="J74" s="252"/>
      <c r="K74" s="252"/>
      <c r="L74" s="252"/>
      <c r="M74" s="252"/>
      <c r="N74" s="252"/>
      <c r="O74" s="252"/>
      <c r="P74" s="252"/>
      <c r="Q74" s="252"/>
      <c r="R74" s="252"/>
      <c r="S74" s="252"/>
      <c r="T74" s="252"/>
      <c r="U74" s="252"/>
      <c r="V74" s="252"/>
      <c r="W74" s="252"/>
      <c r="X74" s="252"/>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17" t="s">
        <v>206</v>
      </c>
      <c r="B76" s="217"/>
      <c r="C76" s="218"/>
      <c r="D76" s="218"/>
      <c r="E76" s="218"/>
      <c r="F76" s="218"/>
      <c r="G76" s="218"/>
      <c r="H76" s="218"/>
      <c r="I76" s="218"/>
      <c r="J76" s="218"/>
      <c r="K76" s="218"/>
      <c r="L76" s="218"/>
      <c r="M76" s="218"/>
      <c r="N76" s="218"/>
      <c r="O76" s="218"/>
      <c r="P76" s="218"/>
      <c r="Q76" s="218"/>
      <c r="R76" s="218"/>
      <c r="S76" s="218"/>
      <c r="T76" s="218"/>
      <c r="U76" s="218"/>
      <c r="V76" s="218"/>
      <c r="W76" s="218"/>
      <c r="X76" s="218"/>
    </row>
    <row r="77" spans="1:24" ht="26.1" customHeight="1" x14ac:dyDescent="0.2">
      <c r="A77" s="228" t="s">
        <v>207</v>
      </c>
      <c r="B77" s="228"/>
      <c r="C77" s="229"/>
      <c r="D77" s="229"/>
      <c r="E77" s="229"/>
      <c r="F77" s="229"/>
      <c r="G77" s="229"/>
      <c r="H77" s="229"/>
      <c r="I77" s="229"/>
      <c r="J77" s="229"/>
      <c r="K77" s="229"/>
      <c r="L77" s="229"/>
      <c r="M77" s="229"/>
      <c r="N77" s="229"/>
      <c r="O77" s="229"/>
      <c r="P77" s="229"/>
      <c r="Q77" s="229"/>
      <c r="R77" s="229"/>
      <c r="S77" s="229"/>
      <c r="T77" s="229"/>
      <c r="U77" s="229"/>
      <c r="V77" s="229"/>
      <c r="W77" s="229"/>
      <c r="X77" s="229"/>
    </row>
    <row r="78" spans="1:24" ht="12.75" customHeight="1" x14ac:dyDescent="0.2">
      <c r="A78" s="217" t="s">
        <v>208</v>
      </c>
      <c r="B78" s="217"/>
      <c r="C78" s="218"/>
      <c r="D78" s="218"/>
      <c r="E78" s="218"/>
      <c r="F78" s="218"/>
      <c r="G78" s="218"/>
      <c r="H78" s="218"/>
      <c r="I78" s="218"/>
      <c r="J78" s="218"/>
      <c r="K78" s="218"/>
      <c r="L78" s="218"/>
      <c r="M78" s="218"/>
      <c r="N78" s="218"/>
      <c r="O78" s="218"/>
      <c r="P78" s="218"/>
      <c r="Q78" s="218"/>
      <c r="R78" s="218"/>
      <c r="S78" s="218"/>
      <c r="T78" s="218"/>
      <c r="U78" s="218"/>
      <c r="V78" s="218"/>
      <c r="W78" s="218"/>
      <c r="X78" s="218"/>
    </row>
    <row r="79" spans="1:24" ht="25.5" customHeight="1" x14ac:dyDescent="0.2">
      <c r="A79" s="217" t="s">
        <v>209</v>
      </c>
      <c r="B79" s="217"/>
      <c r="C79" s="218"/>
      <c r="D79" s="218"/>
      <c r="E79" s="218"/>
      <c r="F79" s="218"/>
      <c r="G79" s="218"/>
      <c r="H79" s="218"/>
      <c r="I79" s="218"/>
      <c r="J79" s="218"/>
      <c r="K79" s="218"/>
      <c r="L79" s="218"/>
      <c r="M79" s="218"/>
      <c r="N79" s="218"/>
      <c r="O79" s="218"/>
      <c r="P79" s="218"/>
      <c r="Q79" s="218"/>
      <c r="R79" s="218"/>
      <c r="S79" s="218"/>
      <c r="T79" s="218"/>
      <c r="U79" s="218"/>
      <c r="V79" s="218"/>
      <c r="W79" s="218"/>
      <c r="X79" s="218"/>
    </row>
    <row r="80" spans="1:24" x14ac:dyDescent="0.2">
      <c r="A80" s="228" t="s">
        <v>210</v>
      </c>
      <c r="B80" s="228"/>
      <c r="C80" s="229"/>
      <c r="D80" s="229"/>
      <c r="E80" s="229"/>
      <c r="F80" s="229"/>
      <c r="G80" s="229"/>
      <c r="H80" s="229"/>
      <c r="I80" s="229"/>
      <c r="J80" s="229"/>
      <c r="K80" s="229"/>
      <c r="L80" s="229"/>
      <c r="M80" s="229"/>
      <c r="N80" s="229"/>
      <c r="O80" s="229"/>
      <c r="P80" s="229"/>
      <c r="Q80" s="229"/>
      <c r="R80" s="229"/>
      <c r="S80" s="229"/>
      <c r="T80" s="229"/>
      <c r="U80" s="229"/>
      <c r="V80" s="229"/>
      <c r="W80" s="229"/>
      <c r="X80" s="229"/>
    </row>
    <row r="81" spans="1:24" ht="12.75" customHeight="1" x14ac:dyDescent="0.2">
      <c r="A81" s="217" t="s">
        <v>211</v>
      </c>
      <c r="B81" s="217"/>
      <c r="C81" s="218"/>
      <c r="D81" s="218"/>
      <c r="E81" s="218"/>
      <c r="F81" s="218"/>
      <c r="G81" s="218"/>
      <c r="H81" s="218"/>
      <c r="I81" s="218"/>
      <c r="J81" s="218"/>
      <c r="K81" s="218"/>
      <c r="L81" s="218"/>
      <c r="M81" s="218"/>
      <c r="N81" s="218"/>
      <c r="O81" s="218"/>
      <c r="P81" s="218"/>
      <c r="Q81" s="218"/>
      <c r="R81" s="218"/>
      <c r="S81" s="218"/>
      <c r="T81" s="218"/>
      <c r="U81" s="218"/>
      <c r="V81" s="218"/>
      <c r="W81" s="218"/>
      <c r="X81" s="218"/>
    </row>
    <row r="82" spans="1:24" ht="26.1" customHeight="1" x14ac:dyDescent="0.2">
      <c r="A82" s="217" t="s">
        <v>212</v>
      </c>
      <c r="B82" s="217"/>
      <c r="C82" s="218"/>
      <c r="D82" s="218"/>
      <c r="E82" s="218"/>
      <c r="F82" s="218"/>
      <c r="G82" s="218"/>
      <c r="H82" s="218"/>
      <c r="I82" s="218"/>
      <c r="J82" s="218"/>
      <c r="K82" s="218"/>
      <c r="L82" s="218"/>
      <c r="M82" s="218"/>
      <c r="N82" s="218"/>
      <c r="O82" s="218"/>
      <c r="P82" s="218"/>
      <c r="Q82" s="218"/>
      <c r="R82" s="218"/>
      <c r="S82" s="218"/>
      <c r="T82" s="218"/>
      <c r="U82" s="218"/>
      <c r="V82" s="218"/>
      <c r="W82" s="218"/>
      <c r="X82" s="218"/>
    </row>
    <row r="83" spans="1:24" ht="26.1" customHeight="1" x14ac:dyDescent="0.2">
      <c r="A83" s="217" t="s">
        <v>213</v>
      </c>
      <c r="B83" s="217"/>
      <c r="C83" s="218"/>
      <c r="D83" s="218"/>
      <c r="E83" s="218"/>
      <c r="F83" s="218"/>
      <c r="G83" s="218"/>
      <c r="H83" s="218"/>
      <c r="I83" s="218"/>
      <c r="J83" s="218"/>
      <c r="K83" s="218"/>
      <c r="L83" s="218"/>
      <c r="M83" s="218"/>
      <c r="N83" s="218"/>
      <c r="O83" s="218"/>
      <c r="P83" s="218"/>
      <c r="Q83" s="218"/>
      <c r="R83" s="218"/>
      <c r="S83" s="218"/>
      <c r="T83" s="218"/>
      <c r="U83" s="218"/>
      <c r="V83" s="218"/>
      <c r="W83" s="218"/>
      <c r="X83" s="218"/>
    </row>
    <row r="84" spans="1:24" ht="12.75" customHeight="1" x14ac:dyDescent="0.2">
      <c r="A84" s="217" t="s">
        <v>214</v>
      </c>
      <c r="B84" s="217"/>
      <c r="C84" s="218"/>
      <c r="D84" s="218"/>
      <c r="E84" s="218"/>
      <c r="F84" s="218"/>
      <c r="G84" s="218"/>
      <c r="H84" s="218"/>
      <c r="I84" s="218"/>
      <c r="J84" s="218"/>
      <c r="K84" s="218"/>
      <c r="L84" s="218"/>
      <c r="M84" s="218"/>
      <c r="N84" s="218"/>
      <c r="O84" s="218"/>
      <c r="P84" s="218"/>
      <c r="Q84" s="218"/>
      <c r="R84" s="218"/>
      <c r="S84" s="218"/>
      <c r="T84" s="218"/>
      <c r="U84" s="218"/>
      <c r="V84" s="218"/>
      <c r="W84" s="218"/>
      <c r="X84" s="218"/>
    </row>
    <row r="85" spans="1:24" x14ac:dyDescent="0.2">
      <c r="A85" s="217" t="s">
        <v>215</v>
      </c>
      <c r="B85" s="217"/>
      <c r="C85" s="218"/>
      <c r="D85" s="218"/>
      <c r="E85" s="218"/>
      <c r="F85" s="218"/>
      <c r="G85" s="218"/>
      <c r="H85" s="218"/>
      <c r="I85" s="218"/>
      <c r="J85" s="218"/>
      <c r="K85" s="218"/>
      <c r="L85" s="218"/>
      <c r="M85" s="218"/>
      <c r="N85" s="218"/>
      <c r="O85" s="218"/>
      <c r="P85" s="218"/>
      <c r="Q85" s="218"/>
      <c r="R85" s="218"/>
      <c r="S85" s="218"/>
      <c r="T85" s="218"/>
      <c r="U85" s="218"/>
      <c r="V85" s="218"/>
      <c r="W85" s="218"/>
      <c r="X85" s="218"/>
    </row>
    <row r="86" spans="1:24" ht="12.75" customHeight="1" x14ac:dyDescent="0.2">
      <c r="A86" s="228" t="s">
        <v>216</v>
      </c>
      <c r="B86" s="228"/>
      <c r="C86" s="229"/>
      <c r="D86" s="229"/>
      <c r="E86" s="229"/>
      <c r="F86" s="229"/>
      <c r="G86" s="229"/>
      <c r="H86" s="229"/>
      <c r="I86" s="229"/>
      <c r="J86" s="229"/>
      <c r="K86" s="229"/>
      <c r="L86" s="229"/>
      <c r="M86" s="229"/>
      <c r="N86" s="229"/>
      <c r="O86" s="229"/>
      <c r="P86" s="229"/>
      <c r="Q86" s="229"/>
      <c r="R86" s="229"/>
      <c r="S86" s="229"/>
      <c r="T86" s="229"/>
      <c r="U86" s="229"/>
      <c r="V86" s="229"/>
      <c r="W86" s="229"/>
      <c r="X86" s="229"/>
    </row>
    <row r="87" spans="1:24" x14ac:dyDescent="0.2">
      <c r="A87" s="217" t="s">
        <v>217</v>
      </c>
      <c r="B87" s="217"/>
      <c r="C87" s="218"/>
      <c r="D87" s="218"/>
      <c r="E87" s="218"/>
      <c r="F87" s="218"/>
      <c r="G87" s="218"/>
      <c r="H87" s="218"/>
      <c r="I87" s="218"/>
      <c r="J87" s="218"/>
      <c r="K87" s="218"/>
      <c r="L87" s="218"/>
      <c r="M87" s="218"/>
      <c r="N87" s="218"/>
      <c r="O87" s="218"/>
      <c r="P87" s="218"/>
      <c r="Q87" s="218"/>
      <c r="R87" s="218"/>
      <c r="S87" s="218"/>
      <c r="T87" s="218"/>
      <c r="U87" s="218"/>
      <c r="V87" s="218"/>
      <c r="W87" s="218"/>
      <c r="X87" s="218"/>
    </row>
    <row r="88" spans="1:24" x14ac:dyDescent="0.2">
      <c r="A88" s="217" t="s">
        <v>218</v>
      </c>
      <c r="B88" s="217"/>
      <c r="C88" s="218"/>
      <c r="D88" s="218"/>
      <c r="E88" s="218"/>
      <c r="F88" s="218"/>
      <c r="G88" s="218"/>
      <c r="H88" s="218"/>
      <c r="I88" s="218"/>
      <c r="J88" s="218"/>
      <c r="K88" s="218"/>
      <c r="L88" s="218"/>
      <c r="M88" s="218"/>
      <c r="N88" s="218"/>
      <c r="O88" s="218"/>
      <c r="P88" s="218"/>
      <c r="Q88" s="218"/>
      <c r="R88" s="218"/>
      <c r="S88" s="218"/>
      <c r="T88" s="218"/>
      <c r="U88" s="218"/>
      <c r="V88" s="218"/>
      <c r="W88" s="218"/>
      <c r="X88" s="218"/>
    </row>
    <row r="90" spans="1:24" x14ac:dyDescent="0.2">
      <c r="A90" s="251" t="s">
        <v>219</v>
      </c>
      <c r="B90" s="251"/>
      <c r="C90" s="252"/>
      <c r="D90" s="252"/>
      <c r="E90" s="252"/>
      <c r="F90" s="252"/>
      <c r="G90" s="252"/>
      <c r="H90" s="252"/>
      <c r="I90" s="252"/>
      <c r="J90" s="252"/>
      <c r="K90" s="252"/>
      <c r="L90" s="252"/>
      <c r="M90" s="252"/>
      <c r="N90" s="252"/>
      <c r="O90" s="252"/>
      <c r="P90" s="252"/>
      <c r="Q90" s="252"/>
      <c r="R90" s="252"/>
      <c r="S90" s="252"/>
      <c r="T90" s="252"/>
      <c r="U90" s="252"/>
      <c r="V90" s="252"/>
      <c r="W90" s="252"/>
      <c r="X90" s="252"/>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17" t="s">
        <v>220</v>
      </c>
      <c r="B92" s="217"/>
      <c r="C92" s="218"/>
      <c r="D92" s="218"/>
      <c r="E92" s="218"/>
      <c r="F92" s="218"/>
      <c r="G92" s="218"/>
      <c r="H92" s="218"/>
      <c r="I92" s="218"/>
      <c r="J92" s="218"/>
      <c r="K92" s="218"/>
      <c r="L92" s="218"/>
      <c r="M92" s="218"/>
      <c r="N92" s="218"/>
      <c r="O92" s="218"/>
      <c r="P92" s="218"/>
      <c r="Q92" s="218"/>
      <c r="R92" s="218"/>
      <c r="S92" s="218"/>
      <c r="T92" s="218"/>
      <c r="U92" s="218"/>
      <c r="V92" s="218"/>
      <c r="W92" s="218"/>
      <c r="X92" s="218"/>
    </row>
    <row r="93" spans="1:24" ht="12.75" customHeight="1" x14ac:dyDescent="0.2">
      <c r="A93" s="228" t="s">
        <v>221</v>
      </c>
      <c r="B93" s="228"/>
      <c r="C93" s="229"/>
      <c r="D93" s="229"/>
      <c r="E93" s="229"/>
      <c r="F93" s="229"/>
      <c r="G93" s="229"/>
      <c r="H93" s="229"/>
      <c r="I93" s="229"/>
      <c r="J93" s="229"/>
      <c r="K93" s="229"/>
      <c r="L93" s="229"/>
      <c r="M93" s="229"/>
      <c r="N93" s="229"/>
      <c r="O93" s="229"/>
      <c r="P93" s="229"/>
      <c r="Q93" s="229"/>
      <c r="R93" s="229"/>
      <c r="S93" s="229"/>
      <c r="T93" s="229"/>
      <c r="U93" s="229"/>
      <c r="V93" s="229"/>
      <c r="W93" s="229"/>
      <c r="X93" s="229"/>
    </row>
    <row r="94" spans="1:24" ht="12.75" customHeight="1" x14ac:dyDescent="0.2">
      <c r="A94" s="217" t="s">
        <v>222</v>
      </c>
      <c r="B94" s="217"/>
      <c r="C94" s="218"/>
      <c r="D94" s="218"/>
      <c r="E94" s="218"/>
      <c r="F94" s="218"/>
      <c r="G94" s="218"/>
      <c r="H94" s="218"/>
      <c r="I94" s="218"/>
      <c r="J94" s="218"/>
      <c r="K94" s="218"/>
      <c r="L94" s="218"/>
      <c r="M94" s="218"/>
      <c r="N94" s="218"/>
      <c r="O94" s="218"/>
      <c r="P94" s="218"/>
      <c r="Q94" s="218"/>
      <c r="R94" s="218"/>
      <c r="S94" s="218"/>
      <c r="T94" s="218"/>
      <c r="U94" s="218"/>
      <c r="V94" s="218"/>
      <c r="W94" s="218"/>
      <c r="X94" s="218"/>
    </row>
    <row r="95" spans="1:24" x14ac:dyDescent="0.2">
      <c r="A95" s="217" t="s">
        <v>223</v>
      </c>
      <c r="B95" s="217"/>
      <c r="C95" s="218"/>
      <c r="D95" s="218"/>
      <c r="E95" s="218"/>
      <c r="F95" s="218"/>
      <c r="G95" s="218"/>
      <c r="H95" s="218"/>
      <c r="I95" s="218"/>
      <c r="J95" s="218"/>
      <c r="K95" s="218"/>
      <c r="L95" s="218"/>
      <c r="M95" s="218"/>
      <c r="N95" s="218"/>
      <c r="O95" s="218"/>
      <c r="P95" s="218"/>
      <c r="Q95" s="218"/>
      <c r="R95" s="218"/>
      <c r="S95" s="218"/>
      <c r="T95" s="218"/>
      <c r="U95" s="218"/>
      <c r="V95" s="218"/>
      <c r="W95" s="218"/>
      <c r="X95" s="218"/>
    </row>
    <row r="96" spans="1:24" ht="12.75" customHeight="1" x14ac:dyDescent="0.2">
      <c r="A96" s="228"/>
      <c r="B96" s="228"/>
      <c r="C96" s="229"/>
      <c r="D96" s="229"/>
      <c r="E96" s="229"/>
      <c r="F96" s="229"/>
      <c r="G96" s="229"/>
      <c r="H96" s="229"/>
      <c r="I96" s="229"/>
      <c r="J96" s="229"/>
      <c r="K96" s="229"/>
      <c r="L96" s="229"/>
      <c r="M96" s="229"/>
      <c r="N96" s="229"/>
      <c r="O96" s="229"/>
      <c r="P96" s="229"/>
      <c r="Q96" s="229"/>
      <c r="R96" s="229"/>
      <c r="S96" s="229"/>
      <c r="T96" s="229"/>
      <c r="U96" s="229"/>
      <c r="V96" s="229"/>
      <c r="W96" s="229"/>
      <c r="X96" s="229"/>
    </row>
    <row r="97" spans="1:24" x14ac:dyDescent="0.2">
      <c r="A97" s="251" t="s">
        <v>224</v>
      </c>
      <c r="B97" s="251"/>
      <c r="C97" s="252"/>
      <c r="D97" s="252"/>
      <c r="E97" s="252"/>
      <c r="F97" s="252"/>
      <c r="G97" s="252"/>
      <c r="H97" s="252"/>
      <c r="I97" s="252"/>
      <c r="J97" s="252"/>
      <c r="K97" s="252"/>
      <c r="L97" s="252"/>
      <c r="M97" s="252"/>
      <c r="N97" s="252"/>
      <c r="O97" s="252"/>
      <c r="P97" s="252"/>
      <c r="Q97" s="252"/>
      <c r="R97" s="252"/>
      <c r="S97" s="252"/>
      <c r="T97" s="252"/>
      <c r="U97" s="252"/>
      <c r="V97" s="252"/>
      <c r="W97" s="252"/>
      <c r="X97" s="252"/>
    </row>
    <row r="98" spans="1:24" ht="12.75" customHeight="1" x14ac:dyDescent="0.2">
      <c r="A98" s="228"/>
      <c r="B98" s="228"/>
      <c r="C98" s="229"/>
      <c r="D98" s="229"/>
      <c r="E98" s="229"/>
      <c r="F98" s="229"/>
      <c r="G98" s="229"/>
      <c r="H98" s="229"/>
      <c r="I98" s="229"/>
      <c r="J98" s="229"/>
      <c r="K98" s="229"/>
      <c r="L98" s="229"/>
      <c r="M98" s="229"/>
      <c r="N98" s="229"/>
      <c r="O98" s="229"/>
      <c r="P98" s="229"/>
      <c r="Q98" s="229"/>
      <c r="R98" s="229"/>
      <c r="S98" s="229"/>
      <c r="T98" s="229"/>
      <c r="U98" s="229"/>
      <c r="V98" s="229"/>
      <c r="W98" s="229"/>
      <c r="X98" s="229"/>
    </row>
    <row r="99" spans="1:24" ht="12.75" customHeight="1" x14ac:dyDescent="0.2">
      <c r="A99" s="217" t="s">
        <v>225</v>
      </c>
      <c r="B99" s="217"/>
      <c r="C99" s="218"/>
      <c r="D99" s="218"/>
      <c r="E99" s="218"/>
      <c r="F99" s="218"/>
      <c r="G99" s="218"/>
      <c r="H99" s="218"/>
      <c r="I99" s="218"/>
      <c r="J99" s="218"/>
      <c r="K99" s="218"/>
      <c r="L99" s="218"/>
      <c r="M99" s="218"/>
      <c r="N99" s="218"/>
      <c r="O99" s="218"/>
      <c r="P99" s="218"/>
      <c r="Q99" s="218"/>
      <c r="R99" s="218"/>
      <c r="S99" s="218"/>
      <c r="T99" s="218"/>
      <c r="U99" s="218"/>
      <c r="V99" s="218"/>
      <c r="W99" s="218"/>
      <c r="X99" s="218"/>
    </row>
    <row r="100" spans="1:24" ht="12.75" customHeight="1" x14ac:dyDescent="0.2">
      <c r="A100" s="217" t="s">
        <v>226</v>
      </c>
      <c r="B100" s="217"/>
      <c r="C100" s="218"/>
      <c r="D100" s="218"/>
      <c r="E100" s="218"/>
      <c r="F100" s="218"/>
      <c r="G100" s="218"/>
      <c r="H100" s="218"/>
      <c r="I100" s="218"/>
      <c r="J100" s="218"/>
      <c r="K100" s="218"/>
      <c r="L100" s="218"/>
      <c r="M100" s="218"/>
      <c r="N100" s="218"/>
      <c r="O100" s="218"/>
      <c r="P100" s="218"/>
      <c r="Q100" s="218"/>
      <c r="R100" s="218"/>
      <c r="S100" s="218"/>
      <c r="T100" s="218"/>
      <c r="U100" s="218"/>
      <c r="V100" s="218"/>
      <c r="W100" s="218"/>
      <c r="X100" s="218"/>
    </row>
    <row r="101" spans="1:24" x14ac:dyDescent="0.2">
      <c r="A101" s="217" t="s">
        <v>227</v>
      </c>
      <c r="B101" s="217"/>
      <c r="C101" s="218"/>
      <c r="D101" s="218"/>
      <c r="E101" s="218"/>
      <c r="F101" s="218"/>
      <c r="G101" s="218"/>
      <c r="H101" s="218"/>
      <c r="I101" s="218"/>
      <c r="J101" s="218"/>
      <c r="K101" s="218"/>
      <c r="L101" s="218"/>
      <c r="M101" s="218"/>
      <c r="N101" s="218"/>
      <c r="O101" s="218"/>
      <c r="P101" s="218"/>
      <c r="Q101" s="218"/>
      <c r="R101" s="218"/>
      <c r="S101" s="218"/>
      <c r="T101" s="218"/>
      <c r="U101" s="218"/>
      <c r="V101" s="218"/>
      <c r="W101" s="218"/>
      <c r="X101" s="218"/>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6">
        <f ca="1">T38</f>
        <v>0.2147</v>
      </c>
    </row>
    <row r="109" spans="1:24" x14ac:dyDescent="0.2">
      <c r="A109"/>
      <c r="F109"/>
      <c r="G109" s="23"/>
      <c r="H109" s="23"/>
      <c r="L109" s="1" t="s">
        <v>133</v>
      </c>
      <c r="P109" s="23"/>
      <c r="S109" s="176">
        <f ca="1">U38</f>
        <v>0.15</v>
      </c>
    </row>
    <row r="110" spans="1:24" ht="12.75" customHeight="1" x14ac:dyDescent="0.2">
      <c r="A110"/>
      <c r="F110"/>
      <c r="G110" s="23"/>
      <c r="H110" s="23"/>
      <c r="L110" s="1" t="s">
        <v>134</v>
      </c>
      <c r="P110" s="23"/>
      <c r="S110" s="176" t="str">
        <f ca="1">V38</f>
        <v/>
      </c>
    </row>
    <row r="111" spans="1:24" x14ac:dyDescent="0.2">
      <c r="A111"/>
      <c r="F111"/>
      <c r="G111" s="23"/>
      <c r="H111" s="23"/>
      <c r="L111" s="1" t="s">
        <v>135</v>
      </c>
      <c r="P111" s="23"/>
      <c r="S111" s="176" t="str">
        <f ca="1">W38</f>
        <v/>
      </c>
    </row>
    <row r="112" spans="1:24" ht="12.75" customHeight="1" x14ac:dyDescent="0.2">
      <c r="A112"/>
      <c r="F112"/>
      <c r="G112" s="23"/>
      <c r="H112" s="23"/>
      <c r="L112" s="1" t="s">
        <v>136</v>
      </c>
      <c r="P112" s="23"/>
      <c r="S112" s="176"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6" t="str">
        <f>A28</f>
        <v>Nº OPERAÇÃO</v>
      </c>
      <c r="B220" s="208"/>
      <c r="C220" s="206" t="str">
        <f>C28</f>
        <v>GESTOR</v>
      </c>
      <c r="D220" s="207"/>
      <c r="E220" s="208"/>
      <c r="F220" s="206" t="str">
        <f>F28</f>
        <v>PROGRAMA</v>
      </c>
      <c r="G220" s="207"/>
      <c r="H220" s="207"/>
      <c r="I220" s="208"/>
      <c r="J220" s="206" t="str">
        <f>J28</f>
        <v>AÇÃO / MODALIDADE</v>
      </c>
      <c r="K220" s="207"/>
      <c r="L220" s="207"/>
      <c r="M220" s="207"/>
      <c r="N220" s="207"/>
      <c r="O220" s="208"/>
      <c r="P220" s="206" t="str">
        <f>P28</f>
        <v>OBJETO</v>
      </c>
      <c r="Q220" s="207"/>
      <c r="R220" s="207"/>
      <c r="S220" s="207"/>
      <c r="T220" s="207"/>
      <c r="U220" s="207"/>
      <c r="V220" s="207"/>
      <c r="W220" s="207"/>
      <c r="X220" s="208"/>
    </row>
    <row r="221" spans="1:24" ht="12.75" customHeight="1" x14ac:dyDescent="0.2">
      <c r="A221" s="203" t="str">
        <f>IF(A29="","",A29)</f>
        <v/>
      </c>
      <c r="B221" s="205"/>
      <c r="C221" s="203" t="str">
        <f>IF(C29="","",C29)</f>
        <v/>
      </c>
      <c r="D221" s="204"/>
      <c r="E221" s="205"/>
      <c r="F221" s="203" t="str">
        <f>IF(F29="","",F29)</f>
        <v/>
      </c>
      <c r="G221" s="204"/>
      <c r="H221" s="204"/>
      <c r="I221" s="205"/>
      <c r="J221" s="203" t="str">
        <f>IF(J29="","",J29)</f>
        <v>Infraestrutura de pavimentação</v>
      </c>
      <c r="K221" s="204"/>
      <c r="L221" s="204" t="e">
        <f>IF(#REF!="","",#REF!)</f>
        <v>#REF!</v>
      </c>
      <c r="M221" s="204"/>
      <c r="N221" s="204" t="e">
        <f>IF(#REF!="","",#REF!)</f>
        <v>#REF!</v>
      </c>
      <c r="O221" s="205"/>
      <c r="P221" s="203" t="str">
        <f>IF(P29="","",P29)</f>
        <v>Estrada entre comunidade Poméia e Comunidade Caravagio (trecho 02 estaca 0+300 a 2+009)</v>
      </c>
      <c r="Q221" s="204"/>
      <c r="R221" s="204"/>
      <c r="S221" s="204"/>
      <c r="T221" s="204"/>
      <c r="U221" s="204"/>
      <c r="V221" s="204"/>
      <c r="W221" s="204"/>
      <c r="X221" s="205"/>
    </row>
    <row r="222" spans="1:24" ht="6" customHeight="1" x14ac:dyDescent="0.2">
      <c r="A222"/>
      <c r="B222"/>
      <c r="F222"/>
      <c r="G222"/>
      <c r="H222"/>
    </row>
    <row r="223" spans="1:24" x14ac:dyDescent="0.2">
      <c r="A223" s="206" t="str">
        <f>A31</f>
        <v>PROPONENTE / TOMADOR</v>
      </c>
      <c r="B223" s="207"/>
      <c r="C223" s="207"/>
      <c r="D223" s="207"/>
      <c r="E223" s="207"/>
      <c r="F223" s="207"/>
      <c r="G223" s="206" t="str">
        <f>G31</f>
        <v>MUNICÍPIO / UF</v>
      </c>
      <c r="H223" s="207"/>
      <c r="I223" s="207"/>
      <c r="J223" s="208"/>
      <c r="K223" s="206" t="str">
        <f>K31</f>
        <v>LOCALIDADE / ENDEREÇO</v>
      </c>
      <c r="L223" s="207"/>
      <c r="M223" s="207"/>
      <c r="N223" s="207"/>
      <c r="O223" s="207"/>
      <c r="P223" s="208"/>
      <c r="Q223" s="206" t="str">
        <f>Q31</f>
        <v>APELIDO DO EMPREENDIMENTO</v>
      </c>
      <c r="R223" s="207"/>
      <c r="S223" s="207"/>
      <c r="T223" s="207"/>
      <c r="U223" s="207"/>
      <c r="V223" s="207"/>
      <c r="W223" s="207"/>
      <c r="X223" s="208"/>
    </row>
    <row r="224" spans="1:24" ht="12.75" customHeight="1" x14ac:dyDescent="0.2">
      <c r="A224" s="237" t="str">
        <f>IF(A32="","",A32)</f>
        <v>Município de Vista Alegre do Prata</v>
      </c>
      <c r="B224" s="238"/>
      <c r="C224" s="238"/>
      <c r="D224" s="238"/>
      <c r="E224" s="238"/>
      <c r="F224" s="238"/>
      <c r="G224" s="203" t="str">
        <f>IF(G32="","",G32)</f>
        <v>Vista Alegre do Prata/RS</v>
      </c>
      <c r="H224" s="204" t="str">
        <f>IF(I32="","",I32)</f>
        <v/>
      </c>
      <c r="I224" s="204"/>
      <c r="J224" s="205" t="e">
        <f>IF(#REF!="","",#REF!)</f>
        <v>#REF!</v>
      </c>
      <c r="K224" s="203" t="str">
        <f>IF(K32="","",K32)</f>
        <v>Estrada entre comunidade Poméia e Comunidade Caravagio (trecho 02 estaca 0+300 a 2+009)</v>
      </c>
      <c r="L224" s="204"/>
      <c r="M224" s="204"/>
      <c r="N224" s="204"/>
      <c r="O224" s="204"/>
      <c r="P224" s="205"/>
      <c r="Q224" s="203" t="str">
        <f>IF(Q32="","",Q32)</f>
        <v>Estrada entre comunidade Poméia e Comunidade Caravagio (trecho 02 estaca 0+300 a 2+009)</v>
      </c>
      <c r="R224" s="204"/>
      <c r="S224" s="204"/>
      <c r="T224" s="204"/>
      <c r="U224" s="204"/>
      <c r="V224" s="204"/>
      <c r="W224" s="204"/>
      <c r="X224" s="205"/>
    </row>
    <row r="225" spans="1:24" ht="6" customHeight="1" x14ac:dyDescent="0.2">
      <c r="A225"/>
      <c r="B225"/>
      <c r="F225"/>
      <c r="G225"/>
      <c r="H225"/>
    </row>
    <row r="226" spans="1:24" x14ac:dyDescent="0.2">
      <c r="A226" s="206" t="str">
        <f>A37</f>
        <v>DATA BASE</v>
      </c>
      <c r="B226" s="208"/>
      <c r="C226" s="78" t="str">
        <f>C37</f>
        <v>DESON.</v>
      </c>
      <c r="D226" s="206" t="str">
        <f>D37</f>
        <v>LOCALIDADE DO SINAPI</v>
      </c>
      <c r="E226" s="207"/>
      <c r="F226" s="208"/>
      <c r="G226" s="206" t="str">
        <f>G37</f>
        <v>DESCRIÇÃO DO LOTE</v>
      </c>
      <c r="H226" s="207"/>
      <c r="I226" s="207"/>
      <c r="J226" s="207"/>
      <c r="K226" s="207"/>
      <c r="L226" s="207"/>
      <c r="M226" s="207"/>
      <c r="N226" s="207"/>
      <c r="O226" s="207"/>
      <c r="P226" s="207"/>
      <c r="Q226" s="207"/>
      <c r="R226" s="207"/>
      <c r="S226" s="208"/>
      <c r="T226" s="79" t="str">
        <f>T37</f>
        <v>BDI 1</v>
      </c>
      <c r="U226" s="79" t="str">
        <f>U37</f>
        <v>BDI 2</v>
      </c>
      <c r="V226" s="79" t="str">
        <f>V37</f>
        <v>BDI 3</v>
      </c>
      <c r="W226" s="79" t="str">
        <f>W37</f>
        <v>BDI 4</v>
      </c>
      <c r="X226" s="79" t="str">
        <f>X37</f>
        <v>BDI 5</v>
      </c>
    </row>
    <row r="227" spans="1:24" ht="12.75" customHeight="1" x14ac:dyDescent="0.2">
      <c r="A227" s="243">
        <f>IF(A38="","",A38)</f>
        <v>45962</v>
      </c>
      <c r="B227" s="244"/>
      <c r="C227" s="115" t="str">
        <f t="shared" ref="C227:X227" si="0">IF(C38="","",C38)</f>
        <v>Não</v>
      </c>
      <c r="D227" s="230" t="str">
        <f t="shared" si="0"/>
        <v>Porto Alegre / RS</v>
      </c>
      <c r="E227" s="234" t="str">
        <f t="shared" si="0"/>
        <v/>
      </c>
      <c r="F227" s="231" t="str">
        <f t="shared" si="0"/>
        <v/>
      </c>
      <c r="G227" s="230" t="str">
        <f t="shared" si="0"/>
        <v>Estrada entre comunidade Poméia e Comunidade Caravagio (trecho 02 estaca 0+300 a 2+009)</v>
      </c>
      <c r="H227" s="234" t="str">
        <f t="shared" si="0"/>
        <v/>
      </c>
      <c r="I227" s="234" t="str">
        <f t="shared" si="0"/>
        <v/>
      </c>
      <c r="J227" s="234" t="str">
        <f t="shared" si="0"/>
        <v/>
      </c>
      <c r="K227" s="234" t="str">
        <f t="shared" si="0"/>
        <v/>
      </c>
      <c r="L227" s="234" t="str">
        <f t="shared" si="0"/>
        <v/>
      </c>
      <c r="M227" s="234" t="str">
        <f t="shared" si="0"/>
        <v/>
      </c>
      <c r="N227" s="234" t="str">
        <f t="shared" si="0"/>
        <v/>
      </c>
      <c r="O227" s="234" t="str">
        <f t="shared" si="0"/>
        <v/>
      </c>
      <c r="P227" s="234" t="str">
        <f t="shared" si="0"/>
        <v/>
      </c>
      <c r="Q227" s="234" t="str">
        <f t="shared" si="0"/>
        <v/>
      </c>
      <c r="R227" s="234" t="str">
        <f t="shared" si="0"/>
        <v/>
      </c>
      <c r="S227" s="231" t="str">
        <f t="shared" si="0"/>
        <v/>
      </c>
      <c r="T227" s="117">
        <f t="shared" ca="1" si="0"/>
        <v>0.2147</v>
      </c>
      <c r="U227" s="81">
        <f t="shared" ca="1" si="0"/>
        <v>0.15</v>
      </c>
      <c r="V227" s="81" t="str">
        <f t="shared" ca="1" si="0"/>
        <v/>
      </c>
      <c r="W227" s="81" t="str">
        <f t="shared" ca="1" si="0"/>
        <v/>
      </c>
      <c r="X227" s="81" t="str">
        <f t="shared" ca="1" si="0"/>
        <v/>
      </c>
    </row>
    <row r="228" spans="1:24" ht="6" hidden="1" customHeight="1" x14ac:dyDescent="0.2">
      <c r="A228"/>
      <c r="B228"/>
      <c r="F228"/>
      <c r="G228"/>
      <c r="H228"/>
    </row>
    <row r="229" spans="1:24" ht="12.75" hidden="1" customHeight="1" x14ac:dyDescent="0.2">
      <c r="A229" s="206" t="s">
        <v>87</v>
      </c>
      <c r="B229" s="208"/>
      <c r="C229" s="206" t="s">
        <v>163</v>
      </c>
      <c r="D229" s="207"/>
      <c r="E229" s="207"/>
      <c r="F229" s="207"/>
      <c r="G229" s="207"/>
      <c r="H229" s="206" t="s">
        <v>16</v>
      </c>
      <c r="I229" s="207"/>
      <c r="J229" s="20" t="s">
        <v>91</v>
      </c>
      <c r="K229" s="206" t="s">
        <v>88</v>
      </c>
      <c r="L229" s="207"/>
      <c r="M229" s="208"/>
      <c r="N229" s="20" t="s">
        <v>92</v>
      </c>
      <c r="O229" s="206" t="s">
        <v>93</v>
      </c>
      <c r="P229" s="207"/>
      <c r="Q229" s="207"/>
      <c r="R229" s="207"/>
      <c r="S229" s="207"/>
      <c r="T229" s="208"/>
      <c r="U229" s="239" t="s">
        <v>89</v>
      </c>
      <c r="V229" s="240"/>
      <c r="W229" s="239" t="s">
        <v>90</v>
      </c>
      <c r="X229" s="240"/>
    </row>
    <row r="230" spans="1:24" ht="12.75" hidden="1" customHeight="1" x14ac:dyDescent="0.2">
      <c r="A230" s="230" t="str">
        <f>IF(A43="","",A43)</f>
        <v/>
      </c>
      <c r="B230" s="231"/>
      <c r="C230" s="230" t="str">
        <f>IF(C43="","",C43)</f>
        <v/>
      </c>
      <c r="D230" s="234"/>
      <c r="E230" s="234" t="str">
        <f>IF(E43="","",E43)</f>
        <v/>
      </c>
      <c r="F230" s="234"/>
      <c r="G230" s="234" t="str">
        <f>IF(G43="","",G43)</f>
        <v/>
      </c>
      <c r="H230" s="235" t="str">
        <f>IF(H43="","",H43)</f>
        <v/>
      </c>
      <c r="I230" s="236" t="str">
        <f>IF(I43="","",I43)</f>
        <v/>
      </c>
      <c r="J230" s="116" t="str">
        <f>IF(J43="","",J43)</f>
        <v/>
      </c>
      <c r="K230" s="222" t="str">
        <f>IF(K43="","",K43)</f>
        <v/>
      </c>
      <c r="L230" s="224"/>
      <c r="M230" s="225" t="str">
        <f>IF(M43="","",M43)</f>
        <v/>
      </c>
      <c r="N230" s="118" t="str">
        <f>IF(N43="","",N43)</f>
        <v/>
      </c>
      <c r="O230" s="222" t="str">
        <f>IF(O43="","",O43)</f>
        <v/>
      </c>
      <c r="P230" s="223"/>
      <c r="Q230" s="223" t="str">
        <f>IF(Q43="","",Q43)</f>
        <v/>
      </c>
      <c r="R230" s="224"/>
      <c r="S230" s="224" t="str">
        <f>IF(S43="","",S43)</f>
        <v/>
      </c>
      <c r="T230" s="225"/>
      <c r="U230" s="232" t="str">
        <f>IF(U43="","",U43)</f>
        <v/>
      </c>
      <c r="V230" s="233"/>
      <c r="W230" s="226" t="str">
        <f>IF(W43="","",W43)</f>
        <v/>
      </c>
      <c r="X230" s="227"/>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password="C95B"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192" priority="42" stopIfTrue="1">
      <formula>$B54&lt;&gt;""</formula>
    </cfRule>
  </conditionalFormatting>
  <conditionalFormatting sqref="A48 H54:K54 H55:H56 H57:K57 A29:C29 J29 F29 A32 P29 G32 K32">
    <cfRule type="expression" dxfId="191" priority="48" stopIfTrue="1">
      <formula>A29&lt;&gt;""</formula>
    </cfRule>
  </conditionalFormatting>
  <conditionalFormatting sqref="G53:K54 G55:H56 G57:K57">
    <cfRule type="expression" dxfId="190" priority="43" stopIfTrue="1">
      <formula>$K$52&lt;&gt;"SIM"</formula>
    </cfRule>
  </conditionalFormatting>
  <conditionalFormatting sqref="A40:X43">
    <cfRule type="expression" dxfId="189" priority="56" stopIfTrue="1">
      <formula>OR(TipoOrçamento="BASE",TipoOrçamento="REPROGRAMADONPL")</formula>
    </cfRule>
    <cfRule type="expression" dxfId="188" priority="57" stopIfTrue="1">
      <formula>A40&lt;&gt;""</formula>
    </cfRule>
  </conditionalFormatting>
  <conditionalFormatting sqref="A35:X38">
    <cfRule type="expression" dxfId="187" priority="58" stopIfTrue="1">
      <formula>OR(TipoOrçamento="LICITADO",TipoOrçamento="REPROGRAMADOAC")</formula>
    </cfRule>
    <cfRule type="expression" dxfId="186" priority="59" stopIfTrue="1">
      <formula>A35&lt;&gt;""</formula>
    </cfRule>
  </conditionalFormatting>
  <conditionalFormatting sqref="Q32">
    <cfRule type="expression" dxfId="185"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202" r:id="rId4" name="OptionPLQ-ON">
              <controlPr defaultSize="0" print="0" autoFill="0" autoLine="0" autoPict="0" macro="[0]!ShowPLQ" altText="Parcela 1">
                <anchor moveWithCells="1">
                  <from>
                    <xdr:col>0</xdr:col>
                    <xdr:colOff>438150</xdr:colOff>
                    <xdr:row>18</xdr:row>
                    <xdr:rowOff>95250</xdr:rowOff>
                  </from>
                  <to>
                    <xdr:col>5</xdr:col>
                    <xdr:colOff>257175</xdr:colOff>
                    <xdr:row>20</xdr:row>
                    <xdr:rowOff>57150</xdr:rowOff>
                  </to>
                </anchor>
              </controlPr>
            </control>
          </mc:Choice>
        </mc:AlternateContent>
        <mc:AlternateContent xmlns:mc="http://schemas.openxmlformats.org/markup-compatibility/2006">
          <mc:Choice Requires="x14">
            <control shapeId="34203" r:id="rId5" name="OptionPLQ-OFF">
              <controlPr defaultSize="0" print="0" autoFill="0" autoLine="0" autoPict="0" macro="[0]!HidePLQ" altText="Parcela 1">
                <anchor moveWithCells="1">
                  <from>
                    <xdr:col>5</xdr:col>
                    <xdr:colOff>257175</xdr:colOff>
                    <xdr:row>18</xdr:row>
                    <xdr:rowOff>95250</xdr:rowOff>
                  </from>
                  <to>
                    <xdr:col>11</xdr:col>
                    <xdr:colOff>171450</xdr:colOff>
                    <xdr:row>20</xdr:row>
                    <xdr:rowOff>57150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1" zoomScaleSheetLayoutView="100" zoomScalePageLayoutView="70" workbookViewId="0">
      <selection activeCell="I8" sqref="I8:R8"/>
    </sheetView>
  </sheetViews>
  <sheetFormatPr defaultColWidth="0" defaultRowHeight="12.75" zeroHeight="1" x14ac:dyDescent="0.2"/>
  <cols>
    <col min="1" max="1" width="30.28515625" style="42" hidden="1" customWidth="1"/>
    <col min="2" max="3" width="9.140625" style="42" hidden="1" customWidth="1"/>
    <col min="4" max="4" width="23.710937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710937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6" t="s">
        <v>150</v>
      </c>
      <c r="J4" s="208"/>
      <c r="K4" s="206" t="s">
        <v>173</v>
      </c>
      <c r="L4" s="207"/>
      <c r="M4" s="207"/>
      <c r="N4" s="207"/>
      <c r="O4" s="207"/>
      <c r="P4" s="207"/>
      <c r="Q4" s="207"/>
      <c r="R4" s="208"/>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91">
        <f>DADOS!A29</f>
        <v>0</v>
      </c>
      <c r="J5" s="292"/>
      <c r="K5" s="293" t="str">
        <f>DADOS!A32</f>
        <v>Município de Vista Alegre do Prata</v>
      </c>
      <c r="L5" s="294"/>
      <c r="M5" s="294"/>
      <c r="N5" s="294"/>
      <c r="O5" s="294"/>
      <c r="P5" s="294"/>
      <c r="Q5" s="294"/>
      <c r="R5" s="292"/>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7" customHeight="1" x14ac:dyDescent="0.2">
      <c r="A7" s="42" t="str">
        <f>A6</f>
        <v>Construção e Reforma de Edifícios</v>
      </c>
      <c r="B7" s="49" t="s">
        <v>33</v>
      </c>
      <c r="C7" s="42" t="str">
        <f t="shared" si="0"/>
        <v>Construção e Reforma de Edifícios-BDI PAD</v>
      </c>
      <c r="E7" s="45">
        <v>0.2034</v>
      </c>
      <c r="F7" s="45">
        <v>0.22120000000000001</v>
      </c>
      <c r="G7" s="45">
        <v>0.25</v>
      </c>
      <c r="I7" s="206" t="s">
        <v>0</v>
      </c>
      <c r="J7" s="207"/>
      <c r="K7" s="207"/>
      <c r="L7" s="207"/>
      <c r="M7" s="207"/>
      <c r="N7" s="207"/>
      <c r="O7" s="207"/>
      <c r="P7" s="207"/>
      <c r="Q7" s="207"/>
      <c r="R7" s="208"/>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5" t="str">
        <f>DADOS!P29</f>
        <v>Estrada entre comunidade Poméia e Comunidade Caravagio (trecho 02 estaca 0+300 a 2+009)</v>
      </c>
      <c r="J8" s="295"/>
      <c r="K8" s="295"/>
      <c r="L8" s="295"/>
      <c r="M8" s="295"/>
      <c r="N8" s="295"/>
      <c r="O8" s="295"/>
      <c r="P8" s="295"/>
      <c r="Q8" s="295"/>
      <c r="R8" s="295"/>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6" t="s">
        <v>35</v>
      </c>
      <c r="J10" s="207"/>
      <c r="K10" s="207"/>
      <c r="L10" s="207"/>
      <c r="M10" s="207"/>
      <c r="N10" s="207"/>
      <c r="O10" s="207"/>
      <c r="P10" s="207"/>
      <c r="Q10" s="206" t="s">
        <v>13</v>
      </c>
      <c r="R10" s="208"/>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6" t="s">
        <v>34</v>
      </c>
      <c r="J11" s="287"/>
      <c r="K11" s="287"/>
      <c r="L11" s="287"/>
      <c r="M11" s="287"/>
      <c r="N11" s="287"/>
      <c r="O11" s="287"/>
      <c r="P11" s="288"/>
      <c r="Q11" s="289" t="str">
        <f>DADOS!$C$38</f>
        <v>Não</v>
      </c>
      <c r="R11" s="290"/>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4" t="s">
        <v>36</v>
      </c>
      <c r="J13" s="284"/>
      <c r="K13" s="284"/>
      <c r="L13" s="284"/>
      <c r="M13" s="284"/>
      <c r="N13" s="284"/>
      <c r="O13" s="284"/>
      <c r="P13" s="284"/>
      <c r="Q13" s="281">
        <v>1</v>
      </c>
      <c r="R13" s="281"/>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82" t="s">
        <v>38</v>
      </c>
      <c r="J14" s="282"/>
      <c r="K14" s="282"/>
      <c r="L14" s="282"/>
      <c r="M14" s="282"/>
      <c r="N14" s="282"/>
      <c r="O14" s="282"/>
      <c r="P14" s="282"/>
      <c r="Q14" s="281">
        <v>0.03</v>
      </c>
      <c r="R14" s="281"/>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3" t="s">
        <v>39</v>
      </c>
      <c r="J16" s="283"/>
      <c r="K16" s="283"/>
      <c r="L16" s="283"/>
      <c r="M16" s="283" t="s">
        <v>40</v>
      </c>
      <c r="N16" s="285" t="s">
        <v>41</v>
      </c>
      <c r="O16" s="285" t="s">
        <v>42</v>
      </c>
      <c r="P16" s="283" t="s">
        <v>43</v>
      </c>
      <c r="Q16" s="283" t="s">
        <v>44</v>
      </c>
      <c r="R16" s="300" t="s">
        <v>45</v>
      </c>
      <c r="T16" s="296" t="str">
        <f>IF(V27,"Para BDI fora do intervalo estatístico, deve ser apresentado Relatório Técnico Circunstanciado justificando a adoção do percentual de cada parcela do BDI.","")</f>
        <v/>
      </c>
      <c r="U16" s="296"/>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3"/>
      <c r="J17" s="283"/>
      <c r="K17" s="283"/>
      <c r="L17" s="283"/>
      <c r="M17" s="283"/>
      <c r="N17" s="285"/>
      <c r="O17" s="285"/>
      <c r="P17" s="283"/>
      <c r="Q17" s="283"/>
      <c r="R17" s="300"/>
      <c r="T17" s="296"/>
      <c r="U17" s="296"/>
      <c r="V17" s="93"/>
      <c r="W17" s="93"/>
      <c r="X17" s="93"/>
      <c r="Y17" s="93"/>
      <c r="Z17" s="93"/>
      <c r="AA17" s="93"/>
      <c r="AB17" s="93"/>
      <c r="AC17" s="93"/>
    </row>
    <row r="18" spans="1:31" ht="26.4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8" t="str">
        <f>IF($I$11=$A$59,"Encargos Sociais incidentes sobre a mão de obra","Administração Central")</f>
        <v>Administração Central</v>
      </c>
      <c r="J18" s="298"/>
      <c r="K18" s="298"/>
      <c r="L18" s="298"/>
      <c r="M18" s="50" t="str">
        <f>IF($I$11=$A$59,"K1","AC")</f>
        <v>AC</v>
      </c>
      <c r="N18" s="51">
        <v>3.7999999999999999E-2</v>
      </c>
      <c r="O18" s="52" t="s">
        <v>46</v>
      </c>
      <c r="P18" s="53">
        <f>VLOOKUP(CONCATENATE(I$11,"-",M18),$C$2:$G$49,3,FALSE)</f>
        <v>3.7999999999999999E-2</v>
      </c>
      <c r="Q18" s="53">
        <f>VLOOKUP(CONCATENATE(I$11,"-",M18),$C$2:$G$49,4,FALSE)</f>
        <v>4.0099999999999997E-2</v>
      </c>
      <c r="R18" s="53">
        <f>VLOOKUP(CONCATENATE(I$11,"-",M18),$C$2:$G$49,5,FALSE)</f>
        <v>4.6699999999999998E-2</v>
      </c>
      <c r="T18" s="296"/>
      <c r="U18" s="296"/>
      <c r="V18" s="93"/>
      <c r="W18" s="93"/>
      <c r="X18" s="93"/>
      <c r="Y18" s="93"/>
      <c r="Z18" s="93"/>
      <c r="AA18" s="93"/>
      <c r="AB18" s="93"/>
      <c r="AC18" s="93"/>
    </row>
    <row r="19" spans="1:31" ht="26.4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8" t="str">
        <f>IF($I$11=$A$59,"Administração Central da empresa ou consultoria - overhead","Seguro e Garantia")</f>
        <v>Seguro e Garantia</v>
      </c>
      <c r="J19" s="298"/>
      <c r="K19" s="298"/>
      <c r="L19" s="298"/>
      <c r="M19" s="50" t="str">
        <f>IF($I$11=$A$59,"K2","SG")</f>
        <v>SG</v>
      </c>
      <c r="N19" s="51">
        <v>3.5000000000000001E-3</v>
      </c>
      <c r="O19" s="52" t="s">
        <v>46</v>
      </c>
      <c r="P19" s="53">
        <f>VLOOKUP(CONCATENATE(I$11,"-",M19),$C$2:$G$49,3,FALSE)</f>
        <v>3.2000000000000002E-3</v>
      </c>
      <c r="Q19" s="53">
        <f>VLOOKUP(CONCATENATE(I$11,"-",M19),$C$2:$G$49,4,FALSE)</f>
        <v>4.0000000000000001E-3</v>
      </c>
      <c r="R19" s="53">
        <f>VLOOKUP(CONCATENATE(I$11,"-",M19),$C$2:$G$49,5,FALSE)</f>
        <v>7.4000000000000003E-3</v>
      </c>
      <c r="T19" s="296"/>
      <c r="U19" s="296"/>
      <c r="V19" s="93"/>
      <c r="W19" s="93"/>
      <c r="X19" s="93"/>
      <c r="Y19" s="93"/>
      <c r="Z19" s="93"/>
      <c r="AA19" s="93"/>
      <c r="AB19" s="93"/>
      <c r="AC19" s="93"/>
    </row>
    <row r="20" spans="1:31" ht="26.4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8" t="str">
        <f>IF($I$11=$A$59,"","Risco")</f>
        <v>Risco</v>
      </c>
      <c r="J20" s="298"/>
      <c r="K20" s="298"/>
      <c r="L20" s="298"/>
      <c r="M20" s="50" t="str">
        <f>IF($I$11=$A$59,"","R")</f>
        <v>R</v>
      </c>
      <c r="N20" s="51">
        <v>5.8999999999999999E-3</v>
      </c>
      <c r="O20" s="52" t="s">
        <v>46</v>
      </c>
      <c r="P20" s="53">
        <f>VLOOKUP(CONCATENATE(I$11,"-",M20),$C$2:$G$49,3,FALSE)</f>
        <v>5.0000000000000001E-3</v>
      </c>
      <c r="Q20" s="53">
        <f>VLOOKUP(CONCATENATE(I$11,"-",M20),$C$2:$G$49,4,FALSE)</f>
        <v>5.6000000000000008E-3</v>
      </c>
      <c r="R20" s="53">
        <f>VLOOKUP(CONCATENATE(I$11,"-",M20),$C$2:$G$49,5,FALSE)</f>
        <v>9.7000000000000003E-3</v>
      </c>
      <c r="T20" s="296"/>
      <c r="U20" s="296"/>
      <c r="V20" s="93"/>
      <c r="W20" s="93"/>
      <c r="X20" s="93"/>
      <c r="Y20" s="93"/>
      <c r="Z20" s="93"/>
      <c r="AA20" s="93"/>
      <c r="AB20" s="93"/>
      <c r="AC20" s="93"/>
    </row>
    <row r="21" spans="1:31" ht="26.4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8" t="str">
        <f>IF($I$11=$A$59,"","Despesas Financeiras")</f>
        <v>Despesas Financeiras</v>
      </c>
      <c r="J21" s="298"/>
      <c r="K21" s="298"/>
      <c r="L21" s="298"/>
      <c r="M21" s="50" t="str">
        <f>IF($I$11=$A$59,"","DF")</f>
        <v>DF</v>
      </c>
      <c r="N21" s="51">
        <v>1.0200000000000001E-2</v>
      </c>
      <c r="O21" s="52" t="s">
        <v>46</v>
      </c>
      <c r="P21" s="53">
        <f>VLOOKUP(CONCATENATE(I$11,"-",M21),$C$2:$G$49,3,FALSE)</f>
        <v>1.0200000000000001E-2</v>
      </c>
      <c r="Q21" s="53">
        <f>VLOOKUP(CONCATENATE(I$11,"-",M21),$C$2:$G$49,4,FALSE)</f>
        <v>1.11E-2</v>
      </c>
      <c r="R21" s="53">
        <f>VLOOKUP(CONCATENATE(I$11,"-",M21),$C$2:$G$49,5,FALSE)</f>
        <v>1.21E-2</v>
      </c>
      <c r="T21" s="296"/>
      <c r="U21" s="296"/>
    </row>
    <row r="22" spans="1:31" ht="26.4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8" t="str">
        <f>IF($I$11=$A$59,"Margem bruta da empresa de consultoria","Lucro")</f>
        <v>Lucro</v>
      </c>
      <c r="J22" s="298"/>
      <c r="K22" s="298"/>
      <c r="L22" s="298"/>
      <c r="M22" s="50" t="str">
        <f>IF($I$11=$A$59,"K3","L")</f>
        <v>L</v>
      </c>
      <c r="N22" s="51">
        <v>7.17E-2</v>
      </c>
      <c r="O22" s="52" t="s">
        <v>46</v>
      </c>
      <c r="P22" s="53">
        <f>VLOOKUP(CONCATENATE(I$11,"-",M22),$C$2:$G$49,3,FALSE)</f>
        <v>6.6400000000000001E-2</v>
      </c>
      <c r="Q22" s="53">
        <f>VLOOKUP(CONCATENATE(I$11,"-",M22),$C$2:$G$49,4,FALSE)</f>
        <v>7.2999999999999995E-2</v>
      </c>
      <c r="R22" s="53">
        <f>VLOOKUP(CONCATENATE(I$11,"-",M22),$C$2:$G$49,5,FALSE)</f>
        <v>8.6899999999999991E-2</v>
      </c>
      <c r="T22" s="296"/>
      <c r="U22" s="296"/>
    </row>
    <row r="23" spans="1:31" ht="26.4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9" t="s">
        <v>48</v>
      </c>
      <c r="J23" s="299"/>
      <c r="K23" s="299"/>
      <c r="L23" s="299"/>
      <c r="M23" s="50" t="s">
        <v>49</v>
      </c>
      <c r="N23" s="51">
        <v>3.6499999999999998E-2</v>
      </c>
      <c r="O23" s="52" t="s">
        <v>46</v>
      </c>
      <c r="P23" s="53">
        <v>3.6499999999999998E-2</v>
      </c>
      <c r="Q23" s="53">
        <v>3.6499999999999998E-2</v>
      </c>
      <c r="R23" s="53">
        <v>3.6499999999999998E-2</v>
      </c>
      <c r="T23" s="296"/>
      <c r="U23" s="296"/>
    </row>
    <row r="24" spans="1:31" ht="26.4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8" t="s">
        <v>50</v>
      </c>
      <c r="J24" s="298"/>
      <c r="K24" s="298"/>
      <c r="L24" s="298"/>
      <c r="M24" s="50" t="s">
        <v>51</v>
      </c>
      <c r="N24" s="53">
        <f>IF($I$11&lt;&gt;$A$58,Q14*Q13,0)</f>
        <v>0.03</v>
      </c>
      <c r="O24" s="52" t="s">
        <v>46</v>
      </c>
      <c r="P24" s="53">
        <v>0</v>
      </c>
      <c r="Q24" s="53">
        <v>2.5000000000000001E-2</v>
      </c>
      <c r="R24" s="53">
        <v>0.05</v>
      </c>
      <c r="T24" s="296"/>
      <c r="U24" s="296"/>
    </row>
    <row r="25" spans="1:31" ht="26.4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8" t="s">
        <v>116</v>
      </c>
      <c r="J25" s="298"/>
      <c r="K25" s="298"/>
      <c r="L25" s="298"/>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8" t="s">
        <v>53</v>
      </c>
      <c r="J26" s="298"/>
      <c r="K26" s="298"/>
      <c r="L26" s="298"/>
      <c r="M26" s="55" t="s">
        <v>33</v>
      </c>
      <c r="N26" s="53">
        <f>IF($I$11=$A$58,0,ROUND((((1+N18+N19+N20)*(1+N21)*(1+N22)/(1-(N23+N24)))-1),4))</f>
        <v>0.2147</v>
      </c>
      <c r="O26" s="91" t="str">
        <f>IF(OR($I$11=$A$59,$I$11=$A$58,AND(N26&gt;=P26, N26&lt;=R26)), "OK", "FORA DO INTERVALO")</f>
        <v>OK</v>
      </c>
      <c r="P26" s="53">
        <f>IF($I$11=$A$58,0,VLOOKUP(CONCATENATE($I$11,"-",$M26),$C$2:$G$49,3,FALSE))</f>
        <v>0.19600000000000001</v>
      </c>
      <c r="Q26" s="53">
        <f>IF($I$11=$A$58,0,VLOOKUP(CONCATENATE($I$11,"-",$M26),$C$2:$G$49,4,FALSE))</f>
        <v>0.2097</v>
      </c>
      <c r="R26" s="53">
        <f>IF($I$11=$A$58,0,VLOOKUP(CONCATENATE($I$11,"-",$M26),$C$2:$G$49,5,FALSE))</f>
        <v>0.24230000000000002</v>
      </c>
      <c r="T26" s="92"/>
      <c r="V26" s="93"/>
      <c r="W26" s="93"/>
      <c r="X26" s="93"/>
      <c r="Y26" s="93"/>
      <c r="Z26" s="93"/>
      <c r="AA26" s="93"/>
      <c r="AB26" s="93"/>
      <c r="AC26" s="93"/>
      <c r="AD26" s="93"/>
      <c r="AE26" s="93"/>
    </row>
    <row r="27" spans="1:31" ht="30.2" customHeight="1" x14ac:dyDescent="0.25">
      <c r="A27" s="42" t="s">
        <v>54</v>
      </c>
      <c r="B27" s="44" t="s">
        <v>29</v>
      </c>
      <c r="C27" s="42" t="str">
        <f t="shared" si="0"/>
        <v>Obras Portuárias, Marítimas e Fluviais-AC</v>
      </c>
      <c r="E27" s="45">
        <v>0.04</v>
      </c>
      <c r="F27" s="45">
        <v>5.5199999999999999E-2</v>
      </c>
      <c r="G27" s="45">
        <v>7.85E-2</v>
      </c>
      <c r="I27" s="309" t="s">
        <v>55</v>
      </c>
      <c r="J27" s="309"/>
      <c r="K27" s="309"/>
      <c r="L27" s="309"/>
      <c r="M27" s="56" t="s">
        <v>56</v>
      </c>
      <c r="N27" s="57">
        <f>IF($I$11=$A$58,0,ROUND((((1+N18+N19+N20)*(1+N21)*(1+N22)/(1-(N23+N24+N25)))-1),4))</f>
        <v>0.2147</v>
      </c>
      <c r="O27" s="95" t="str">
        <f>IF(Q11&lt;&gt;"Sim","",O26)</f>
        <v/>
      </c>
      <c r="P27" s="310"/>
      <c r="Q27" s="310"/>
      <c r="R27" s="310"/>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8" t="s">
        <v>117</v>
      </c>
      <c r="K29" s="308"/>
      <c r="L29" s="308"/>
      <c r="M29" s="308"/>
      <c r="N29" s="308"/>
      <c r="O29" s="308"/>
      <c r="P29" s="308"/>
      <c r="Q29" s="308"/>
      <c r="R29" s="308"/>
      <c r="V29" s="96" t="b">
        <v>0</v>
      </c>
      <c r="W29" s="42" t="s">
        <v>119</v>
      </c>
    </row>
    <row r="30" spans="1:31" ht="7.5" customHeight="1" x14ac:dyDescent="0.2">
      <c r="B30" s="44"/>
      <c r="E30" s="45"/>
      <c r="F30" s="45"/>
      <c r="G30" s="45"/>
      <c r="V30" s="96"/>
    </row>
    <row r="31" spans="1:31" ht="18.75" customHeight="1" x14ac:dyDescent="0.2">
      <c r="B31" s="44"/>
      <c r="E31" s="45"/>
      <c r="F31" s="45"/>
      <c r="G31" s="45"/>
      <c r="I31" s="311" t="s">
        <v>61</v>
      </c>
      <c r="J31" s="311"/>
      <c r="K31" s="311"/>
      <c r="L31" s="311"/>
      <c r="M31" s="311"/>
      <c r="N31" s="311"/>
      <c r="O31" s="311"/>
      <c r="P31" s="311"/>
      <c r="Q31" s="311"/>
      <c r="R31" s="311"/>
    </row>
    <row r="32" spans="1:31" ht="30.2"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6" t="str">
        <f>IF(Q11="Sim","BDI.DES =","BDI.PAD =")</f>
        <v>BDI.PAD =</v>
      </c>
      <c r="M32" s="304" t="str">
        <f>IF($I$11=$A$59,"(1+K1+K2)*(1+K3)","(1+AC + S + R + G)*(1 + DF)*(1+L)")</f>
        <v>(1+AC + S + R + G)*(1 + DF)*(1+L)</v>
      </c>
      <c r="N32" s="304"/>
      <c r="O32" s="304"/>
      <c r="P32" s="302"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6"/>
      <c r="M33" s="305" t="str">
        <f>IF(Q11="Sim","(1-CP-ISS-CRPB)","(1-CP-ISS)")</f>
        <v>(1-CP-ISS)</v>
      </c>
      <c r="N33" s="305"/>
      <c r="O33" s="305"/>
      <c r="P33" s="303"/>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301"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100%, com a respectiva alíquota de 3%.</v>
      </c>
      <c r="J35" s="301"/>
      <c r="K35" s="301"/>
      <c r="L35" s="301"/>
      <c r="M35" s="301"/>
      <c r="N35" s="301"/>
      <c r="O35" s="301"/>
      <c r="P35" s="301"/>
      <c r="Q35" s="301"/>
      <c r="R35" s="301"/>
    </row>
    <row r="36" spans="1:18" ht="11.25" customHeight="1" x14ac:dyDescent="0.2">
      <c r="B36" s="49"/>
      <c r="E36" s="45"/>
      <c r="F36" s="45"/>
      <c r="G36" s="45"/>
    </row>
    <row r="37" spans="1:18" ht="52.5" customHeight="1" x14ac:dyDescent="0.2">
      <c r="B37" s="49"/>
      <c r="E37" s="45"/>
      <c r="F37" s="45"/>
      <c r="G37" s="45"/>
      <c r="I37" s="301"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01"/>
      <c r="K37" s="301"/>
      <c r="L37" s="301"/>
      <c r="M37" s="301"/>
      <c r="N37" s="301"/>
      <c r="O37" s="301"/>
      <c r="P37" s="301"/>
      <c r="Q37" s="301"/>
      <c r="R37" s="301"/>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3"/>
      <c r="J40" s="314"/>
      <c r="K40" s="314"/>
      <c r="L40" s="314"/>
      <c r="M40" s="314"/>
      <c r="N40" s="314"/>
      <c r="O40" s="314"/>
      <c r="P40" s="314"/>
      <c r="Q40" s="314"/>
      <c r="R40" s="315"/>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7" t="str">
        <f>PO!K51</f>
        <v>Vista Alegre do Prata/RS</v>
      </c>
      <c r="J42" s="297"/>
      <c r="K42" s="297"/>
      <c r="L42" s="297"/>
      <c r="O42" s="312">
        <f ca="1">PO!K54</f>
        <v>46199</v>
      </c>
      <c r="P42" s="312"/>
      <c r="Q42" s="312"/>
      <c r="R42" s="312"/>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80" t="s">
        <v>120</v>
      </c>
      <c r="J43" s="280"/>
      <c r="K43" s="280"/>
      <c r="L43" s="280"/>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2"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9"/>
      <c r="J45" s="279"/>
      <c r="K45" s="279"/>
      <c r="L45" s="279"/>
      <c r="M45" s="59"/>
      <c r="N45" s="59"/>
      <c r="O45" s="279"/>
      <c r="P45" s="279"/>
      <c r="Q45" s="279"/>
      <c r="R45" s="279"/>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6" t="s">
        <v>57</v>
      </c>
      <c r="J46" s="316"/>
      <c r="K46" s="316"/>
      <c r="L46" s="316"/>
      <c r="O46" s="316" t="s">
        <v>58</v>
      </c>
      <c r="P46" s="316"/>
      <c r="Q46" s="316"/>
      <c r="R46" s="316"/>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7" t="str">
        <f>DADOS!B54</f>
        <v>Eng. Kleber A. L. Colla</v>
      </c>
      <c r="K47" s="307"/>
      <c r="L47" s="307"/>
      <c r="M47" s="59"/>
      <c r="N47" s="59"/>
      <c r="O47" s="21" t="s">
        <v>140</v>
      </c>
      <c r="P47" s="278" t="s">
        <v>237</v>
      </c>
      <c r="Q47" s="278"/>
      <c r="R47" s="278"/>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7" t="str">
        <f>DADOS!B55</f>
        <v>Engenheiro Civil</v>
      </c>
      <c r="K48" s="307"/>
      <c r="L48" s="307"/>
      <c r="M48" s="59"/>
      <c r="N48" s="59"/>
      <c r="O48" s="21" t="s">
        <v>60</v>
      </c>
      <c r="P48" s="278" t="s">
        <v>238</v>
      </c>
      <c r="Q48" s="278"/>
      <c r="R48" s="278"/>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CREA/CAU:</v>
      </c>
      <c r="J49" s="307" t="str">
        <f>DADOS!B56</f>
        <v>CREA RS243889</v>
      </c>
      <c r="K49" s="307"/>
      <c r="L49" s="307"/>
      <c r="M49" s="59"/>
      <c r="N49" s="59"/>
      <c r="O49" s="59"/>
      <c r="P49" s="59"/>
      <c r="Q49" s="59"/>
      <c r="R49" s="59"/>
    </row>
    <row r="50" spans="1:18" x14ac:dyDescent="0.2">
      <c r="I50" s="21" t="str">
        <f>DADOS!A57</f>
        <v>ART/RRT:</v>
      </c>
      <c r="J50" s="307" t="str">
        <f>DADOS!B57</f>
        <v>12339862</v>
      </c>
      <c r="K50" s="307"/>
      <c r="L50" s="307"/>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184" priority="6" stopIfTrue="1">
      <formula>$O$42=""</formula>
    </cfRule>
  </conditionalFormatting>
  <conditionalFormatting sqref="O18:O27">
    <cfRule type="expression" dxfId="183" priority="11" stopIfTrue="1">
      <formula>AND(O18&lt;&gt;"OK",O18&lt;&gt;"-",O18&lt;&gt;"")</formula>
    </cfRule>
    <cfRule type="cellIs" dxfId="182" priority="12" stopIfTrue="1" operator="equal">
      <formula>"OK"</formula>
    </cfRule>
  </conditionalFormatting>
  <conditionalFormatting sqref="I26:N26">
    <cfRule type="expression" dxfId="181" priority="10" stopIfTrue="1">
      <formula>$Q$11="Não"</formula>
    </cfRule>
  </conditionalFormatting>
  <conditionalFormatting sqref="I27:N27">
    <cfRule type="expression" dxfId="180" priority="9" stopIfTrue="1">
      <formula>$Q$11="sim"</formula>
    </cfRule>
  </conditionalFormatting>
  <conditionalFormatting sqref="P27:R27">
    <cfRule type="expression" dxfId="179" priority="8" stopIfTrue="1">
      <formula>$Q$11="sim"</formula>
    </cfRule>
  </conditionalFormatting>
  <conditionalFormatting sqref="P47:R48">
    <cfRule type="expression" dxfId="178" priority="7" stopIfTrue="1">
      <formula>P47=""</formula>
    </cfRule>
  </conditionalFormatting>
  <conditionalFormatting sqref="I29:R29">
    <cfRule type="expression" dxfId="177" priority="3" stopIfTrue="1">
      <formula>AND(NOT($V$27),NOT($V$29))</formula>
    </cfRule>
  </conditionalFormatting>
  <conditionalFormatting sqref="P18:R26">
    <cfRule type="expression" dxfId="176"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51241-C5C8-44A4-851E-6D1A6D0189FC}">
  <sheetPr codeName="Plan5">
    <tabColor rgb="FFFFFF00"/>
    <pageSetUpPr fitToPage="1"/>
  </sheetPr>
  <dimension ref="A1:AE60"/>
  <sheetViews>
    <sheetView showGridLines="0" topLeftCell="I13" zoomScaleSheetLayoutView="100" zoomScalePageLayoutView="70" workbookViewId="0">
      <selection activeCell="N23" sqref="N23"/>
    </sheetView>
  </sheetViews>
  <sheetFormatPr defaultColWidth="0" defaultRowHeight="13.15" customHeight="1" zeroHeight="1" x14ac:dyDescent="0.2"/>
  <cols>
    <col min="1" max="1" width="30.28515625" style="42" hidden="1" customWidth="1"/>
    <col min="2" max="3" width="9.140625" style="42" hidden="1" customWidth="1"/>
    <col min="4" max="4" width="23.710937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710937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ht="12.75" x14ac:dyDescent="0.2">
      <c r="A2" s="42" t="s">
        <v>28</v>
      </c>
      <c r="B2" s="44" t="s">
        <v>29</v>
      </c>
      <c r="C2" s="42" t="str">
        <f t="shared" ref="C2:C49" si="0">CONCATENATE(A2,"-",B2)</f>
        <v>Construção e Reforma de Edifícios-AC</v>
      </c>
      <c r="E2" s="45">
        <v>0.03</v>
      </c>
      <c r="F2" s="45">
        <v>0.04</v>
      </c>
      <c r="G2" s="45">
        <v>5.5E-2</v>
      </c>
      <c r="Q2"/>
      <c r="R2"/>
    </row>
    <row r="3" spans="1:29" ht="12.75" x14ac:dyDescent="0.2">
      <c r="A3" s="42" t="str">
        <f>A2</f>
        <v>Construção e Reforma de Edifícios</v>
      </c>
      <c r="B3" s="44" t="s">
        <v>30</v>
      </c>
      <c r="C3" s="42" t="str">
        <f t="shared" si="0"/>
        <v>Construção e Reforma de Edifícios-SG</v>
      </c>
      <c r="E3" s="45">
        <v>8.0000000000000002E-3</v>
      </c>
      <c r="F3" s="45">
        <v>8.0000000000000002E-3</v>
      </c>
      <c r="G3" s="45">
        <v>0.01</v>
      </c>
    </row>
    <row r="4" spans="1:29" ht="12.75"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6" t="s">
        <v>150</v>
      </c>
      <c r="J4" s="208"/>
      <c r="K4" s="206" t="s">
        <v>173</v>
      </c>
      <c r="L4" s="207"/>
      <c r="M4" s="207"/>
      <c r="N4" s="207"/>
      <c r="O4" s="207"/>
      <c r="P4" s="207"/>
      <c r="Q4" s="207"/>
      <c r="R4" s="208"/>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91">
        <f>DADOS!A29</f>
        <v>0</v>
      </c>
      <c r="J5" s="292"/>
      <c r="K5" s="293" t="str">
        <f>DADOS!A32</f>
        <v>Município de Vista Alegre do Prata</v>
      </c>
      <c r="L5" s="294"/>
      <c r="M5" s="294"/>
      <c r="N5" s="294"/>
      <c r="O5" s="294"/>
      <c r="P5" s="294"/>
      <c r="Q5" s="294"/>
      <c r="R5" s="292"/>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7" customHeight="1" x14ac:dyDescent="0.2">
      <c r="A7" s="42" t="str">
        <f>A6</f>
        <v>Construção e Reforma de Edifícios</v>
      </c>
      <c r="B7" s="49" t="s">
        <v>33</v>
      </c>
      <c r="C7" s="42" t="str">
        <f t="shared" si="0"/>
        <v>Construção e Reforma de Edifícios-BDI PAD</v>
      </c>
      <c r="E7" s="45">
        <v>0.2034</v>
      </c>
      <c r="F7" s="45">
        <v>0.22120000000000001</v>
      </c>
      <c r="G7" s="45">
        <v>0.25</v>
      </c>
      <c r="I7" s="206" t="s">
        <v>0</v>
      </c>
      <c r="J7" s="207"/>
      <c r="K7" s="207"/>
      <c r="L7" s="207"/>
      <c r="M7" s="207"/>
      <c r="N7" s="207"/>
      <c r="O7" s="207"/>
      <c r="P7" s="207"/>
      <c r="Q7" s="207"/>
      <c r="R7" s="208"/>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5" t="str">
        <f>DADOS!P29</f>
        <v>Estrada entre comunidade Poméia e Comunidade Caravagio (trecho 02 estaca 0+300 a 2+009)</v>
      </c>
      <c r="J8" s="295"/>
      <c r="K8" s="295"/>
      <c r="L8" s="295"/>
      <c r="M8" s="295"/>
      <c r="N8" s="295"/>
      <c r="O8" s="295"/>
      <c r="P8" s="295"/>
      <c r="Q8" s="295"/>
      <c r="R8" s="295"/>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ht="12.75"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6" t="s">
        <v>35</v>
      </c>
      <c r="J10" s="207"/>
      <c r="K10" s="207"/>
      <c r="L10" s="207"/>
      <c r="M10" s="207"/>
      <c r="N10" s="207"/>
      <c r="O10" s="207"/>
      <c r="P10" s="207"/>
      <c r="Q10" s="206" t="s">
        <v>13</v>
      </c>
      <c r="R10" s="208"/>
    </row>
    <row r="11" spans="1:29" ht="12.75"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6" t="s">
        <v>34</v>
      </c>
      <c r="J11" s="287"/>
      <c r="K11" s="287"/>
      <c r="L11" s="287"/>
      <c r="M11" s="287"/>
      <c r="N11" s="287"/>
      <c r="O11" s="287"/>
      <c r="P11" s="288"/>
      <c r="Q11" s="289" t="str">
        <f>DADOS!$C$38</f>
        <v>Não</v>
      </c>
      <c r="R11" s="290"/>
    </row>
    <row r="12" spans="1:29" ht="12.75"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4" t="s">
        <v>36</v>
      </c>
      <c r="J13" s="284"/>
      <c r="K13" s="284"/>
      <c r="L13" s="284"/>
      <c r="M13" s="284"/>
      <c r="N13" s="284"/>
      <c r="O13" s="284"/>
      <c r="P13" s="284"/>
      <c r="Q13" s="281">
        <v>1</v>
      </c>
      <c r="R13" s="281"/>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82" t="s">
        <v>38</v>
      </c>
      <c r="J14" s="282"/>
      <c r="K14" s="282"/>
      <c r="L14" s="282"/>
      <c r="M14" s="282"/>
      <c r="N14" s="282"/>
      <c r="O14" s="282"/>
      <c r="P14" s="282"/>
      <c r="Q14" s="281">
        <v>0.02</v>
      </c>
      <c r="R14" s="281"/>
    </row>
    <row r="15" spans="1:29" ht="12.75"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3" t="s">
        <v>39</v>
      </c>
      <c r="J16" s="283"/>
      <c r="K16" s="283"/>
      <c r="L16" s="283"/>
      <c r="M16" s="283" t="s">
        <v>40</v>
      </c>
      <c r="N16" s="285" t="s">
        <v>41</v>
      </c>
      <c r="O16" s="285" t="s">
        <v>42</v>
      </c>
      <c r="P16" s="283" t="s">
        <v>43</v>
      </c>
      <c r="Q16" s="283" t="s">
        <v>44</v>
      </c>
      <c r="R16" s="300" t="s">
        <v>45</v>
      </c>
      <c r="T16" s="296" t="str">
        <f>IF(V27,"Para BDI fora do intervalo estatístico, deve ser apresentado Relatório Técnico Circunstanciado justificando a adoção do percentual de cada parcela do BDI.","")</f>
        <v>Para BDI fora do intervalo estatístico, deve ser apresentado Relatório Técnico Circunstanciado justificando a adoção do percentual de cada parcela do BDI.</v>
      </c>
      <c r="U16" s="296"/>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3"/>
      <c r="J17" s="283"/>
      <c r="K17" s="283"/>
      <c r="L17" s="283"/>
      <c r="M17" s="283"/>
      <c r="N17" s="285"/>
      <c r="O17" s="285"/>
      <c r="P17" s="283"/>
      <c r="Q17" s="283"/>
      <c r="R17" s="300"/>
      <c r="T17" s="296"/>
      <c r="U17" s="296"/>
      <c r="V17" s="93"/>
      <c r="W17" s="93"/>
      <c r="X17" s="93"/>
      <c r="Y17" s="93"/>
      <c r="Z17" s="93"/>
      <c r="AA17" s="93"/>
      <c r="AB17" s="93"/>
      <c r="AC17" s="93"/>
    </row>
    <row r="18" spans="1:31" ht="26.4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8" t="str">
        <f>IF($I$11=$A$59,"Encargos Sociais incidentes sobre a mão de obra","Administração Central")</f>
        <v>Administração Central</v>
      </c>
      <c r="J18" s="298"/>
      <c r="K18" s="298"/>
      <c r="L18" s="298"/>
      <c r="M18" s="50" t="str">
        <f>IF($I$11=$A$59,"K1","AC")</f>
        <v>AC</v>
      </c>
      <c r="N18" s="51">
        <v>4.6699999999999998E-2</v>
      </c>
      <c r="O18" s="52" t="s">
        <v>46</v>
      </c>
      <c r="P18" s="53">
        <f>VLOOKUP(CONCATENATE(I$11,"-",M18),$C$2:$G$49,3,FALSE)</f>
        <v>3.7999999999999999E-2</v>
      </c>
      <c r="Q18" s="53">
        <f>VLOOKUP(CONCATENATE(I$11,"-",M18),$C$2:$G$49,4,FALSE)</f>
        <v>4.0099999999999997E-2</v>
      </c>
      <c r="R18" s="53">
        <f>VLOOKUP(CONCATENATE(I$11,"-",M18),$C$2:$G$49,5,FALSE)</f>
        <v>4.6699999999999998E-2</v>
      </c>
      <c r="T18" s="296"/>
      <c r="U18" s="296"/>
      <c r="V18" s="93"/>
      <c r="W18" s="93"/>
      <c r="X18" s="93"/>
      <c r="Y18" s="93"/>
      <c r="Z18" s="93"/>
      <c r="AA18" s="93"/>
      <c r="AB18" s="93"/>
      <c r="AC18" s="93"/>
    </row>
    <row r="19" spans="1:31" ht="26.4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8" t="str">
        <f>IF($I$11=$A$59,"Administração Central da empresa ou consultoria - overhead","Seguro e Garantia")</f>
        <v>Seguro e Garantia</v>
      </c>
      <c r="J19" s="298"/>
      <c r="K19" s="298"/>
      <c r="L19" s="298"/>
      <c r="M19" s="50" t="str">
        <f>IF($I$11=$A$59,"K2","SG")</f>
        <v>SG</v>
      </c>
      <c r="N19" s="51">
        <v>7.4000000000000003E-3</v>
      </c>
      <c r="O19" s="52" t="s">
        <v>46</v>
      </c>
      <c r="P19" s="53">
        <f>VLOOKUP(CONCATENATE(I$11,"-",M19),$C$2:$G$49,3,FALSE)</f>
        <v>3.2000000000000002E-3</v>
      </c>
      <c r="Q19" s="53">
        <f>VLOOKUP(CONCATENATE(I$11,"-",M19),$C$2:$G$49,4,FALSE)</f>
        <v>4.0000000000000001E-3</v>
      </c>
      <c r="R19" s="53">
        <f>VLOOKUP(CONCATENATE(I$11,"-",M19),$C$2:$G$49,5,FALSE)</f>
        <v>7.4000000000000003E-3</v>
      </c>
      <c r="T19" s="296"/>
      <c r="U19" s="296"/>
      <c r="V19" s="93"/>
      <c r="W19" s="93"/>
      <c r="X19" s="93"/>
      <c r="Y19" s="93"/>
      <c r="Z19" s="93"/>
      <c r="AA19" s="93"/>
      <c r="AB19" s="93"/>
      <c r="AC19" s="93"/>
    </row>
    <row r="20" spans="1:31" ht="26.4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8" t="str">
        <f>IF($I$11=$A$59,"","Risco")</f>
        <v>Risco</v>
      </c>
      <c r="J20" s="298"/>
      <c r="K20" s="298"/>
      <c r="L20" s="298"/>
      <c r="M20" s="50" t="str">
        <f>IF($I$11=$A$59,"","R")</f>
        <v>R</v>
      </c>
      <c r="N20" s="51">
        <v>9.7000000000000003E-3</v>
      </c>
      <c r="O20" s="52" t="s">
        <v>46</v>
      </c>
      <c r="P20" s="53">
        <f>VLOOKUP(CONCATENATE(I$11,"-",M20),$C$2:$G$49,3,FALSE)</f>
        <v>5.0000000000000001E-3</v>
      </c>
      <c r="Q20" s="53">
        <f>VLOOKUP(CONCATENATE(I$11,"-",M20),$C$2:$G$49,4,FALSE)</f>
        <v>5.6000000000000008E-3</v>
      </c>
      <c r="R20" s="53">
        <f>VLOOKUP(CONCATENATE(I$11,"-",M20),$C$2:$G$49,5,FALSE)</f>
        <v>9.7000000000000003E-3</v>
      </c>
      <c r="T20" s="296"/>
      <c r="U20" s="296"/>
      <c r="V20" s="93"/>
      <c r="W20" s="93"/>
      <c r="X20" s="93"/>
      <c r="Y20" s="93"/>
      <c r="Z20" s="93"/>
      <c r="AA20" s="93"/>
      <c r="AB20" s="93"/>
      <c r="AC20" s="93"/>
    </row>
    <row r="21" spans="1:31" ht="26.4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8" t="str">
        <f>IF($I$11=$A$59,"","Despesas Financeiras")</f>
        <v>Despesas Financeiras</v>
      </c>
      <c r="J21" s="298"/>
      <c r="K21" s="298"/>
      <c r="L21" s="298"/>
      <c r="M21" s="50" t="str">
        <f>IF($I$11=$A$59,"","DF")</f>
        <v>DF</v>
      </c>
      <c r="N21" s="51">
        <v>1.21E-2</v>
      </c>
      <c r="O21" s="52" t="s">
        <v>46</v>
      </c>
      <c r="P21" s="53">
        <f>VLOOKUP(CONCATENATE(I$11,"-",M21),$C$2:$G$49,3,FALSE)</f>
        <v>1.0200000000000001E-2</v>
      </c>
      <c r="Q21" s="53">
        <f>VLOOKUP(CONCATENATE(I$11,"-",M21),$C$2:$G$49,4,FALSE)</f>
        <v>1.11E-2</v>
      </c>
      <c r="R21" s="53">
        <f>VLOOKUP(CONCATENATE(I$11,"-",M21),$C$2:$G$49,5,FALSE)</f>
        <v>1.21E-2</v>
      </c>
      <c r="T21" s="296"/>
      <c r="U21" s="296"/>
    </row>
    <row r="22" spans="1:31" ht="26.4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8" t="str">
        <f>IF($I$11=$A$59,"Margem bruta da empresa de consultoria","Lucro")</f>
        <v>Lucro</v>
      </c>
      <c r="J22" s="298"/>
      <c r="K22" s="298"/>
      <c r="L22" s="298"/>
      <c r="M22" s="50" t="str">
        <f>IF($I$11=$A$59,"K3","L")</f>
        <v>L</v>
      </c>
      <c r="N22" s="51">
        <v>4.6699999999999998E-2</v>
      </c>
      <c r="O22" s="52" t="s">
        <v>46</v>
      </c>
      <c r="P22" s="53">
        <f>VLOOKUP(CONCATENATE(I$11,"-",M22),$C$2:$G$49,3,FALSE)</f>
        <v>6.6400000000000001E-2</v>
      </c>
      <c r="Q22" s="53">
        <f>VLOOKUP(CONCATENATE(I$11,"-",M22),$C$2:$G$49,4,FALSE)</f>
        <v>7.2999999999999995E-2</v>
      </c>
      <c r="R22" s="53">
        <f>VLOOKUP(CONCATENATE(I$11,"-",M22),$C$2:$G$49,5,FALSE)</f>
        <v>8.6899999999999991E-2</v>
      </c>
      <c r="T22" s="296"/>
      <c r="U22" s="296"/>
    </row>
    <row r="23" spans="1:31" ht="26.4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9" t="s">
        <v>48</v>
      </c>
      <c r="J23" s="299"/>
      <c r="K23" s="299"/>
      <c r="L23" s="299"/>
      <c r="M23" s="50" t="s">
        <v>49</v>
      </c>
      <c r="N23" s="51">
        <v>0</v>
      </c>
      <c r="O23" s="52" t="s">
        <v>46</v>
      </c>
      <c r="P23" s="53">
        <v>3.6499999999999998E-2</v>
      </c>
      <c r="Q23" s="53">
        <v>3.6499999999999998E-2</v>
      </c>
      <c r="R23" s="53">
        <v>3.6499999999999998E-2</v>
      </c>
      <c r="T23" s="296"/>
      <c r="U23" s="296"/>
    </row>
    <row r="24" spans="1:31" ht="26.4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8" t="s">
        <v>50</v>
      </c>
      <c r="J24" s="298"/>
      <c r="K24" s="298"/>
      <c r="L24" s="298"/>
      <c r="M24" s="50" t="s">
        <v>51</v>
      </c>
      <c r="N24" s="53">
        <f>IF($I$11&lt;&gt;$A$58,Q14*Q13,0)</f>
        <v>0.02</v>
      </c>
      <c r="O24" s="52" t="s">
        <v>46</v>
      </c>
      <c r="P24" s="53">
        <v>0</v>
      </c>
      <c r="Q24" s="53">
        <v>2.5000000000000001E-2</v>
      </c>
      <c r="R24" s="53">
        <v>0.05</v>
      </c>
      <c r="T24" s="296"/>
      <c r="U24" s="296"/>
    </row>
    <row r="25" spans="1:31" ht="26.4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8" t="s">
        <v>116</v>
      </c>
      <c r="J25" s="298"/>
      <c r="K25" s="298"/>
      <c r="L25" s="298"/>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8" t="s">
        <v>53</v>
      </c>
      <c r="J26" s="298"/>
      <c r="K26" s="298"/>
      <c r="L26" s="298"/>
      <c r="M26" s="55" t="s">
        <v>33</v>
      </c>
      <c r="N26" s="53">
        <f>IF($I$11=$A$58,0,ROUND((((1+N18+N19+N20)*(1+N21)*(1+N22)/(1-(N23+N24)))-1),4))</f>
        <v>0.15</v>
      </c>
      <c r="O26" s="91" t="str">
        <f>IF(OR($I$11=$A$59,$I$11=$A$58,AND(N26&gt;=P26, N26&lt;=R26)), "OK", "FORA DO INTERVALO")</f>
        <v>FORA DO INTERVALO</v>
      </c>
      <c r="P26" s="53">
        <f>IF($I$11=$A$58,0,VLOOKUP(CONCATENATE($I$11,"-",$M26),$C$2:$G$49,3,FALSE))</f>
        <v>0.19600000000000001</v>
      </c>
      <c r="Q26" s="53">
        <f>IF($I$11=$A$58,0,VLOOKUP(CONCATENATE($I$11,"-",$M26),$C$2:$G$49,4,FALSE))</f>
        <v>0.2097</v>
      </c>
      <c r="R26" s="53">
        <f>IF($I$11=$A$58,0,VLOOKUP(CONCATENATE($I$11,"-",$M26),$C$2:$G$49,5,FALSE))</f>
        <v>0.24230000000000002</v>
      </c>
      <c r="T26" s="92"/>
      <c r="V26" s="93"/>
      <c r="W26" s="93"/>
      <c r="X26" s="93"/>
      <c r="Y26" s="93"/>
      <c r="Z26" s="93"/>
      <c r="AA26" s="93"/>
      <c r="AB26" s="93"/>
      <c r="AC26" s="93"/>
      <c r="AD26" s="93"/>
      <c r="AE26" s="93"/>
    </row>
    <row r="27" spans="1:31" ht="30.2" customHeight="1" x14ac:dyDescent="0.25">
      <c r="A27" s="42" t="s">
        <v>54</v>
      </c>
      <c r="B27" s="44" t="s">
        <v>29</v>
      </c>
      <c r="C27" s="42" t="str">
        <f t="shared" si="0"/>
        <v>Obras Portuárias, Marítimas e Fluviais-AC</v>
      </c>
      <c r="E27" s="45">
        <v>0.04</v>
      </c>
      <c r="F27" s="45">
        <v>5.5199999999999999E-2</v>
      </c>
      <c r="G27" s="45">
        <v>7.85E-2</v>
      </c>
      <c r="I27" s="309" t="s">
        <v>55</v>
      </c>
      <c r="J27" s="309"/>
      <c r="K27" s="309"/>
      <c r="L27" s="309"/>
      <c r="M27" s="56" t="s">
        <v>56</v>
      </c>
      <c r="N27" s="57">
        <f>IF($I$11=$A$58,0,ROUND((((1+N18+N19+N20)*(1+N21)*(1+N22)/(1-(N23+N24+N25)))-1),4))</f>
        <v>0.15</v>
      </c>
      <c r="O27" s="95" t="str">
        <f>IF(Q11&lt;&gt;"Sim","",O26)</f>
        <v/>
      </c>
      <c r="P27" s="310"/>
      <c r="Q27" s="310"/>
      <c r="R27" s="310"/>
      <c r="T27" s="92"/>
      <c r="V27" s="96" t="b">
        <f>AND(COUNTA(N18:N23)=6,O26&lt;&gt;"ok",NOT(V29))</f>
        <v>1</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8" t="s">
        <v>117</v>
      </c>
      <c r="K29" s="308"/>
      <c r="L29" s="308"/>
      <c r="M29" s="308"/>
      <c r="N29" s="308"/>
      <c r="O29" s="308"/>
      <c r="P29" s="308"/>
      <c r="Q29" s="308"/>
      <c r="R29" s="308"/>
      <c r="V29" s="96" t="b">
        <v>0</v>
      </c>
      <c r="W29" s="42" t="s">
        <v>119</v>
      </c>
    </row>
    <row r="30" spans="1:31" ht="7.5" customHeight="1" x14ac:dyDescent="0.2">
      <c r="B30" s="44"/>
      <c r="E30" s="45"/>
      <c r="F30" s="45"/>
      <c r="G30" s="45"/>
      <c r="V30" s="96"/>
    </row>
    <row r="31" spans="1:31" ht="18.75" customHeight="1" x14ac:dyDescent="0.2">
      <c r="B31" s="44"/>
      <c r="E31" s="45"/>
      <c r="F31" s="45"/>
      <c r="G31" s="45"/>
      <c r="I31" s="311" t="s">
        <v>61</v>
      </c>
      <c r="J31" s="311"/>
      <c r="K31" s="311"/>
      <c r="L31" s="311"/>
      <c r="M31" s="311"/>
      <c r="N31" s="311"/>
      <c r="O31" s="311"/>
      <c r="P31" s="311"/>
      <c r="Q31" s="311"/>
      <c r="R31" s="311"/>
    </row>
    <row r="32" spans="1:31" ht="30.2"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6" t="str">
        <f>IF(Q11="Sim","BDI.DES =","BDI.PAD =")</f>
        <v>BDI.PAD =</v>
      </c>
      <c r="M32" s="304" t="str">
        <f>IF($I$11=$A$59,"(1+K1+K2)*(1+K3)","(1+AC + S + R + G)*(1 + DF)*(1+L)")</f>
        <v>(1+AC + S + R + G)*(1 + DF)*(1+L)</v>
      </c>
      <c r="N32" s="304"/>
      <c r="O32" s="304"/>
      <c r="P32" s="302"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6"/>
      <c r="M33" s="305" t="str">
        <f>IF(Q11="Sim","(1-CP-ISS-CRPB)","(1-CP-ISS)")</f>
        <v>(1-CP-ISS)</v>
      </c>
      <c r="N33" s="305"/>
      <c r="O33" s="305"/>
      <c r="P33" s="303"/>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301"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100%, com a respectiva alíquota de 2%.</v>
      </c>
      <c r="J35" s="301"/>
      <c r="K35" s="301"/>
      <c r="L35" s="301"/>
      <c r="M35" s="301"/>
      <c r="N35" s="301"/>
      <c r="O35" s="301"/>
      <c r="P35" s="301"/>
      <c r="Q35" s="301"/>
      <c r="R35" s="301"/>
    </row>
    <row r="36" spans="1:18" ht="11.25" customHeight="1" x14ac:dyDescent="0.2">
      <c r="B36" s="49"/>
      <c r="E36" s="45"/>
      <c r="F36" s="45"/>
      <c r="G36" s="45"/>
    </row>
    <row r="37" spans="1:18" ht="52.5" customHeight="1" x14ac:dyDescent="0.2">
      <c r="B37" s="49"/>
      <c r="E37" s="45"/>
      <c r="F37" s="45"/>
      <c r="G37" s="45"/>
      <c r="I37" s="301"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01"/>
      <c r="K37" s="301"/>
      <c r="L37" s="301"/>
      <c r="M37" s="301"/>
      <c r="N37" s="301"/>
      <c r="O37" s="301"/>
      <c r="P37" s="301"/>
      <c r="Q37" s="301"/>
      <c r="R37" s="301"/>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ht="12.75"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3"/>
      <c r="J40" s="314"/>
      <c r="K40" s="314"/>
      <c r="L40" s="314"/>
      <c r="M40" s="314"/>
      <c r="N40" s="314"/>
      <c r="O40" s="314"/>
      <c r="P40" s="314"/>
      <c r="Q40" s="314"/>
      <c r="R40" s="315"/>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ht="12.75"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7" t="str">
        <f>PO!K51</f>
        <v>Vista Alegre do Prata/RS</v>
      </c>
      <c r="J42" s="297"/>
      <c r="K42" s="297"/>
      <c r="L42" s="297"/>
      <c r="O42" s="312">
        <f ca="1">PO!K54</f>
        <v>46199</v>
      </c>
      <c r="P42" s="312"/>
      <c r="Q42" s="312"/>
      <c r="R42" s="312"/>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80" t="s">
        <v>120</v>
      </c>
      <c r="J43" s="280"/>
      <c r="K43" s="280"/>
      <c r="L43" s="280"/>
      <c r="N43" s="58"/>
      <c r="O43" s="122" t="s">
        <v>121</v>
      </c>
      <c r="P43" s="123"/>
      <c r="Q43" s="123"/>
      <c r="R43" s="123"/>
    </row>
    <row r="44" spans="1:18" ht="12.75" x14ac:dyDescent="0.2">
      <c r="A44" s="42" t="s">
        <v>59</v>
      </c>
      <c r="B44" s="44" t="s">
        <v>104</v>
      </c>
      <c r="C44" s="42" t="str">
        <f t="shared" si="0"/>
        <v>Estudos e Projetos, Planos e Gerenciamento e outros correlatos-K1</v>
      </c>
      <c r="E44" s="45" t="s">
        <v>46</v>
      </c>
      <c r="F44" s="45" t="s">
        <v>46</v>
      </c>
      <c r="G44" s="45" t="s">
        <v>46</v>
      </c>
    </row>
    <row r="45" spans="1:18" ht="30.2"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9"/>
      <c r="J45" s="279"/>
      <c r="K45" s="279"/>
      <c r="L45" s="279"/>
      <c r="M45" s="59"/>
      <c r="N45" s="59"/>
      <c r="O45" s="279"/>
      <c r="P45" s="279"/>
      <c r="Q45" s="279"/>
      <c r="R45" s="279"/>
    </row>
    <row r="46" spans="1:18" ht="12.75"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6" t="s">
        <v>57</v>
      </c>
      <c r="J46" s="316"/>
      <c r="K46" s="316"/>
      <c r="L46" s="316"/>
      <c r="O46" s="316" t="s">
        <v>58</v>
      </c>
      <c r="P46" s="316"/>
      <c r="Q46" s="316"/>
      <c r="R46" s="316"/>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7" t="str">
        <f>DADOS!B54</f>
        <v>Eng. Kleber A. L. Colla</v>
      </c>
      <c r="K47" s="307"/>
      <c r="L47" s="307"/>
      <c r="M47" s="59"/>
      <c r="N47" s="59"/>
      <c r="O47" s="21" t="s">
        <v>140</v>
      </c>
      <c r="P47" s="278" t="s">
        <v>237</v>
      </c>
      <c r="Q47" s="278"/>
      <c r="R47" s="278"/>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7" t="str">
        <f>DADOS!B55</f>
        <v>Engenheiro Civil</v>
      </c>
      <c r="K48" s="307"/>
      <c r="L48" s="307"/>
      <c r="M48" s="59"/>
      <c r="N48" s="59"/>
      <c r="O48" s="21" t="s">
        <v>60</v>
      </c>
      <c r="P48" s="278" t="s">
        <v>238</v>
      </c>
      <c r="Q48" s="278"/>
      <c r="R48" s="278"/>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CREA/CAU:</v>
      </c>
      <c r="J49" s="307" t="str">
        <f>DADOS!B56</f>
        <v>CREA RS243889</v>
      </c>
      <c r="K49" s="307"/>
      <c r="L49" s="307"/>
      <c r="M49" s="59"/>
      <c r="N49" s="59"/>
      <c r="O49" s="59"/>
      <c r="P49" s="59"/>
      <c r="Q49" s="59"/>
      <c r="R49" s="59"/>
    </row>
    <row r="50" spans="1:18" ht="12.75" x14ac:dyDescent="0.2">
      <c r="I50" s="21" t="str">
        <f>DADOS!A57</f>
        <v>ART/RRT:</v>
      </c>
      <c r="J50" s="307" t="str">
        <f>DADOS!B57</f>
        <v>12339862</v>
      </c>
      <c r="K50" s="307"/>
      <c r="L50" s="307"/>
    </row>
    <row r="51" spans="1:18" ht="12.75" x14ac:dyDescent="0.2"/>
    <row r="52" spans="1:18" ht="12.75" hidden="1" x14ac:dyDescent="0.2">
      <c r="A52" s="42" t="s">
        <v>28</v>
      </c>
    </row>
    <row r="53" spans="1:18" ht="12.75" hidden="1" x14ac:dyDescent="0.2">
      <c r="A53" s="42" t="s">
        <v>34</v>
      </c>
    </row>
    <row r="54" spans="1:18" ht="12.75" hidden="1" x14ac:dyDescent="0.2">
      <c r="A54" s="42" t="s">
        <v>37</v>
      </c>
    </row>
    <row r="55" spans="1:18" ht="12.75" hidden="1" x14ac:dyDescent="0.2">
      <c r="A55" s="42" t="s">
        <v>47</v>
      </c>
    </row>
    <row r="56" spans="1:18" ht="12.75" hidden="1" x14ac:dyDescent="0.2">
      <c r="A56" s="42" t="s">
        <v>54</v>
      </c>
    </row>
    <row r="57" spans="1:18" ht="12.75" hidden="1" x14ac:dyDescent="0.2">
      <c r="A57" s="42" t="s">
        <v>137</v>
      </c>
    </row>
    <row r="58" spans="1:18" ht="12.75" hidden="1" x14ac:dyDescent="0.2">
      <c r="A58" s="42" t="s">
        <v>138</v>
      </c>
    </row>
    <row r="59" spans="1:18" ht="12.75" hidden="1" x14ac:dyDescent="0.2">
      <c r="A59" s="42" t="s">
        <v>59</v>
      </c>
    </row>
    <row r="60" spans="1:18" ht="14.25" hidden="1" x14ac:dyDescent="0.2">
      <c r="A60" s="60"/>
      <c r="B60" s="59"/>
      <c r="C60" s="59"/>
      <c r="D60" s="59"/>
      <c r="E60" s="59"/>
      <c r="F60" s="59"/>
      <c r="G60" s="59"/>
    </row>
  </sheetData>
  <sheetProtection password="C95B" sheet="1" objects="1" scenarios="1"/>
  <mergeCells count="55">
    <mergeCell ref="I8:R8"/>
    <mergeCell ref="I4:J4"/>
    <mergeCell ref="K4:R4"/>
    <mergeCell ref="I5:J5"/>
    <mergeCell ref="K5:R5"/>
    <mergeCell ref="I7:R7"/>
    <mergeCell ref="I10:P10"/>
    <mergeCell ref="Q10:R10"/>
    <mergeCell ref="I11:P11"/>
    <mergeCell ref="Q11:R11"/>
    <mergeCell ref="I13:P13"/>
    <mergeCell ref="Q13:R13"/>
    <mergeCell ref="I14:P14"/>
    <mergeCell ref="Q14:R14"/>
    <mergeCell ref="I16:L17"/>
    <mergeCell ref="M16:M17"/>
    <mergeCell ref="N16:N17"/>
    <mergeCell ref="O16:O17"/>
    <mergeCell ref="P16:P17"/>
    <mergeCell ref="Q16:Q17"/>
    <mergeCell ref="R16:R17"/>
    <mergeCell ref="T16:U24"/>
    <mergeCell ref="I18:L18"/>
    <mergeCell ref="I19:L19"/>
    <mergeCell ref="I20:L20"/>
    <mergeCell ref="I21:L21"/>
    <mergeCell ref="I22:L22"/>
    <mergeCell ref="I23:L23"/>
    <mergeCell ref="I24:L24"/>
    <mergeCell ref="I37:R37"/>
    <mergeCell ref="I25:L25"/>
    <mergeCell ref="I26:L26"/>
    <mergeCell ref="I27:L27"/>
    <mergeCell ref="P27:R27"/>
    <mergeCell ref="J29:R29"/>
    <mergeCell ref="I31:R31"/>
    <mergeCell ref="L32:L33"/>
    <mergeCell ref="M32:O32"/>
    <mergeCell ref="P32:P33"/>
    <mergeCell ref="M33:O33"/>
    <mergeCell ref="I35:R35"/>
    <mergeCell ref="I40:R40"/>
    <mergeCell ref="I42:L42"/>
    <mergeCell ref="O42:R42"/>
    <mergeCell ref="I43:L43"/>
    <mergeCell ref="I45:L45"/>
    <mergeCell ref="O45:R45"/>
    <mergeCell ref="J49:L49"/>
    <mergeCell ref="J50:L50"/>
    <mergeCell ref="I46:L46"/>
    <mergeCell ref="O46:R46"/>
    <mergeCell ref="J47:L47"/>
    <mergeCell ref="P47:R47"/>
    <mergeCell ref="J48:L48"/>
    <mergeCell ref="P48:R48"/>
  </mergeCells>
  <conditionalFormatting sqref="O42">
    <cfRule type="expression" dxfId="175" priority="3" stopIfTrue="1">
      <formula>$O$42=""</formula>
    </cfRule>
  </conditionalFormatting>
  <conditionalFormatting sqref="O18:O27">
    <cfRule type="expression" dxfId="174" priority="8" stopIfTrue="1">
      <formula>AND(O18&lt;&gt;"OK",O18&lt;&gt;"-",O18&lt;&gt;"")</formula>
    </cfRule>
    <cfRule type="cellIs" dxfId="173" priority="9" stopIfTrue="1" operator="equal">
      <formula>"OK"</formula>
    </cfRule>
  </conditionalFormatting>
  <conditionalFormatting sqref="I26:N26">
    <cfRule type="expression" dxfId="172" priority="7" stopIfTrue="1">
      <formula>$Q$11="Não"</formula>
    </cfRule>
  </conditionalFormatting>
  <conditionalFormatting sqref="I27:N27">
    <cfRule type="expression" dxfId="171" priority="6" stopIfTrue="1">
      <formula>$Q$11="sim"</formula>
    </cfRule>
  </conditionalFormatting>
  <conditionalFormatting sqref="P27:R27">
    <cfRule type="expression" dxfId="170" priority="5" stopIfTrue="1">
      <formula>$Q$11="sim"</formula>
    </cfRule>
  </conditionalFormatting>
  <conditionalFormatting sqref="P47:R48">
    <cfRule type="expression" dxfId="169" priority="4" stopIfTrue="1">
      <formula>P47=""</formula>
    </cfRule>
  </conditionalFormatting>
  <conditionalFormatting sqref="I29:R29">
    <cfRule type="expression" dxfId="168" priority="2" stopIfTrue="1">
      <formula>AND(NOT($V$27),NOT($V$29))</formula>
    </cfRule>
  </conditionalFormatting>
  <conditionalFormatting sqref="P18:R26">
    <cfRule type="expression" dxfId="167" priority="1" stopIfTrue="1">
      <formula>$I$11=$A$58</formula>
    </cfRule>
  </conditionalFormatting>
  <dataValidations count="6">
    <dataValidation type="decimal" allowBlank="1" showInputMessage="1" showErrorMessage="1" errorTitle="Erro de valores" error="Digite um valor entre 0% e 100%" sqref="N18:N23" xr:uid="{7CA5C33D-E550-4749-A1A8-A6BCA06AF7C4}">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B695E0D5-9C53-4F65-AA2E-55E0679C9BB8}">
      <formula1>0</formula1>
    </dataValidation>
    <dataValidation type="decimal" allowBlank="1" showInputMessage="1" showErrorMessage="1" errorTitle="Valor não permitido" error="Digite um percentual entre 0% e 100%." promptTitle="Valores admissíveis:" prompt="Insira valores entre 0 e 100%." sqref="Q13:R13" xr:uid="{DA2E6CF6-020F-437E-9221-46B8682D31F9}">
      <formula1>0</formula1>
      <formula2>1</formula2>
    </dataValidation>
    <dataValidation type="decimal" allowBlank="1" showInputMessage="1" showErrorMessage="1" errorTitle="Erro de valores" error="Digite um valor maior do que 0." sqref="N24" xr:uid="{BCDC9E5B-F879-4551-8736-8C56EEC2B35F}">
      <formula1>0</formula1>
      <formula2>1</formula2>
    </dataValidation>
    <dataValidation operator="greaterThanOrEqual" allowBlank="1" showInputMessage="1" showErrorMessage="1" errorTitle="Erro de valores" error="Digite um valor igual a 0% ou 2%." sqref="N25" xr:uid="{B37228E6-D5A7-4ABD-AF0A-E414ED1882CB}"/>
    <dataValidation type="list" allowBlank="1" showInputMessage="1" showErrorMessage="1" sqref="I11:P11" xr:uid="{71B3E2CA-F492-4E1A-9854-67CEAA15AA84}">
      <formula1>$A$52:$A$59</formula1>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
    <tabColor rgb="FFFFFF00"/>
    <pageSetUpPr fitToPage="1"/>
  </sheetPr>
  <dimension ref="A1:AA55"/>
  <sheetViews>
    <sheetView showGridLines="0" tabSelected="1" view="pageBreakPreview" topLeftCell="J1" zoomScale="70" zoomScaleNormal="80" zoomScaleSheetLayoutView="70" workbookViewId="0">
      <pane ySplit="12" topLeftCell="A13" activePane="bottomLeft" state="frozen"/>
      <selection pane="bottomLeft" activeCell="K24" sqref="K24"/>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80.7109375" customWidth="1"/>
    <col min="15" max="15" width="10.7109375" customWidth="1"/>
    <col min="16" max="17" width="15.7109375" customWidth="1"/>
    <col min="18" max="18" width="10.7109375" customWidth="1"/>
    <col min="19"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Base para Licitação</v>
      </c>
      <c r="O2" s="1"/>
      <c r="P2" s="1"/>
      <c r="Q2" s="1"/>
      <c r="R2" s="1"/>
      <c r="S2" s="1"/>
      <c r="T2" s="66" t="s">
        <v>166</v>
      </c>
      <c r="U2" s="1"/>
      <c r="V2" s="1"/>
      <c r="W2" s="317" t="s">
        <v>181</v>
      </c>
      <c r="X2" s="317"/>
      <c r="Y2" s="1"/>
      <c r="Z2" s="1"/>
      <c r="AA2" s="1"/>
    </row>
    <row r="3" spans="1:27" ht="12.75" customHeight="1" x14ac:dyDescent="0.2">
      <c r="A3" s="1"/>
      <c r="B3" s="1"/>
      <c r="F3" s="2"/>
      <c r="G3" s="1"/>
      <c r="H3" s="1"/>
      <c r="I3" s="1"/>
      <c r="J3" s="1"/>
      <c r="K3" s="1"/>
      <c r="L3" s="1"/>
      <c r="M3" s="1"/>
      <c r="N3" s="16"/>
      <c r="O3" s="1"/>
      <c r="P3" s="1"/>
      <c r="Q3" s="1"/>
      <c r="R3" s="1"/>
      <c r="S3" s="1"/>
      <c r="T3" s="1"/>
      <c r="U3" s="1"/>
      <c r="V3" s="1"/>
      <c r="W3" s="179" t="s">
        <v>148</v>
      </c>
      <c r="X3" s="182" t="b">
        <v>1</v>
      </c>
      <c r="Y3" s="1"/>
      <c r="Z3" s="1"/>
      <c r="AA3" s="1"/>
    </row>
    <row r="4" spans="1:27" ht="25.15" customHeight="1" x14ac:dyDescent="0.2">
      <c r="A4" s="1" t="s">
        <v>126</v>
      </c>
      <c r="B4" s="1"/>
      <c r="F4" s="2"/>
      <c r="G4" s="1"/>
      <c r="H4" s="1"/>
      <c r="I4" s="1"/>
      <c r="J4" s="1"/>
      <c r="K4" s="1"/>
      <c r="L4" s="1"/>
      <c r="M4" s="1"/>
      <c r="N4" s="1"/>
      <c r="O4" s="1"/>
      <c r="P4" s="1"/>
      <c r="Q4" s="1"/>
      <c r="R4" s="1"/>
      <c r="S4" s="1"/>
      <c r="T4" s="1"/>
      <c r="U4" s="130" t="s">
        <v>188</v>
      </c>
      <c r="W4" s="179" t="s">
        <v>182</v>
      </c>
      <c r="X4" s="182" t="b">
        <v>1</v>
      </c>
      <c r="Y4" s="1"/>
      <c r="Z4" s="1"/>
      <c r="AA4" s="1"/>
    </row>
    <row r="5" spans="1:27" ht="25.15" customHeight="1" x14ac:dyDescent="0.2">
      <c r="A5" s="4">
        <f>MAX($A$12:$A$40)</f>
        <v>3</v>
      </c>
      <c r="B5" s="1"/>
      <c r="F5" s="2"/>
      <c r="G5" s="1"/>
      <c r="H5" s="1"/>
      <c r="I5" s="1"/>
      <c r="J5" s="1"/>
      <c r="K5" s="1"/>
      <c r="L5" s="1"/>
      <c r="M5" s="1"/>
      <c r="N5" s="1"/>
      <c r="O5" s="1"/>
      <c r="P5" s="1"/>
      <c r="Q5" s="1"/>
      <c r="R5" s="1"/>
      <c r="S5" s="1"/>
      <c r="T5" s="1"/>
      <c r="U5" s="101" t="str">
        <f ca="1">IF(COUNTIF($U$12:OFFSET($U$40,-1,0),"DESCRIÇÃO")+COUNTIF($U$12:OFFSET($U$40,-1,0),"UNIDADE")+COUNTIF($U$12:OFFSET($U$40,-1,0),"SEM VALOR")&gt;0,"NÃO OK","OK")</f>
        <v>OK</v>
      </c>
      <c r="V5" s="180" t="s">
        <v>106</v>
      </c>
      <c r="W5" s="179" t="s">
        <v>183</v>
      </c>
      <c r="X5" s="182" t="b">
        <v>1</v>
      </c>
      <c r="Y5" s="1"/>
      <c r="Z5" s="1"/>
      <c r="AA5" s="1"/>
    </row>
    <row r="6" spans="1:27" ht="25.15" customHeight="1" x14ac:dyDescent="0.2">
      <c r="A6" s="1"/>
      <c r="B6" s="1"/>
      <c r="F6" s="2"/>
      <c r="G6" s="1"/>
      <c r="H6" s="1"/>
      <c r="I6" s="1"/>
      <c r="J6" s="1"/>
      <c r="K6" s="1"/>
      <c r="L6" s="1"/>
      <c r="M6" s="1"/>
      <c r="N6" s="1"/>
      <c r="O6" s="1"/>
      <c r="P6" s="1"/>
      <c r="Q6" s="1"/>
      <c r="R6" s="1"/>
      <c r="S6" s="1"/>
      <c r="T6" s="1"/>
      <c r="U6" s="1"/>
      <c r="V6" s="1"/>
      <c r="W6" s="179" t="s">
        <v>184</v>
      </c>
      <c r="X6" s="182" t="b">
        <v>1</v>
      </c>
      <c r="Y6" s="1"/>
      <c r="Z6" s="1"/>
      <c r="AA6" s="1"/>
    </row>
    <row r="7" spans="1:27" ht="25.15" customHeight="1" x14ac:dyDescent="0.2">
      <c r="A7" s="1"/>
      <c r="B7" s="1"/>
      <c r="C7" s="1"/>
      <c r="E7" s="2"/>
      <c r="F7" s="2"/>
      <c r="G7" s="1"/>
      <c r="H7" s="1"/>
      <c r="I7" s="1"/>
      <c r="J7" s="1"/>
      <c r="K7" s="1"/>
      <c r="L7" s="1"/>
      <c r="M7" s="1"/>
      <c r="N7" s="1"/>
      <c r="O7" s="1"/>
      <c r="P7" s="1"/>
      <c r="Q7" s="1"/>
      <c r="R7" s="1"/>
      <c r="S7" s="1"/>
      <c r="T7" s="1"/>
      <c r="U7" s="1"/>
      <c r="V7" s="1"/>
      <c r="W7" s="179" t="s">
        <v>185</v>
      </c>
      <c r="X7" s="182" t="b">
        <v>1</v>
      </c>
      <c r="Y7" s="1"/>
      <c r="Z7" s="1"/>
      <c r="AA7" s="1"/>
    </row>
    <row r="8" spans="1:27" ht="30.2"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2" t="str">
        <f ca="1">OFFSET(PLQ!$E$12,ROW($P9)-ROW(P$12),0)</f>
        <v>-</v>
      </c>
      <c r="Q9" s="1"/>
      <c r="R9" s="1"/>
      <c r="S9" s="1"/>
      <c r="T9" s="1"/>
      <c r="U9" s="1"/>
      <c r="V9" s="1"/>
      <c r="W9" s="1"/>
      <c r="X9" s="1"/>
      <c r="Y9" s="1"/>
      <c r="Z9" s="1"/>
      <c r="AA9" s="1"/>
    </row>
    <row r="10" spans="1:27" ht="30.2"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Custo Unitário (R$)</v>
      </c>
      <c r="R10" s="62" t="s">
        <v>5</v>
      </c>
      <c r="S10" s="62" t="s">
        <v>151</v>
      </c>
      <c r="T10" s="62" t="s">
        <v>6</v>
      </c>
      <c r="U10" s="62" t="s">
        <v>159</v>
      </c>
      <c r="V10" s="100" t="s">
        <v>161</v>
      </c>
      <c r="W10" s="100" t="s">
        <v>122</v>
      </c>
      <c r="X10" s="100" t="s">
        <v>130</v>
      </c>
      <c r="Y10" s="99" t="str">
        <f>IF(TipoOrçamento="LICITADO","Preço Unitário Edital (R$)","Custo Unitário Referência (R$)")</f>
        <v>Custo Unitário Referência (R$)</v>
      </c>
      <c r="Z10" s="125" t="str">
        <f>IF(TipoOrçamento="LICITADO","Valor BDI Edital","Valor BDI")</f>
        <v>Valor BDI</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IF(OR($A11="S",$A11=0),0,MATCH(0,OFFSET($B11,1,$A11,ROW($A$40)-ROW($A11)),0))</f>
        <v>0</v>
      </c>
      <c r="I11">
        <f ca="1">IF(OR($A11="S",$A11=0),0,MATCH(OFFSET($B11,0,$A11)+1,OFFSET($B11,1,$A11,ROW($A$40)-ROW($A11)),0))</f>
        <v>0</v>
      </c>
      <c r="J11" s="102" t="s">
        <v>103</v>
      </c>
      <c r="K11" s="138" t="e">
        <f ca="1">IF($A11=0,"-",CONCATENATE(C11&amp;".",IF(AND($A$5&gt;=2,$A11&gt;=2),D11&amp;".",""),IF(AND($A$5&gt;=3,$A11&gt;=3),E11&amp;".",""),IF(AND($A$5&gt;=4,$A11&gt;=4),F11&amp;".",""),IF($A11="S",G11&amp;".","")))</f>
        <v>#VALUE!</v>
      </c>
      <c r="L11" s="177"/>
      <c r="M11" s="177"/>
      <c r="N11" s="198" t="str">
        <f ca="1">IF($A11="S",Referencia.Descricao,"(digite a descrição aqui)")</f>
        <v/>
      </c>
      <c r="O11" s="197" t="str">
        <f ca="1">Referencia.Unidade</f>
        <v/>
      </c>
      <c r="P11" s="200"/>
      <c r="Q11" s="196"/>
      <c r="R11" s="199" t="s">
        <v>7</v>
      </c>
      <c r="S11" s="103">
        <f ca="1">IF($A11="S",IF($Q$10="Preço Unitário (R$)",PO.CustoUnitario,ROUND(PO.CustoUnitario*(1+$Z11),15-13*$X$6)),0)</f>
        <v>0</v>
      </c>
      <c r="T11" s="83">
        <f ca="1">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0.2147</v>
      </c>
      <c r="AA11" s="1"/>
    </row>
    <row r="12" spans="1:27" ht="25.5" x14ac:dyDescent="0.2">
      <c r="A12">
        <v>0</v>
      </c>
      <c r="B12">
        <f ca="1">COUNTA(OFFSET(B12,1,0):B$40)</f>
        <v>27</v>
      </c>
      <c r="J12" s="64" t="str">
        <f>IF(OR(TipoOrçamento="LICITADO",TipoOrçamento="REPROGRAMADOAC"),"CTEF","LOTE")</f>
        <v>LOTE</v>
      </c>
      <c r="K12" s="139">
        <v>0</v>
      </c>
      <c r="L12" s="6"/>
      <c r="M12" s="6"/>
      <c r="N12" s="73" t="str">
        <f>IF(TipoOrçamento="LICITADO",DADOS!O43,DADOS!G38)</f>
        <v>Estrada entre comunidade Poméia e Comunidade Caravagio (trecho 02 estaca 0+300 a 2+009)</v>
      </c>
      <c r="O12" s="6"/>
      <c r="P12" s="7"/>
      <c r="Q12" s="7"/>
      <c r="R12" s="8"/>
      <c r="S12" s="7"/>
      <c r="T12" s="82">
        <f ca="1">SUMIF(OFFSET($J12,1,0,ROW(T40)-ROW(T12)-1),"Serviço",OFFSET(T12,1,0,ROW(T40)-ROW(T12)-1))</f>
        <v>1056367.8599999999</v>
      </c>
      <c r="U12" s="9" t="str">
        <f>IF($N12=0,"DESCRIÇÃO","")</f>
        <v/>
      </c>
      <c r="V12" s="1">
        <v>0</v>
      </c>
      <c r="W12" s="1"/>
      <c r="X12" s="1"/>
      <c r="Y12" s="7"/>
      <c r="Z12" s="114"/>
      <c r="AA12" s="1"/>
    </row>
    <row r="13" spans="1:27" ht="25.5" x14ac:dyDescent="0.2">
      <c r="A13">
        <f t="shared" ref="A13:A38" si="0">CHOOSE(1+LOG(1+2*(J13="Meta")+4*(J13="Nível 2")+8*(J13="Nível 3")+16*(J13="Nível 4")+32*(J13="Serviço"),2),0,1,2,3,4,"S")</f>
        <v>1</v>
      </c>
      <c r="B13">
        <f t="shared" ref="B13:B38" ca="1" si="1">IF(OR(A13="S",A13=0),0,IF(ISERROR(I13),H13,SMALL(H13:I13,1)))</f>
        <v>27</v>
      </c>
      <c r="C13">
        <f t="shared" ref="C13:C38" ca="1" si="2">IF($A13=1,OFFSET(C13,-1,0)+1,OFFSET(C13,-1,0))</f>
        <v>1</v>
      </c>
      <c r="D13">
        <f t="shared" ref="D13:D38" ca="1" si="3">IF($A13=1,0,IF($A13=2,OFFSET(D13,-1,0)+1,OFFSET(D13,-1,0)))</f>
        <v>0</v>
      </c>
      <c r="E13">
        <f t="shared" ref="E13:E38" ca="1" si="4">IF(AND($A13&lt;=2,$A13&lt;&gt;0),0,IF($A13=3,OFFSET(E13,-1,0)+1,OFFSET(E13,-1,0)))</f>
        <v>0</v>
      </c>
      <c r="F13">
        <f t="shared" ref="F13:F38" ca="1" si="5">IF(AND($A13&lt;=3,$A13&lt;&gt;0),0,IF($A13=4,OFFSET(F13,-1,0)+1,OFFSET(F13,-1,0)))</f>
        <v>0</v>
      </c>
      <c r="G13">
        <f t="shared" ref="G13:G38" ca="1" si="6">IF(AND($A13&lt;=4,$A13&lt;&gt;0),0,IF($A13="S",OFFSET(G13,-1,0)+1,OFFSET(G13,-1,0)))</f>
        <v>0</v>
      </c>
      <c r="H13">
        <f t="shared" ref="H13:H25" ca="1" si="7">IF(OR($A13="S",$A13=0),0,MATCH(0,OFFSET($B13,1,$A13,ROW($A$40)-ROW($A13)),0))</f>
        <v>27</v>
      </c>
      <c r="I13" t="e">
        <f t="shared" ref="I13:I25" ca="1" si="8">IF(OR($A13="S",$A13=0),0,MATCH(OFFSET($B13,0,$A13)+1,OFFSET($B13,1,$A13,ROW($A$40)-ROW($A13)),0))</f>
        <v>#N/A</v>
      </c>
      <c r="J13" s="140" t="s">
        <v>99</v>
      </c>
      <c r="K13" s="138" t="str">
        <f t="shared" ref="K13:K38" ca="1" si="9">IF($A13=0,"-",CONCATENATE(C13&amp;".",IF(AND($A$5&gt;=2,$A13&gt;=2),D13&amp;".",""),IF(AND($A$5&gt;=3,$A13&gt;=3),E13&amp;".",""),IF(AND($A$5&gt;=4,$A13&gt;=4),F13&amp;".",""),IF($A13="S",G13&amp;".","")))</f>
        <v>1.</v>
      </c>
      <c r="L13" s="177"/>
      <c r="M13" s="177"/>
      <c r="N13" s="198" t="str">
        <f>N12</f>
        <v>Estrada entre comunidade Poméia e Comunidade Caravagio (trecho 02 estaca 0+300 a 2+009)</v>
      </c>
      <c r="O13" s="197" t="s">
        <v>106</v>
      </c>
      <c r="P13" s="200">
        <v>0</v>
      </c>
      <c r="Q13" s="196"/>
      <c r="R13" s="199" t="s">
        <v>7</v>
      </c>
      <c r="S13" s="103">
        <f t="shared" ref="S13:S38" si="10">IF($A13="S",IF($Q$10="Preço Unitário (R$)",PO.CustoUnitario,ROUND(PO.CustoUnitario*(1+$Z13),15-13*$X$6)),0)</f>
        <v>0</v>
      </c>
      <c r="T13" s="83">
        <f t="shared" ref="T13:T38" ca="1" si="11">IF($A13="S",VTOTAL1,IF($A13=0,0,ROUND(SomaAgrup,15-13*$X$7)))</f>
        <v>1056367.8600000001</v>
      </c>
      <c r="U13" s="9" t="str">
        <f t="shared" ref="U13:U38" ca="1" si="12">IF($J13="","",IF($N13="","DESCRIÇÃO",IF(AND($J13="Serviço",$O13=""),"UNIDADE",IF($T13&lt;=0,"SEM VALOR",IF(AND($Y13&lt;&gt;"",$Q13&gt;$Y13),"ACIMA REF.","")))))</f>
        <v/>
      </c>
      <c r="V13" s="1">
        <f ca="1">IF(OR($A13=0,$A13="S",$A13&gt;CFF!$A$9),"",MAX(V$12:OFFSET(V13,-1,0))+1)</f>
        <v>1</v>
      </c>
      <c r="W13" s="4" t="b">
        <f t="shared" ref="W13:W38" si="13">IF(AND($J13="Serviço",$M13&lt;&gt;""),IF($L13="",$M13,CONCATENATE($L13,"-",$M13)))</f>
        <v>0</v>
      </c>
      <c r="X13" s="1" t="str">
        <f t="shared" ref="X13:X38" ca="1" si="14">IF(AND(Fonte&lt;&gt;"",Código&lt;&gt;""),MATCH(Fonte&amp;" "&amp;IF(Fonte="sinapi",SUBSTITUTE(SUBSTITUTE(Código,"/00","/"),"/0","/"),Código),INDIRECT("'[Referência "&amp;_xlnm.Database&amp;".xls]Banco'!$a:$a"),0),"X")</f>
        <v>X</v>
      </c>
      <c r="Y13" s="103">
        <f t="shared" ref="Y13:Y38" ca="1" si="15">IF(Import.Desoneracao="sim",Referencia.Desonerado,Referencia.NaoDesonerado)</f>
        <v>0</v>
      </c>
      <c r="Z13" s="113">
        <f ca="1">ROUND(IF(ISNUMBER(R13),R13,IF(LEFT(R13,3)="BDI",HLOOKUP(R13,DADOS!$T$37:$X$38,2,FALSE),0)),15-11*$X$5)</f>
        <v>0.2147</v>
      </c>
      <c r="AA13" s="1"/>
    </row>
    <row r="14" spans="1:27" x14ac:dyDescent="0.2">
      <c r="A14">
        <f t="shared" si="0"/>
        <v>2</v>
      </c>
      <c r="B14">
        <f t="shared" ca="1" si="1"/>
        <v>3</v>
      </c>
      <c r="C14">
        <f t="shared" ca="1" si="2"/>
        <v>1</v>
      </c>
      <c r="D14">
        <f t="shared" ca="1" si="3"/>
        <v>1</v>
      </c>
      <c r="E14">
        <f t="shared" ca="1" si="4"/>
        <v>0</v>
      </c>
      <c r="F14">
        <f t="shared" ca="1" si="5"/>
        <v>0</v>
      </c>
      <c r="G14">
        <f t="shared" ca="1" si="6"/>
        <v>0</v>
      </c>
      <c r="H14">
        <f t="shared" ca="1" si="7"/>
        <v>26</v>
      </c>
      <c r="I14">
        <f t="shared" ca="1" si="8"/>
        <v>3</v>
      </c>
      <c r="J14" s="102" t="s">
        <v>100</v>
      </c>
      <c r="K14" s="138" t="str">
        <f t="shared" ca="1" si="9"/>
        <v>1.1.</v>
      </c>
      <c r="L14" s="177"/>
      <c r="M14" s="177"/>
      <c r="N14" s="198" t="s">
        <v>231</v>
      </c>
      <c r="O14" s="197"/>
      <c r="P14" s="200">
        <v>0</v>
      </c>
      <c r="Q14" s="196"/>
      <c r="R14" s="199"/>
      <c r="S14" s="103">
        <f t="shared" si="10"/>
        <v>0</v>
      </c>
      <c r="T14" s="83">
        <f t="shared" ca="1" si="11"/>
        <v>8716</v>
      </c>
      <c r="U14" s="9" t="str">
        <f t="shared" ca="1" si="12"/>
        <v/>
      </c>
      <c r="V14" s="1">
        <f ca="1">IF(OR($A14=0,$A14="S",$A14&gt;CFF!$A$9),"",MAX(V$12:OFFSET(V14,-1,0))+1)</f>
        <v>2</v>
      </c>
      <c r="W14" s="4" t="b">
        <f t="shared" si="13"/>
        <v>0</v>
      </c>
      <c r="X14" s="1" t="str">
        <f t="shared" ca="1" si="14"/>
        <v>X</v>
      </c>
      <c r="Y14" s="103">
        <f t="shared" ca="1" si="15"/>
        <v>0</v>
      </c>
      <c r="Z14" s="113">
        <f>ROUND(IF(ISNUMBER(R14),R14,IF(LEFT(R14,3)="BDI",HLOOKUP(R14,DADOS!$T$37:$X$38,2,FALSE),0)),15-11*$X$5)</f>
        <v>0</v>
      </c>
      <c r="AA14" s="1"/>
    </row>
    <row r="15" spans="1:27" x14ac:dyDescent="0.2">
      <c r="A15" t="str">
        <f t="shared" si="0"/>
        <v>S</v>
      </c>
      <c r="B15">
        <f t="shared" si="1"/>
        <v>0</v>
      </c>
      <c r="C15">
        <f t="shared" ca="1" si="2"/>
        <v>1</v>
      </c>
      <c r="D15">
        <f t="shared" ca="1" si="3"/>
        <v>1</v>
      </c>
      <c r="E15">
        <f t="shared" ca="1" si="4"/>
        <v>0</v>
      </c>
      <c r="F15">
        <f t="shared" ca="1" si="5"/>
        <v>0</v>
      </c>
      <c r="G15">
        <f t="shared" ca="1" si="6"/>
        <v>1</v>
      </c>
      <c r="H15">
        <f t="shared" ca="1" si="7"/>
        <v>0</v>
      </c>
      <c r="I15">
        <f t="shared" ca="1" si="8"/>
        <v>0</v>
      </c>
      <c r="J15" s="102" t="s">
        <v>103</v>
      </c>
      <c r="K15" s="138" t="str">
        <f t="shared" ca="1" si="9"/>
        <v>1.1.0.1.</v>
      </c>
      <c r="L15" s="177" t="s">
        <v>233</v>
      </c>
      <c r="M15" s="177" t="s">
        <v>255</v>
      </c>
      <c r="N15" s="198" t="s">
        <v>253</v>
      </c>
      <c r="O15" s="197" t="s">
        <v>254</v>
      </c>
      <c r="P15" s="200">
        <v>1</v>
      </c>
      <c r="Q15" s="196">
        <v>3297.28</v>
      </c>
      <c r="R15" s="199" t="s">
        <v>7</v>
      </c>
      <c r="S15" s="103">
        <f t="shared" ca="1" si="10"/>
        <v>4005.21</v>
      </c>
      <c r="T15" s="83">
        <f t="shared" ca="1" si="11"/>
        <v>4005.21</v>
      </c>
      <c r="U15" s="9" t="str">
        <f t="shared" ca="1" si="12"/>
        <v>ACIMA REF.</v>
      </c>
      <c r="V15" s="1" t="str">
        <f ca="1">IF(OR($A15=0,$A15="S",$A15&gt;CFF!$A$9),"",MAX(V$12:OFFSET(V15,-1,0))+1)</f>
        <v/>
      </c>
      <c r="W15" s="4" t="str">
        <f t="shared" si="13"/>
        <v>COMPOSIÇÃO-01</v>
      </c>
      <c r="X15" s="1" t="e">
        <f t="shared" ca="1" si="14"/>
        <v>#REF!</v>
      </c>
      <c r="Y15" s="103">
        <f t="shared" ca="1" si="15"/>
        <v>0</v>
      </c>
      <c r="Z15" s="113">
        <f ca="1">ROUND(IF(ISNUMBER(R15),R15,IF(LEFT(R15,3)="BDI",HLOOKUP(R15,DADOS!$T$37:$X$38,2,FALSE),0)),15-11*$X$5)</f>
        <v>0.2147</v>
      </c>
      <c r="AA15" s="1"/>
    </row>
    <row r="16" spans="1:27" ht="25.5" x14ac:dyDescent="0.2">
      <c r="A16" t="str">
        <f t="shared" si="0"/>
        <v>S</v>
      </c>
      <c r="B16">
        <f t="shared" si="1"/>
        <v>0</v>
      </c>
      <c r="C16">
        <f t="shared" ca="1" si="2"/>
        <v>1</v>
      </c>
      <c r="D16">
        <f t="shared" ca="1" si="3"/>
        <v>1</v>
      </c>
      <c r="E16">
        <f t="shared" ca="1" si="4"/>
        <v>0</v>
      </c>
      <c r="F16">
        <f t="shared" ca="1" si="5"/>
        <v>0</v>
      </c>
      <c r="G16">
        <f t="shared" ca="1" si="6"/>
        <v>2</v>
      </c>
      <c r="H16">
        <f t="shared" ca="1" si="7"/>
        <v>0</v>
      </c>
      <c r="I16">
        <f t="shared" ca="1" si="8"/>
        <v>0</v>
      </c>
      <c r="J16" s="102" t="s">
        <v>103</v>
      </c>
      <c r="K16" s="138" t="str">
        <f t="shared" ca="1" si="9"/>
        <v>1.1.0.2.</v>
      </c>
      <c r="L16" s="177" t="s">
        <v>272</v>
      </c>
      <c r="M16" s="177" t="s">
        <v>273</v>
      </c>
      <c r="N16" s="198" t="s">
        <v>274</v>
      </c>
      <c r="O16" s="197" t="s">
        <v>275</v>
      </c>
      <c r="P16" s="200">
        <v>1</v>
      </c>
      <c r="Q16" s="196">
        <v>3878.15</v>
      </c>
      <c r="R16" s="199" t="s">
        <v>7</v>
      </c>
      <c r="S16" s="103">
        <f t="shared" ca="1" si="10"/>
        <v>4710.79</v>
      </c>
      <c r="T16" s="83">
        <f t="shared" ca="1" si="11"/>
        <v>4710.79</v>
      </c>
      <c r="U16" s="9" t="str">
        <f t="shared" ca="1" si="12"/>
        <v>ACIMA REF.</v>
      </c>
      <c r="V16" s="1" t="str">
        <f ca="1">IF(OR($A16=0,$A16="S",$A16&gt;CFF!$A$9),"",MAX(V$12:OFFSET(V16,-1,0))+1)</f>
        <v/>
      </c>
      <c r="W16" s="4" t="str">
        <f t="shared" si="13"/>
        <v>SICRO-5213374</v>
      </c>
      <c r="X16" s="1" t="e">
        <f t="shared" ca="1" si="14"/>
        <v>#REF!</v>
      </c>
      <c r="Y16" s="103">
        <f t="shared" ca="1" si="15"/>
        <v>0</v>
      </c>
      <c r="Z16" s="113">
        <f ca="1">ROUND(IF(ISNUMBER(R16),R16,IF(LEFT(R16,3)="BDI",HLOOKUP(R16,DADOS!$T$37:$X$38,2,FALSE),0)),15-11*$X$5)</f>
        <v>0.2147</v>
      </c>
      <c r="AA16" s="1"/>
    </row>
    <row r="17" spans="1:27" x14ac:dyDescent="0.2">
      <c r="A17">
        <f t="shared" si="0"/>
        <v>2</v>
      </c>
      <c r="B17">
        <f t="shared" ca="1" si="1"/>
        <v>2</v>
      </c>
      <c r="C17">
        <f t="shared" ca="1" si="2"/>
        <v>1</v>
      </c>
      <c r="D17">
        <f t="shared" ca="1" si="3"/>
        <v>2</v>
      </c>
      <c r="E17">
        <f t="shared" ca="1" si="4"/>
        <v>0</v>
      </c>
      <c r="F17">
        <f t="shared" ca="1" si="5"/>
        <v>0</v>
      </c>
      <c r="G17">
        <f t="shared" ca="1" si="6"/>
        <v>0</v>
      </c>
      <c r="H17">
        <f t="shared" ca="1" si="7"/>
        <v>23</v>
      </c>
      <c r="I17">
        <f t="shared" ca="1" si="8"/>
        <v>2</v>
      </c>
      <c r="J17" s="102" t="s">
        <v>100</v>
      </c>
      <c r="K17" s="138" t="str">
        <f t="shared" ca="1" si="9"/>
        <v>1.2.</v>
      </c>
      <c r="L17" s="177" t="s">
        <v>232</v>
      </c>
      <c r="M17" s="177">
        <v>93575</v>
      </c>
      <c r="N17" s="198" t="s">
        <v>270</v>
      </c>
      <c r="O17" s="197" t="s">
        <v>257</v>
      </c>
      <c r="P17" s="200">
        <v>2</v>
      </c>
      <c r="Q17" s="196">
        <v>13223.17</v>
      </c>
      <c r="R17" s="199" t="s">
        <v>7</v>
      </c>
      <c r="S17" s="103">
        <f t="shared" si="10"/>
        <v>0</v>
      </c>
      <c r="T17" s="83">
        <f t="shared" ca="1" si="11"/>
        <v>55476.69</v>
      </c>
      <c r="U17" s="9" t="str">
        <f t="shared" ca="1" si="12"/>
        <v>ACIMA REF.</v>
      </c>
      <c r="V17" s="1">
        <f ca="1">IF(OR($A17=0,$A17="S",$A17&gt;CFF!$A$9),"",MAX(V$12:OFFSET(V17,-1,0))+1)</f>
        <v>3</v>
      </c>
      <c r="W17" s="4" t="b">
        <f t="shared" si="13"/>
        <v>0</v>
      </c>
      <c r="X17" s="1" t="e">
        <f t="shared" ca="1" si="14"/>
        <v>#REF!</v>
      </c>
      <c r="Y17" s="103">
        <f t="shared" ca="1" si="15"/>
        <v>0</v>
      </c>
      <c r="Z17" s="113">
        <f ca="1">ROUND(IF(ISNUMBER(R17),R17,IF(LEFT(R17,3)="BDI",HLOOKUP(R17,DADOS!$T$37:$X$38,2,FALSE),0)),15-11*$X$5)</f>
        <v>0.2147</v>
      </c>
      <c r="AA17" s="1"/>
    </row>
    <row r="18" spans="1:27" x14ac:dyDescent="0.2">
      <c r="A18" t="str">
        <f t="shared" si="0"/>
        <v>S</v>
      </c>
      <c r="B18">
        <f t="shared" si="1"/>
        <v>0</v>
      </c>
      <c r="C18">
        <f t="shared" ca="1" si="2"/>
        <v>1</v>
      </c>
      <c r="D18">
        <f t="shared" ca="1" si="3"/>
        <v>2</v>
      </c>
      <c r="E18">
        <f t="shared" ca="1" si="4"/>
        <v>0</v>
      </c>
      <c r="F18">
        <f t="shared" ca="1" si="5"/>
        <v>0</v>
      </c>
      <c r="G18">
        <f t="shared" ca="1" si="6"/>
        <v>1</v>
      </c>
      <c r="H18">
        <f t="shared" ca="1" si="7"/>
        <v>0</v>
      </c>
      <c r="I18">
        <f t="shared" ca="1" si="8"/>
        <v>0</v>
      </c>
      <c r="J18" s="102" t="s">
        <v>103</v>
      </c>
      <c r="K18" s="138" t="str">
        <f t="shared" ca="1" si="9"/>
        <v>1.2.0.1.</v>
      </c>
      <c r="L18" s="177" t="s">
        <v>233</v>
      </c>
      <c r="M18" s="177" t="s">
        <v>263</v>
      </c>
      <c r="N18" s="198" t="s">
        <v>270</v>
      </c>
      <c r="O18" s="197" t="s">
        <v>271</v>
      </c>
      <c r="P18" s="200">
        <v>1</v>
      </c>
      <c r="Q18" s="196">
        <v>45671.1</v>
      </c>
      <c r="R18" s="199" t="s">
        <v>7</v>
      </c>
      <c r="S18" s="103">
        <f t="shared" ca="1" si="10"/>
        <v>55476.69</v>
      </c>
      <c r="T18" s="83">
        <f t="shared" ca="1" si="11"/>
        <v>55476.69</v>
      </c>
      <c r="U18" s="9" t="str">
        <f t="shared" ca="1" si="12"/>
        <v>ACIMA REF.</v>
      </c>
      <c r="V18" s="1" t="str">
        <f ca="1">IF(OR($A18=0,$A18="S",$A18&gt;CFF!$A$9),"",MAX(V$12:OFFSET(V18,-1,0))+1)</f>
        <v/>
      </c>
      <c r="W18" s="4" t="str">
        <f t="shared" si="13"/>
        <v>COMPOSIÇÃO-02</v>
      </c>
      <c r="X18" s="1" t="e">
        <f t="shared" ca="1" si="14"/>
        <v>#REF!</v>
      </c>
      <c r="Y18" s="103">
        <f t="shared" ca="1" si="15"/>
        <v>0</v>
      </c>
      <c r="Z18" s="113">
        <f ca="1">ROUND(IF(ISNUMBER(R18),R18,IF(LEFT(R18,3)="BDI",HLOOKUP(R18,DADOS!$T$37:$X$38,2,FALSE),0)),15-11*$X$5)</f>
        <v>0.2147</v>
      </c>
      <c r="AA18" s="1"/>
    </row>
    <row r="19" spans="1:27" x14ac:dyDescent="0.2">
      <c r="A19">
        <f t="shared" si="0"/>
        <v>2</v>
      </c>
      <c r="B19">
        <f t="shared" ca="1" si="1"/>
        <v>2</v>
      </c>
      <c r="C19">
        <f t="shared" ca="1" si="2"/>
        <v>1</v>
      </c>
      <c r="D19">
        <f t="shared" ca="1" si="3"/>
        <v>3</v>
      </c>
      <c r="E19">
        <f t="shared" ca="1" si="4"/>
        <v>0</v>
      </c>
      <c r="F19">
        <f t="shared" ca="1" si="5"/>
        <v>0</v>
      </c>
      <c r="G19">
        <f t="shared" ca="1" si="6"/>
        <v>0</v>
      </c>
      <c r="H19">
        <f t="shared" ca="1" si="7"/>
        <v>21</v>
      </c>
      <c r="I19">
        <f t="shared" ca="1" si="8"/>
        <v>2</v>
      </c>
      <c r="J19" s="102" t="s">
        <v>100</v>
      </c>
      <c r="K19" s="138" t="str">
        <f t="shared" ca="1" si="9"/>
        <v>1.3.</v>
      </c>
      <c r="L19" s="177"/>
      <c r="M19" s="177"/>
      <c r="N19" s="198" t="s">
        <v>258</v>
      </c>
      <c r="O19" s="177" t="s">
        <v>257</v>
      </c>
      <c r="P19" s="200">
        <v>2</v>
      </c>
      <c r="Q19" s="196">
        <v>4996.82</v>
      </c>
      <c r="R19" s="199"/>
      <c r="S19" s="103">
        <f t="shared" si="10"/>
        <v>0</v>
      </c>
      <c r="T19" s="83">
        <f t="shared" ca="1" si="11"/>
        <v>35463.75</v>
      </c>
      <c r="U19" s="9" t="str">
        <f t="shared" ca="1" si="12"/>
        <v>ACIMA REF.</v>
      </c>
      <c r="V19" s="1">
        <f ca="1">IF(OR($A19=0,$A19="S",$A19&gt;CFF!$A$9),"",MAX(V$12:OFFSET(V19,-1,0))+1)</f>
        <v>4</v>
      </c>
      <c r="W19" s="4" t="b">
        <f t="shared" si="13"/>
        <v>0</v>
      </c>
      <c r="X19" s="1" t="str">
        <f t="shared" ca="1" si="14"/>
        <v>X</v>
      </c>
      <c r="Y19" s="103">
        <f t="shared" ca="1" si="15"/>
        <v>0</v>
      </c>
      <c r="Z19" s="113">
        <f>ROUND(IF(ISNUMBER(R19),R19,IF(LEFT(R19,3)="BDI",HLOOKUP(R19,DADOS!$T$37:$X$38,2,FALSE),0)),15-11*$X$5)</f>
        <v>0</v>
      </c>
      <c r="AA19" s="1"/>
    </row>
    <row r="20" spans="1:27" x14ac:dyDescent="0.2">
      <c r="A20" t="str">
        <f t="shared" si="0"/>
        <v>S</v>
      </c>
      <c r="B20">
        <f t="shared" si="1"/>
        <v>0</v>
      </c>
      <c r="C20">
        <f t="shared" ca="1" si="2"/>
        <v>1</v>
      </c>
      <c r="D20">
        <f t="shared" ca="1" si="3"/>
        <v>3</v>
      </c>
      <c r="E20">
        <f t="shared" ca="1" si="4"/>
        <v>0</v>
      </c>
      <c r="F20">
        <f t="shared" ca="1" si="5"/>
        <v>0</v>
      </c>
      <c r="G20">
        <f t="shared" ca="1" si="6"/>
        <v>1</v>
      </c>
      <c r="H20">
        <f t="shared" ca="1" si="7"/>
        <v>0</v>
      </c>
      <c r="I20">
        <f t="shared" ca="1" si="8"/>
        <v>0</v>
      </c>
      <c r="J20" s="102" t="s">
        <v>103</v>
      </c>
      <c r="K20" s="138" t="str">
        <f t="shared" ca="1" si="9"/>
        <v>1.3.0.1.</v>
      </c>
      <c r="L20" s="177" t="s">
        <v>233</v>
      </c>
      <c r="M20" s="177" t="s">
        <v>259</v>
      </c>
      <c r="N20" s="198" t="s">
        <v>260</v>
      </c>
      <c r="O20" s="177" t="s">
        <v>261</v>
      </c>
      <c r="P20" s="200">
        <v>1891.4</v>
      </c>
      <c r="Q20" s="196">
        <v>15.44</v>
      </c>
      <c r="R20" s="199" t="s">
        <v>7</v>
      </c>
      <c r="S20" s="103">
        <f t="shared" ca="1" si="10"/>
        <v>18.75</v>
      </c>
      <c r="T20" s="83">
        <f t="shared" ca="1" si="11"/>
        <v>35463.75</v>
      </c>
      <c r="U20" s="9" t="str">
        <f t="shared" ca="1" si="12"/>
        <v>ACIMA REF.</v>
      </c>
      <c r="V20" s="1" t="str">
        <f ca="1">IF(OR($A20=0,$A20="S",$A20&gt;CFF!$A$9),"",MAX(V$12:OFFSET(V20,-1,0))+1)</f>
        <v/>
      </c>
      <c r="W20" s="4" t="str">
        <f t="shared" si="13"/>
        <v>COMPOSIÇÃO-03</v>
      </c>
      <c r="X20" s="1" t="e">
        <f t="shared" ca="1" si="14"/>
        <v>#REF!</v>
      </c>
      <c r="Y20" s="103">
        <f t="shared" ca="1" si="15"/>
        <v>0</v>
      </c>
      <c r="Z20" s="113">
        <f ca="1">ROUND(IF(ISNUMBER(R20),R20,IF(LEFT(R20,3)="BDI",HLOOKUP(R20,DADOS!$T$37:$X$38,2,FALSE),0)),15-11*$X$5)</f>
        <v>0.2147</v>
      </c>
      <c r="AA20" s="1"/>
    </row>
    <row r="21" spans="1:27" x14ac:dyDescent="0.2">
      <c r="A21">
        <f t="shared" si="0"/>
        <v>2</v>
      </c>
      <c r="B21">
        <f t="shared" ca="1" si="1"/>
        <v>9</v>
      </c>
      <c r="C21">
        <f t="shared" ca="1" si="2"/>
        <v>1</v>
      </c>
      <c r="D21">
        <f t="shared" ca="1" si="3"/>
        <v>4</v>
      </c>
      <c r="E21">
        <f t="shared" ca="1" si="4"/>
        <v>0</v>
      </c>
      <c r="F21">
        <f t="shared" ca="1" si="5"/>
        <v>0</v>
      </c>
      <c r="G21">
        <f t="shared" ca="1" si="6"/>
        <v>0</v>
      </c>
      <c r="H21">
        <f t="shared" ca="1" si="7"/>
        <v>19</v>
      </c>
      <c r="I21">
        <f t="shared" ca="1" si="8"/>
        <v>9</v>
      </c>
      <c r="J21" s="102" t="s">
        <v>100</v>
      </c>
      <c r="K21" s="138" t="str">
        <f t="shared" ca="1" si="9"/>
        <v>1.4.</v>
      </c>
      <c r="L21" s="177"/>
      <c r="M21" s="177"/>
      <c r="N21" s="202" t="s">
        <v>262</v>
      </c>
      <c r="O21" s="197" t="str">
        <f ca="1">Referencia.Unidade</f>
        <v/>
      </c>
      <c r="P21" s="200">
        <v>0</v>
      </c>
      <c r="Q21" s="196"/>
      <c r="R21" s="199" t="s">
        <v>7</v>
      </c>
      <c r="S21" s="103">
        <f t="shared" si="10"/>
        <v>0</v>
      </c>
      <c r="T21" s="83">
        <f t="shared" ca="1" si="11"/>
        <v>889638.21</v>
      </c>
      <c r="U21" s="9" t="str">
        <f t="shared" ca="1" si="12"/>
        <v/>
      </c>
      <c r="V21" s="1">
        <f ca="1">IF(OR($A21=0,$A21="S",$A21&gt;CFF!$A$9),"",MAX(V$12:OFFSET(V21,-1,0))+1)</f>
        <v>5</v>
      </c>
      <c r="W21" s="4" t="b">
        <f t="shared" si="13"/>
        <v>0</v>
      </c>
      <c r="X21" s="1" t="str">
        <f t="shared" ca="1" si="14"/>
        <v>X</v>
      </c>
      <c r="Y21" s="103">
        <f t="shared" ca="1" si="15"/>
        <v>0</v>
      </c>
      <c r="Z21" s="113">
        <f ca="1">ROUND(IF(ISNUMBER(R21),R21,IF(LEFT(R21,3)="BDI",HLOOKUP(R21,DADOS!$T$37:$X$38,2,FALSE),0)),15-11*$X$5)</f>
        <v>0.2147</v>
      </c>
      <c r="AA21" s="1"/>
    </row>
    <row r="22" spans="1:27" x14ac:dyDescent="0.2">
      <c r="A22" t="str">
        <f t="shared" si="0"/>
        <v>S</v>
      </c>
      <c r="B22">
        <f t="shared" si="1"/>
        <v>0</v>
      </c>
      <c r="C22">
        <f t="shared" ca="1" si="2"/>
        <v>1</v>
      </c>
      <c r="D22">
        <f t="shared" ca="1" si="3"/>
        <v>4</v>
      </c>
      <c r="E22">
        <f t="shared" ca="1" si="4"/>
        <v>0</v>
      </c>
      <c r="F22">
        <f t="shared" ca="1" si="5"/>
        <v>0</v>
      </c>
      <c r="G22">
        <f t="shared" ca="1" si="6"/>
        <v>1</v>
      </c>
      <c r="H22">
        <f t="shared" ca="1" si="7"/>
        <v>0</v>
      </c>
      <c r="I22">
        <f t="shared" ca="1" si="8"/>
        <v>0</v>
      </c>
      <c r="J22" s="102" t="s">
        <v>103</v>
      </c>
      <c r="K22" s="138" t="str">
        <f t="shared" ca="1" si="9"/>
        <v>1.4.0.1.</v>
      </c>
      <c r="L22" s="177" t="s">
        <v>272</v>
      </c>
      <c r="M22" s="177" t="s">
        <v>277</v>
      </c>
      <c r="N22" s="198" t="s">
        <v>278</v>
      </c>
      <c r="O22" s="197" t="s">
        <v>256</v>
      </c>
      <c r="P22" s="200">
        <v>10766.7</v>
      </c>
      <c r="Q22" s="196">
        <v>0.64</v>
      </c>
      <c r="R22" s="199" t="s">
        <v>7</v>
      </c>
      <c r="S22" s="103">
        <f t="shared" ca="1" si="10"/>
        <v>0.78</v>
      </c>
      <c r="T22" s="83">
        <f t="shared" ca="1" si="11"/>
        <v>8398.0300000000007</v>
      </c>
      <c r="U22" s="9" t="str">
        <f t="shared" ca="1" si="12"/>
        <v>ACIMA REF.</v>
      </c>
      <c r="V22" s="1" t="str">
        <f ca="1">IF(OR($A22=0,$A22="S",$A22&gt;CFF!$A$9),"",MAX(V$12:OFFSET(V22,-1,0))+1)</f>
        <v/>
      </c>
      <c r="W22" s="4" t="str">
        <f t="shared" si="13"/>
        <v>SICRO-4011351</v>
      </c>
      <c r="X22" s="1" t="e">
        <f t="shared" ca="1" si="14"/>
        <v>#REF!</v>
      </c>
      <c r="Y22" s="103">
        <f t="shared" ca="1" si="15"/>
        <v>0</v>
      </c>
      <c r="Z22" s="113">
        <f ca="1">ROUND(IF(ISNUMBER(R22),R22,IF(LEFT(R22,3)="BDI",HLOOKUP(R22,DADOS!$T$37:$X$38,2,FALSE),0)),15-11*$X$5)</f>
        <v>0.2147</v>
      </c>
      <c r="AA22" s="1"/>
    </row>
    <row r="23" spans="1:27" x14ac:dyDescent="0.2">
      <c r="A23" t="str">
        <f t="shared" si="0"/>
        <v>S</v>
      </c>
      <c r="B23">
        <f t="shared" si="1"/>
        <v>0</v>
      </c>
      <c r="C23">
        <f t="shared" ca="1" si="2"/>
        <v>1</v>
      </c>
      <c r="D23">
        <f t="shared" ca="1" si="3"/>
        <v>4</v>
      </c>
      <c r="E23">
        <f t="shared" ca="1" si="4"/>
        <v>0</v>
      </c>
      <c r="F23">
        <f t="shared" ca="1" si="5"/>
        <v>0</v>
      </c>
      <c r="G23">
        <f t="shared" ca="1" si="6"/>
        <v>2</v>
      </c>
      <c r="H23">
        <f t="shared" ca="1" si="7"/>
        <v>0</v>
      </c>
      <c r="I23">
        <f t="shared" ca="1" si="8"/>
        <v>0</v>
      </c>
      <c r="J23" s="102" t="s">
        <v>103</v>
      </c>
      <c r="K23" s="138" t="str">
        <f t="shared" ca="1" si="9"/>
        <v>1.4.0.2.</v>
      </c>
      <c r="L23" s="177" t="s">
        <v>272</v>
      </c>
      <c r="M23" s="177" t="s">
        <v>279</v>
      </c>
      <c r="N23" s="198" t="s">
        <v>280</v>
      </c>
      <c r="O23" s="197" t="s">
        <v>256</v>
      </c>
      <c r="P23" s="200">
        <v>10766.7</v>
      </c>
      <c r="Q23" s="196">
        <v>0.48</v>
      </c>
      <c r="R23" s="199" t="s">
        <v>7</v>
      </c>
      <c r="S23" s="103">
        <f t="shared" ca="1" si="10"/>
        <v>0.57999999999999996</v>
      </c>
      <c r="T23" s="83">
        <f t="shared" ca="1" si="11"/>
        <v>6244.69</v>
      </c>
      <c r="U23" s="9" t="str">
        <f t="shared" ca="1" si="12"/>
        <v>ACIMA REF.</v>
      </c>
      <c r="V23" s="1" t="str">
        <f ca="1">IF(OR($A23=0,$A23="S",$A23&gt;CFF!$A$9),"",MAX(V$12:OFFSET(V23,-1,0))+1)</f>
        <v/>
      </c>
      <c r="W23" s="4" t="str">
        <f t="shared" si="13"/>
        <v>SICRO-4011353</v>
      </c>
      <c r="X23" s="1" t="e">
        <f t="shared" ca="1" si="14"/>
        <v>#REF!</v>
      </c>
      <c r="Y23" s="103">
        <f t="shared" ca="1" si="15"/>
        <v>0</v>
      </c>
      <c r="Z23" s="113">
        <f ca="1">ROUND(IF(ISNUMBER(R23),R23,IF(LEFT(R23,3)="BDI",HLOOKUP(R23,DADOS!$T$37:$X$38,2,FALSE),0)),15-11*$X$5)</f>
        <v>0.2147</v>
      </c>
      <c r="AA23" s="1"/>
    </row>
    <row r="24" spans="1:27" x14ac:dyDescent="0.2">
      <c r="A24" t="str">
        <f t="shared" si="0"/>
        <v>S</v>
      </c>
      <c r="B24">
        <f t="shared" si="1"/>
        <v>0</v>
      </c>
      <c r="C24">
        <f t="shared" ca="1" si="2"/>
        <v>1</v>
      </c>
      <c r="D24">
        <f t="shared" ca="1" si="3"/>
        <v>4</v>
      </c>
      <c r="E24">
        <f t="shared" ca="1" si="4"/>
        <v>0</v>
      </c>
      <c r="F24">
        <f t="shared" ca="1" si="5"/>
        <v>0</v>
      </c>
      <c r="G24">
        <f t="shared" ca="1" si="6"/>
        <v>3</v>
      </c>
      <c r="H24">
        <f t="shared" ca="1" si="7"/>
        <v>0</v>
      </c>
      <c r="I24">
        <f t="shared" ca="1" si="8"/>
        <v>0</v>
      </c>
      <c r="J24" s="102" t="s">
        <v>103</v>
      </c>
      <c r="K24" s="138" t="str">
        <f t="shared" ca="1" si="9"/>
        <v>1.4.0.3.</v>
      </c>
      <c r="L24" s="177" t="s">
        <v>272</v>
      </c>
      <c r="M24" s="177" t="s">
        <v>281</v>
      </c>
      <c r="N24" s="198" t="s">
        <v>282</v>
      </c>
      <c r="O24" s="197" t="s">
        <v>283</v>
      </c>
      <c r="P24" s="200">
        <f>538.335*2.55</f>
        <v>1372.75425</v>
      </c>
      <c r="Q24" s="196">
        <v>187.41</v>
      </c>
      <c r="R24" s="199" t="s">
        <v>7</v>
      </c>
      <c r="S24" s="103">
        <f t="shared" ca="1" si="10"/>
        <v>227.65</v>
      </c>
      <c r="T24" s="83">
        <f t="shared" ca="1" si="11"/>
        <v>312506.53999999998</v>
      </c>
      <c r="U24" s="9" t="str">
        <f t="shared" ca="1" si="12"/>
        <v>ACIMA REF.</v>
      </c>
      <c r="V24" s="1" t="str">
        <f ca="1">IF(OR($A24=0,$A24="S",$A24&gt;CFF!$A$9),"",MAX(V$12:OFFSET(V24,-1,0))+1)</f>
        <v/>
      </c>
      <c r="W24" s="4" t="str">
        <f t="shared" si="13"/>
        <v>SICRO-4011463</v>
      </c>
      <c r="X24" s="1" t="e">
        <f t="shared" ca="1" si="14"/>
        <v>#REF!</v>
      </c>
      <c r="Y24" s="103">
        <f t="shared" ca="1" si="15"/>
        <v>0</v>
      </c>
      <c r="Z24" s="113">
        <f ca="1">ROUND(IF(ISNUMBER(R24),R24,IF(LEFT(R24,3)="BDI",HLOOKUP(R24,DADOS!$T$37:$X$38,2,FALSE),0)),15-11*$X$5)</f>
        <v>0.2147</v>
      </c>
      <c r="AA24" s="1"/>
    </row>
    <row r="25" spans="1:27" ht="25.5" x14ac:dyDescent="0.2">
      <c r="A25" t="str">
        <f t="shared" si="0"/>
        <v>S</v>
      </c>
      <c r="B25">
        <f t="shared" si="1"/>
        <v>0</v>
      </c>
      <c r="C25">
        <f t="shared" ca="1" si="2"/>
        <v>1</v>
      </c>
      <c r="D25">
        <f t="shared" ca="1" si="3"/>
        <v>4</v>
      </c>
      <c r="E25">
        <f t="shared" ca="1" si="4"/>
        <v>0</v>
      </c>
      <c r="F25">
        <f t="shared" ca="1" si="5"/>
        <v>0</v>
      </c>
      <c r="G25">
        <f t="shared" ca="1" si="6"/>
        <v>4</v>
      </c>
      <c r="H25">
        <f t="shared" ca="1" si="7"/>
        <v>0</v>
      </c>
      <c r="I25">
        <f t="shared" ca="1" si="8"/>
        <v>0</v>
      </c>
      <c r="J25" s="102" t="s">
        <v>103</v>
      </c>
      <c r="K25" s="138" t="str">
        <f t="shared" ca="1" si="9"/>
        <v>1.4.0.4.</v>
      </c>
      <c r="L25" s="177" t="s">
        <v>272</v>
      </c>
      <c r="M25" s="177" t="s">
        <v>284</v>
      </c>
      <c r="N25" s="198" t="s">
        <v>285</v>
      </c>
      <c r="O25" s="197" t="s">
        <v>276</v>
      </c>
      <c r="P25" s="200">
        <f>P24*20</f>
        <v>27455.084999999999</v>
      </c>
      <c r="Q25" s="196">
        <v>0.94</v>
      </c>
      <c r="R25" s="199" t="s">
        <v>7</v>
      </c>
      <c r="S25" s="103">
        <f t="shared" ca="1" si="10"/>
        <v>1.1399999999999999</v>
      </c>
      <c r="T25" s="83">
        <f t="shared" ca="1" si="11"/>
        <v>31298.799999999999</v>
      </c>
      <c r="U25" s="9" t="str">
        <f t="shared" ca="1" si="12"/>
        <v>ACIMA REF.</v>
      </c>
      <c r="V25" s="1" t="str">
        <f ca="1">IF(OR($A25=0,$A25="S",$A25&gt;CFF!$A$9),"",MAX(V$12:OFFSET(V25,-1,0))+1)</f>
        <v/>
      </c>
      <c r="W25" s="4" t="str">
        <f t="shared" si="13"/>
        <v>SICRO-5914612</v>
      </c>
      <c r="X25" s="1" t="e">
        <f t="shared" ca="1" si="14"/>
        <v>#REF!</v>
      </c>
      <c r="Y25" s="103">
        <f t="shared" ca="1" si="15"/>
        <v>0</v>
      </c>
      <c r="Z25" s="113">
        <f ca="1">ROUND(IF(ISNUMBER(R25),R25,IF(LEFT(R25,3)="BDI",HLOOKUP(R25,DADOS!$T$37:$X$38,2,FALSE),0)),15-11*$X$5)</f>
        <v>0.2147</v>
      </c>
      <c r="AA25" s="1"/>
    </row>
    <row r="26" spans="1:27" ht="25.5" x14ac:dyDescent="0.2">
      <c r="A26" t="str">
        <f t="shared" si="0"/>
        <v>S</v>
      </c>
      <c r="B26">
        <f t="shared" si="1"/>
        <v>0</v>
      </c>
      <c r="C26">
        <f t="shared" ca="1" si="2"/>
        <v>1</v>
      </c>
      <c r="D26">
        <f t="shared" ca="1" si="3"/>
        <v>4</v>
      </c>
      <c r="E26">
        <f t="shared" ca="1" si="4"/>
        <v>0</v>
      </c>
      <c r="F26">
        <f t="shared" ca="1" si="5"/>
        <v>0</v>
      </c>
      <c r="G26">
        <f t="shared" ca="1" si="6"/>
        <v>5</v>
      </c>
      <c r="H26">
        <f t="shared" ref="H26:H29" ca="1" si="16">IF(OR($A26="S",$A26=0),0,MATCH(0,OFFSET($B26,1,$A26,ROW($A$40)-ROW($A26)),0))</f>
        <v>0</v>
      </c>
      <c r="I26">
        <f t="shared" ref="I26:I29" ca="1" si="17">IF(OR($A26="S",$A26=0),0,MATCH(OFFSET($B26,0,$A26)+1,OFFSET($B26,1,$A26,ROW($A$40)-ROW($A26)),0))</f>
        <v>0</v>
      </c>
      <c r="J26" s="102" t="s">
        <v>103</v>
      </c>
      <c r="K26" s="138" t="str">
        <f t="shared" ca="1" si="9"/>
        <v>1.4.0.5.</v>
      </c>
      <c r="L26" s="177" t="s">
        <v>286</v>
      </c>
      <c r="M26" s="177" t="s">
        <v>255</v>
      </c>
      <c r="N26" s="198" t="s">
        <v>287</v>
      </c>
      <c r="O26" s="197" t="s">
        <v>288</v>
      </c>
      <c r="P26" s="200">
        <f>P22*0.0012</f>
        <v>12.92004</v>
      </c>
      <c r="Q26" s="196">
        <v>6121.3</v>
      </c>
      <c r="R26" s="199" t="s">
        <v>8</v>
      </c>
      <c r="S26" s="103">
        <f t="shared" ca="1" si="10"/>
        <v>7039.5</v>
      </c>
      <c r="T26" s="83">
        <f t="shared" ca="1" si="11"/>
        <v>90950.34</v>
      </c>
      <c r="U26" s="9" t="str">
        <f t="shared" ca="1" si="12"/>
        <v>ACIMA REF.</v>
      </c>
      <c r="V26" s="1" t="str">
        <f ca="1">IF(OR($A26=0,$A26="S",$A26&gt;CFF!$A$9),"",MAX(V$12:OFFSET(V26,-1,0))+1)</f>
        <v/>
      </c>
      <c r="W26" s="4" t="str">
        <f t="shared" si="13"/>
        <v>Cotação-01</v>
      </c>
      <c r="X26" s="1" t="e">
        <f t="shared" ca="1" si="14"/>
        <v>#REF!</v>
      </c>
      <c r="Y26" s="103">
        <f t="shared" ca="1" si="15"/>
        <v>0</v>
      </c>
      <c r="Z26" s="113">
        <f ca="1">ROUND(IF(ISNUMBER(R26),R26,IF(LEFT(R26,3)="BDI",HLOOKUP(R26,DADOS!$T$37:$X$38,2,FALSE),0)),15-11*$X$5)</f>
        <v>0.15</v>
      </c>
      <c r="AA26" s="1"/>
    </row>
    <row r="27" spans="1:27" x14ac:dyDescent="0.2">
      <c r="A27" t="str">
        <f>CHOOSE(1+LOG(1+2*(J27="Meta")+4*(J27="Nível 2")+8*(J27="Nível 3")+16*(J27="Nível 4")+32*(J27="Serviço"),2),0,1,2,3,4,"S")</f>
        <v>S</v>
      </c>
      <c r="B27">
        <f>IF(OR(A27="S",A27=0),0,IF(ISERROR(I27),H27,SMALL(H27:I27,1)))</f>
        <v>0</v>
      </c>
      <c r="C27">
        <f ca="1">IF($A27=1,OFFSET(C27,-1,0)+1,OFFSET(C27,-1,0))</f>
        <v>1</v>
      </c>
      <c r="D27">
        <f ca="1">IF($A27=1,0,IF($A27=2,OFFSET(D27,-1,0)+1,OFFSET(D27,-1,0)))</f>
        <v>4</v>
      </c>
      <c r="E27">
        <f ca="1">IF(AND($A27&lt;=2,$A27&lt;&gt;0),0,IF($A27=3,OFFSET(E27,-1,0)+1,OFFSET(E27,-1,0)))</f>
        <v>0</v>
      </c>
      <c r="F27">
        <f ca="1">IF(AND($A27&lt;=3,$A27&lt;&gt;0),0,IF($A27=4,OFFSET(F27,-1,0)+1,OFFSET(F27,-1,0)))</f>
        <v>0</v>
      </c>
      <c r="G27">
        <f ca="1">IF(AND($A27&lt;=4,$A27&lt;&gt;0),0,IF($A27="S",OFFSET(G27,-1,0)+1,OFFSET(G27,-1,0)))</f>
        <v>6</v>
      </c>
      <c r="H27">
        <f ca="1">IF(OR($A27="S",$A27=0),0,MATCH(0,OFFSET($B27,1,$A27,ROW($A$40)-ROW($A27)),0))</f>
        <v>0</v>
      </c>
      <c r="I27">
        <f ca="1">IF(OR($A27="S",$A27=0),0,MATCH(OFFSET($B27,0,$A27)+1,OFFSET($B27,1,$A27,ROW($A$40)-ROW($A27)),0))</f>
        <v>0</v>
      </c>
      <c r="J27" s="102" t="s">
        <v>103</v>
      </c>
      <c r="K27" s="138" t="str">
        <f ca="1">IF($A27=0,"-",CONCATENATE(C27&amp;".",IF(AND($A$5&gt;=2,$A27&gt;=2),D27&amp;".",""),IF(AND($A$5&gt;=3,$A27&gt;=3),E27&amp;".",""),IF(AND($A$5&gt;=4,$A27&gt;=4),F27&amp;".",""),IF($A27="S",G27&amp;".","")))</f>
        <v>1.4.0.6.</v>
      </c>
      <c r="L27" s="177" t="s">
        <v>286</v>
      </c>
      <c r="M27" s="177" t="s">
        <v>263</v>
      </c>
      <c r="N27" s="198" t="s">
        <v>289</v>
      </c>
      <c r="O27" s="197" t="s">
        <v>288</v>
      </c>
      <c r="P27" s="200">
        <f>P24*0.055</f>
        <v>75.501483749999991</v>
      </c>
      <c r="Q27" s="196">
        <v>4762.1099999999997</v>
      </c>
      <c r="R27" s="199" t="s">
        <v>8</v>
      </c>
      <c r="S27" s="103">
        <f ca="1">IF($A27="S",IF($Q$10="Preço Unitário (R$)",PO.CustoUnitario,ROUND(PO.CustoUnitario*(1+$Z27),15-13*$X$6)),0)</f>
        <v>5476.43</v>
      </c>
      <c r="T27" s="83">
        <f ca="1">IF($A27="S",VTOTAL1,IF($A27=0,0,ROUND(SomaAgrup,15-13*$X$7)))</f>
        <v>413470.47</v>
      </c>
      <c r="U27" s="9" t="str">
        <f ca="1">IF($J27="","",IF($N27="","DESCRIÇÃO",IF(AND($J27="Serviço",$O27=""),"UNIDADE",IF($T27&lt;=0,"SEM VALOR",IF(AND($Y27&lt;&gt;"",$Q27&gt;$Y27),"ACIMA REF.","")))))</f>
        <v>ACIMA REF.</v>
      </c>
      <c r="V27" s="1" t="str">
        <f ca="1">IF(OR($A27=0,$A27="S",$A27&gt;CFF!$A$9),"",MAX(V$12:OFFSET(V27,-1,0))+1)</f>
        <v/>
      </c>
      <c r="W27" s="4" t="str">
        <f>IF(AND($J27="Serviço",$M27&lt;&gt;""),IF($L27="",$M27,CONCATENATE($L27,"-",$M27)))</f>
        <v>Cotação-02</v>
      </c>
      <c r="X27" s="1" t="e">
        <f ca="1">IF(AND(Fonte&lt;&gt;"",Código&lt;&gt;""),MATCH(Fonte&amp;" "&amp;IF(Fonte="sinapi",SUBSTITUTE(SUBSTITUTE(Código,"/00","/"),"/0","/"),Código),INDIRECT("'[Referência "&amp;_xlnm.Database&amp;".xls]Banco'!$a:$a"),0),"X")</f>
        <v>#REF!</v>
      </c>
      <c r="Y27" s="103">
        <f ca="1">IF(Import.Desoneracao="sim",Referencia.Desonerado,Referencia.NaoDesonerado)</f>
        <v>0</v>
      </c>
      <c r="Z27" s="113">
        <f ca="1">ROUND(IF(ISNUMBER(R27),R27,IF(LEFT(R27,3)="BDI",HLOOKUP(R27,DADOS!$T$37:$X$38,2,FALSE),0)),15-11*$X$5)</f>
        <v>0.15</v>
      </c>
      <c r="AA27" s="1"/>
    </row>
    <row r="28" spans="1:27" ht="25.5" x14ac:dyDescent="0.2">
      <c r="A28" t="str">
        <f t="shared" si="0"/>
        <v>S</v>
      </c>
      <c r="B28">
        <f t="shared" si="1"/>
        <v>0</v>
      </c>
      <c r="C28">
        <f t="shared" ca="1" si="2"/>
        <v>1</v>
      </c>
      <c r="D28">
        <f t="shared" ca="1" si="3"/>
        <v>4</v>
      </c>
      <c r="E28">
        <f t="shared" ca="1" si="4"/>
        <v>0</v>
      </c>
      <c r="F28">
        <f t="shared" ca="1" si="5"/>
        <v>0</v>
      </c>
      <c r="G28">
        <f t="shared" ca="1" si="6"/>
        <v>7</v>
      </c>
      <c r="H28">
        <f t="shared" ca="1" si="16"/>
        <v>0</v>
      </c>
      <c r="I28">
        <f t="shared" ca="1" si="17"/>
        <v>0</v>
      </c>
      <c r="J28" s="102" t="s">
        <v>103</v>
      </c>
      <c r="K28" s="138" t="str">
        <f t="shared" ca="1" si="9"/>
        <v>1.4.0.7.</v>
      </c>
      <c r="L28" s="177" t="s">
        <v>286</v>
      </c>
      <c r="M28" s="177" t="s">
        <v>259</v>
      </c>
      <c r="N28" s="198" t="s">
        <v>290</v>
      </c>
      <c r="O28" s="197" t="s">
        <v>288</v>
      </c>
      <c r="P28" s="200">
        <f>0.0005*P23</f>
        <v>5.3833500000000001</v>
      </c>
      <c r="Q28" s="196">
        <v>3514.04</v>
      </c>
      <c r="R28" s="199" t="s">
        <v>8</v>
      </c>
      <c r="S28" s="103">
        <f t="shared" ca="1" si="10"/>
        <v>4041.15</v>
      </c>
      <c r="T28" s="83">
        <f t="shared" ca="1" si="11"/>
        <v>21741.39</v>
      </c>
      <c r="U28" s="9" t="str">
        <f t="shared" ca="1" si="12"/>
        <v>ACIMA REF.</v>
      </c>
      <c r="V28" s="1" t="str">
        <f ca="1">IF(OR($A28=0,$A28="S",$A28&gt;CFF!$A$9),"",MAX(V$12:OFFSET(V28,-1,0))+1)</f>
        <v/>
      </c>
      <c r="W28" s="4" t="str">
        <f t="shared" si="13"/>
        <v>Cotação-03</v>
      </c>
      <c r="X28" s="1" t="e">
        <f t="shared" ca="1" si="14"/>
        <v>#REF!</v>
      </c>
      <c r="Y28" s="103">
        <f t="shared" ca="1" si="15"/>
        <v>0</v>
      </c>
      <c r="Z28" s="113">
        <f ca="1">ROUND(IF(ISNUMBER(R28),R28,IF(LEFT(R28,3)="BDI",HLOOKUP(R28,DADOS!$T$37:$X$38,2,FALSE),0)),15-11*$X$5)</f>
        <v>0.15</v>
      </c>
      <c r="AA28" s="1"/>
    </row>
    <row r="29" spans="1:27" x14ac:dyDescent="0.2">
      <c r="A29" t="str">
        <f t="shared" si="0"/>
        <v>S</v>
      </c>
      <c r="B29">
        <f t="shared" si="1"/>
        <v>0</v>
      </c>
      <c r="C29">
        <f t="shared" ca="1" si="2"/>
        <v>1</v>
      </c>
      <c r="D29">
        <f t="shared" ca="1" si="3"/>
        <v>4</v>
      </c>
      <c r="E29">
        <f t="shared" ca="1" si="4"/>
        <v>0</v>
      </c>
      <c r="F29">
        <f t="shared" ca="1" si="5"/>
        <v>0</v>
      </c>
      <c r="G29">
        <f t="shared" ca="1" si="6"/>
        <v>8</v>
      </c>
      <c r="H29">
        <f t="shared" ca="1" si="16"/>
        <v>0</v>
      </c>
      <c r="I29">
        <f t="shared" ca="1" si="17"/>
        <v>0</v>
      </c>
      <c r="J29" s="102" t="s">
        <v>103</v>
      </c>
      <c r="K29" s="138" t="str">
        <f t="shared" ca="1" si="9"/>
        <v>1.4.0.8.</v>
      </c>
      <c r="L29" s="177" t="s">
        <v>272</v>
      </c>
      <c r="M29" s="177" t="s">
        <v>291</v>
      </c>
      <c r="N29" s="198" t="s">
        <v>292</v>
      </c>
      <c r="O29" s="197" t="s">
        <v>276</v>
      </c>
      <c r="P29" s="200">
        <f>SUM(P26:P28)*20</f>
        <v>1876.0974749999996</v>
      </c>
      <c r="Q29" s="196">
        <v>2.21</v>
      </c>
      <c r="R29" s="199" t="s">
        <v>7</v>
      </c>
      <c r="S29" s="103">
        <f t="shared" ca="1" si="10"/>
        <v>2.68</v>
      </c>
      <c r="T29" s="83">
        <f t="shared" ca="1" si="11"/>
        <v>5027.95</v>
      </c>
      <c r="U29" s="9" t="str">
        <f t="shared" ca="1" si="12"/>
        <v>ACIMA REF.</v>
      </c>
      <c r="V29" s="1" t="str">
        <f ca="1">IF(OR($A29=0,$A29="S",$A29&gt;CFF!$A$9),"",MAX(V$12:OFFSET(V29,-1,0))+1)</f>
        <v/>
      </c>
      <c r="W29" s="4" t="str">
        <f t="shared" si="13"/>
        <v>SICRO-5914622</v>
      </c>
      <c r="X29" s="1" t="e">
        <f t="shared" ca="1" si="14"/>
        <v>#REF!</v>
      </c>
      <c r="Y29" s="103">
        <f t="shared" ca="1" si="15"/>
        <v>0</v>
      </c>
      <c r="Z29" s="113">
        <f ca="1">ROUND(IF(ISNUMBER(R29),R29,IF(LEFT(R29,3)="BDI",HLOOKUP(R29,DADOS!$T$37:$X$38,2,FALSE),0)),15-11*$X$5)</f>
        <v>0.2147</v>
      </c>
      <c r="AA29" s="1"/>
    </row>
    <row r="30" spans="1:27" x14ac:dyDescent="0.2">
      <c r="A30">
        <f t="shared" si="0"/>
        <v>2</v>
      </c>
      <c r="B30">
        <f t="shared" ca="1" si="1"/>
        <v>10</v>
      </c>
      <c r="C30">
        <f t="shared" ca="1" si="2"/>
        <v>1</v>
      </c>
      <c r="D30">
        <f t="shared" ca="1" si="3"/>
        <v>5</v>
      </c>
      <c r="E30">
        <f t="shared" ca="1" si="4"/>
        <v>0</v>
      </c>
      <c r="F30">
        <f t="shared" ca="1" si="5"/>
        <v>0</v>
      </c>
      <c r="G30">
        <f t="shared" ca="1" si="6"/>
        <v>0</v>
      </c>
      <c r="H30">
        <f t="shared" ref="H30:H35" ca="1" si="18">IF(OR($A30="S",$A30=0),0,MATCH(0,OFFSET($B30,1,$A30,ROW($A$40)-ROW($A30)),0))</f>
        <v>10</v>
      </c>
      <c r="I30" t="e">
        <f t="shared" ref="I30:I35" ca="1" si="19">IF(OR($A30="S",$A30=0),0,MATCH(OFFSET($B30,0,$A30)+1,OFFSET($B30,1,$A30,ROW($A$40)-ROW($A30)),0))</f>
        <v>#N/A</v>
      </c>
      <c r="J30" s="102" t="s">
        <v>100</v>
      </c>
      <c r="K30" s="138" t="str">
        <f t="shared" ca="1" si="9"/>
        <v>1.5.</v>
      </c>
      <c r="L30" s="177"/>
      <c r="M30" s="177"/>
      <c r="N30" s="198" t="s">
        <v>234</v>
      </c>
      <c r="O30" s="197" t="str">
        <f ca="1">Referencia.Unidade</f>
        <v/>
      </c>
      <c r="P30" s="200">
        <v>0</v>
      </c>
      <c r="Q30" s="196"/>
      <c r="R30" s="199" t="s">
        <v>7</v>
      </c>
      <c r="S30" s="103">
        <f t="shared" si="10"/>
        <v>0</v>
      </c>
      <c r="T30" s="83">
        <f t="shared" ca="1" si="11"/>
        <v>67073.210000000006</v>
      </c>
      <c r="U30" s="9" t="str">
        <f t="shared" ca="1" si="12"/>
        <v/>
      </c>
      <c r="V30" s="1">
        <f ca="1">IF(OR($A30=0,$A30="S",$A30&gt;CFF!$A$9),"",MAX(V$12:OFFSET(V30,-1,0))+1)</f>
        <v>6</v>
      </c>
      <c r="W30" s="4" t="b">
        <f t="shared" si="13"/>
        <v>0</v>
      </c>
      <c r="X30" s="1" t="str">
        <f t="shared" ca="1" si="14"/>
        <v>X</v>
      </c>
      <c r="Y30" s="103">
        <f t="shared" ca="1" si="15"/>
        <v>0</v>
      </c>
      <c r="Z30" s="113">
        <f ca="1">ROUND(IF(ISNUMBER(R30),R30,IF(LEFT(R30,3)="BDI",HLOOKUP(R30,DADOS!$T$37:$X$38,2,FALSE),0)),15-11*$X$5)</f>
        <v>0.2147</v>
      </c>
      <c r="AA30" s="1"/>
    </row>
    <row r="31" spans="1:27" x14ac:dyDescent="0.2">
      <c r="A31">
        <f t="shared" si="0"/>
        <v>3</v>
      </c>
      <c r="B31">
        <f t="shared" ca="1" si="1"/>
        <v>3</v>
      </c>
      <c r="C31">
        <f t="shared" ca="1" si="2"/>
        <v>1</v>
      </c>
      <c r="D31">
        <f t="shared" ca="1" si="3"/>
        <v>5</v>
      </c>
      <c r="E31">
        <f t="shared" ca="1" si="4"/>
        <v>1</v>
      </c>
      <c r="F31">
        <f t="shared" ca="1" si="5"/>
        <v>0</v>
      </c>
      <c r="G31">
        <f t="shared" ca="1" si="6"/>
        <v>0</v>
      </c>
      <c r="H31">
        <f t="shared" ca="1" si="18"/>
        <v>9</v>
      </c>
      <c r="I31">
        <f t="shared" ca="1" si="19"/>
        <v>3</v>
      </c>
      <c r="J31" s="102" t="s">
        <v>101</v>
      </c>
      <c r="K31" s="138" t="str">
        <f t="shared" ca="1" si="9"/>
        <v>1.5.1.</v>
      </c>
      <c r="L31" s="177"/>
      <c r="M31" s="177"/>
      <c r="N31" s="198" t="s">
        <v>240</v>
      </c>
      <c r="O31" s="197" t="str">
        <f ca="1">Referencia.Unidade</f>
        <v/>
      </c>
      <c r="P31" s="200">
        <v>0</v>
      </c>
      <c r="Q31" s="196"/>
      <c r="R31" s="199" t="s">
        <v>7</v>
      </c>
      <c r="S31" s="103">
        <f t="shared" si="10"/>
        <v>0</v>
      </c>
      <c r="T31" s="83">
        <f t="shared" ca="1" si="11"/>
        <v>44261.25</v>
      </c>
      <c r="U31" s="9" t="str">
        <f t="shared" ca="1" si="12"/>
        <v/>
      </c>
      <c r="V31" s="1" t="str">
        <f ca="1">IF(OR($A31=0,$A31="S",$A31&gt;CFF!$A$9),"",MAX(V$12:OFFSET(V31,-1,0))+1)</f>
        <v/>
      </c>
      <c r="W31" s="4" t="b">
        <f t="shared" si="13"/>
        <v>0</v>
      </c>
      <c r="X31" s="1" t="str">
        <f t="shared" ca="1" si="14"/>
        <v>X</v>
      </c>
      <c r="Y31" s="103">
        <f t="shared" ca="1" si="15"/>
        <v>0</v>
      </c>
      <c r="Z31" s="113">
        <f ca="1">ROUND(IF(ISNUMBER(R31),R31,IF(LEFT(R31,3)="BDI",HLOOKUP(R31,DADOS!$T$37:$X$38,2,FALSE),0)),15-11*$X$5)</f>
        <v>0.2147</v>
      </c>
      <c r="AA31" s="1"/>
    </row>
    <row r="32" spans="1:27" ht="25.5" x14ac:dyDescent="0.2">
      <c r="A32" t="str">
        <f t="shared" si="0"/>
        <v>S</v>
      </c>
      <c r="B32">
        <f t="shared" si="1"/>
        <v>0</v>
      </c>
      <c r="C32">
        <f t="shared" ca="1" si="2"/>
        <v>1</v>
      </c>
      <c r="D32">
        <f t="shared" ca="1" si="3"/>
        <v>5</v>
      </c>
      <c r="E32">
        <f t="shared" ca="1" si="4"/>
        <v>1</v>
      </c>
      <c r="F32">
        <f t="shared" ca="1" si="5"/>
        <v>0</v>
      </c>
      <c r="G32">
        <f t="shared" ca="1" si="6"/>
        <v>1</v>
      </c>
      <c r="H32">
        <f t="shared" ca="1" si="18"/>
        <v>0</v>
      </c>
      <c r="I32">
        <f t="shared" ca="1" si="19"/>
        <v>0</v>
      </c>
      <c r="J32" s="102" t="s">
        <v>103</v>
      </c>
      <c r="K32" s="138" t="str">
        <f t="shared" ca="1" si="9"/>
        <v>1.5.1.1.</v>
      </c>
      <c r="L32" s="177" t="s">
        <v>232</v>
      </c>
      <c r="M32" s="177" t="s">
        <v>247</v>
      </c>
      <c r="N32" s="198" t="s">
        <v>246</v>
      </c>
      <c r="O32" s="197" t="s">
        <v>245</v>
      </c>
      <c r="P32" s="200">
        <f>(1233*4)+(73*3)</f>
        <v>5151</v>
      </c>
      <c r="Q32" s="196">
        <v>7.04</v>
      </c>
      <c r="R32" s="199" t="s">
        <v>7</v>
      </c>
      <c r="S32" s="103">
        <f t="shared" ca="1" si="10"/>
        <v>8.5500000000000007</v>
      </c>
      <c r="T32" s="83">
        <f t="shared" ca="1" si="11"/>
        <v>44041.05</v>
      </c>
      <c r="U32" s="9" t="str">
        <f t="shared" ca="1" si="12"/>
        <v>ACIMA REF.</v>
      </c>
      <c r="V32" s="1" t="str">
        <f ca="1">IF(OR($A32=0,$A32="S",$A32&gt;CFF!$A$9),"",MAX(V$12:OFFSET(V32,-1,0))+1)</f>
        <v/>
      </c>
      <c r="W32" s="4" t="str">
        <f t="shared" si="13"/>
        <v>SINAPI-102512</v>
      </c>
      <c r="X32" s="1" t="e">
        <f t="shared" ca="1" si="14"/>
        <v>#REF!</v>
      </c>
      <c r="Y32" s="103">
        <f t="shared" ca="1" si="15"/>
        <v>0</v>
      </c>
      <c r="Z32" s="113">
        <f ca="1">ROUND(IF(ISNUMBER(R32),R32,IF(LEFT(R32,3)="BDI",HLOOKUP(R32,DADOS!$T$37:$X$38,2,FALSE),0)),15-11*$X$5)</f>
        <v>0.2147</v>
      </c>
      <c r="AA32" s="1"/>
    </row>
    <row r="33" spans="1:27" ht="25.5" x14ac:dyDescent="0.2">
      <c r="A33" t="str">
        <f t="shared" si="0"/>
        <v>S</v>
      </c>
      <c r="B33">
        <f t="shared" si="1"/>
        <v>0</v>
      </c>
      <c r="C33">
        <f t="shared" ca="1" si="2"/>
        <v>1</v>
      </c>
      <c r="D33">
        <f t="shared" ca="1" si="3"/>
        <v>5</v>
      </c>
      <c r="E33">
        <f t="shared" ca="1" si="4"/>
        <v>1</v>
      </c>
      <c r="F33">
        <f t="shared" ca="1" si="5"/>
        <v>0</v>
      </c>
      <c r="G33">
        <f t="shared" ca="1" si="6"/>
        <v>2</v>
      </c>
      <c r="H33">
        <f t="shared" ca="1" si="18"/>
        <v>0</v>
      </c>
      <c r="I33">
        <f t="shared" ca="1" si="19"/>
        <v>0</v>
      </c>
      <c r="J33" s="102" t="s">
        <v>103</v>
      </c>
      <c r="K33" s="138" t="str">
        <f t="shared" ca="1" si="9"/>
        <v>1.5.1.2.</v>
      </c>
      <c r="L33" s="177" t="s">
        <v>232</v>
      </c>
      <c r="M33" s="177" t="s">
        <v>249</v>
      </c>
      <c r="N33" s="198" t="s">
        <v>248</v>
      </c>
      <c r="O33" s="197" t="s">
        <v>245</v>
      </c>
      <c r="P33" s="200">
        <v>6</v>
      </c>
      <c r="Q33" s="196">
        <v>30.21</v>
      </c>
      <c r="R33" s="199" t="s">
        <v>7</v>
      </c>
      <c r="S33" s="103">
        <f t="shared" ca="1" si="10"/>
        <v>36.700000000000003</v>
      </c>
      <c r="T33" s="83">
        <f t="shared" ca="1" si="11"/>
        <v>220.2</v>
      </c>
      <c r="U33" s="9" t="str">
        <f t="shared" ca="1" si="12"/>
        <v>ACIMA REF.</v>
      </c>
      <c r="V33" s="1" t="str">
        <f ca="1">IF(OR($A33=0,$A33="S",$A33&gt;CFF!$A$9),"",MAX(V$12:OFFSET(V33,-1,0))+1)</f>
        <v/>
      </c>
      <c r="W33" s="4" t="str">
        <f t="shared" si="13"/>
        <v>SINAPI-102509</v>
      </c>
      <c r="X33" s="1" t="e">
        <f t="shared" ca="1" si="14"/>
        <v>#REF!</v>
      </c>
      <c r="Y33" s="103">
        <f t="shared" ca="1" si="15"/>
        <v>0</v>
      </c>
      <c r="Z33" s="113">
        <f ca="1">ROUND(IF(ISNUMBER(R33),R33,IF(LEFT(R33,3)="BDI",HLOOKUP(R33,DADOS!$T$37:$X$38,2,FALSE),0)),15-11*$X$5)</f>
        <v>0.2147</v>
      </c>
      <c r="AA33" s="1"/>
    </row>
    <row r="34" spans="1:27" x14ac:dyDescent="0.2">
      <c r="A34">
        <f t="shared" si="0"/>
        <v>3</v>
      </c>
      <c r="B34">
        <f t="shared" ca="1" si="1"/>
        <v>6</v>
      </c>
      <c r="C34">
        <f t="shared" ca="1" si="2"/>
        <v>1</v>
      </c>
      <c r="D34">
        <f t="shared" ca="1" si="3"/>
        <v>5</v>
      </c>
      <c r="E34">
        <f t="shared" ca="1" si="4"/>
        <v>2</v>
      </c>
      <c r="F34">
        <f t="shared" ca="1" si="5"/>
        <v>0</v>
      </c>
      <c r="G34">
        <f t="shared" ca="1" si="6"/>
        <v>0</v>
      </c>
      <c r="H34">
        <f t="shared" ca="1" si="18"/>
        <v>6</v>
      </c>
      <c r="I34" t="e">
        <f t="shared" ca="1" si="19"/>
        <v>#N/A</v>
      </c>
      <c r="J34" s="102" t="s">
        <v>101</v>
      </c>
      <c r="K34" s="138" t="str">
        <f t="shared" ca="1" si="9"/>
        <v>1.5.2.</v>
      </c>
      <c r="L34" s="177"/>
      <c r="M34" s="177"/>
      <c r="N34" s="201" t="s">
        <v>241</v>
      </c>
      <c r="O34" s="197" t="str">
        <f ca="1">Referencia.Unidade</f>
        <v/>
      </c>
      <c r="P34" s="200">
        <v>0</v>
      </c>
      <c r="Q34" s="196"/>
      <c r="R34" s="199" t="s">
        <v>7</v>
      </c>
      <c r="S34" s="103">
        <f t="shared" si="10"/>
        <v>0</v>
      </c>
      <c r="T34" s="83">
        <f t="shared" ca="1" si="11"/>
        <v>22811.96</v>
      </c>
      <c r="U34" s="9" t="str">
        <f t="shared" ca="1" si="12"/>
        <v/>
      </c>
      <c r="V34" s="1" t="str">
        <f ca="1">IF(OR($A34=0,$A34="S",$A34&gt;CFF!$A$9),"",MAX(V$12:OFFSET(V34,-1,0))+1)</f>
        <v/>
      </c>
      <c r="W34" s="4" t="b">
        <f t="shared" si="13"/>
        <v>0</v>
      </c>
      <c r="X34" s="1" t="str">
        <f t="shared" ca="1" si="14"/>
        <v>X</v>
      </c>
      <c r="Y34" s="103">
        <f t="shared" ca="1" si="15"/>
        <v>0</v>
      </c>
      <c r="Z34" s="113">
        <f ca="1">ROUND(IF(ISNUMBER(R34),R34,IF(LEFT(R34,3)="BDI",HLOOKUP(R34,DADOS!$T$37:$X$38,2,FALSE),0)),15-11*$X$5)</f>
        <v>0.2147</v>
      </c>
      <c r="AA34" s="1"/>
    </row>
    <row r="35" spans="1:27" ht="38.25" x14ac:dyDescent="0.2">
      <c r="A35" t="str">
        <f t="shared" si="0"/>
        <v>S</v>
      </c>
      <c r="B35">
        <f t="shared" si="1"/>
        <v>0</v>
      </c>
      <c r="C35">
        <f t="shared" ca="1" si="2"/>
        <v>1</v>
      </c>
      <c r="D35">
        <f t="shared" ca="1" si="3"/>
        <v>5</v>
      </c>
      <c r="E35">
        <f t="shared" ca="1" si="4"/>
        <v>2</v>
      </c>
      <c r="F35">
        <f t="shared" ca="1" si="5"/>
        <v>0</v>
      </c>
      <c r="G35">
        <f t="shared" ca="1" si="6"/>
        <v>1</v>
      </c>
      <c r="H35">
        <f t="shared" ca="1" si="18"/>
        <v>0</v>
      </c>
      <c r="I35">
        <f t="shared" ca="1" si="19"/>
        <v>0</v>
      </c>
      <c r="J35" s="102" t="s">
        <v>103</v>
      </c>
      <c r="K35" s="138" t="str">
        <f t="shared" ca="1" si="9"/>
        <v>1.5.2.1.</v>
      </c>
      <c r="L35" s="177" t="s">
        <v>272</v>
      </c>
      <c r="M35" s="177">
        <v>5213464</v>
      </c>
      <c r="N35" s="198" t="s">
        <v>264</v>
      </c>
      <c r="O35" s="197" t="s">
        <v>269</v>
      </c>
      <c r="P35" s="200">
        <v>6</v>
      </c>
      <c r="Q35" s="196">
        <v>281.02999999999997</v>
      </c>
      <c r="R35" s="199" t="s">
        <v>7</v>
      </c>
      <c r="S35" s="103">
        <f t="shared" ca="1" si="10"/>
        <v>341.37</v>
      </c>
      <c r="T35" s="83">
        <f t="shared" ca="1" si="11"/>
        <v>2048.2199999999998</v>
      </c>
      <c r="U35" s="9" t="str">
        <f t="shared" ca="1" si="12"/>
        <v>ACIMA REF.</v>
      </c>
      <c r="V35" s="1" t="str">
        <f ca="1">IF(OR($A35=0,$A35="S",$A35&gt;CFF!$A$9),"",MAX(V$12:OFFSET(V35,-1,0))+1)</f>
        <v/>
      </c>
      <c r="W35" s="4" t="str">
        <f t="shared" si="13"/>
        <v>SICRO-5213464</v>
      </c>
      <c r="X35" s="1" t="e">
        <f t="shared" ca="1" si="14"/>
        <v>#REF!</v>
      </c>
      <c r="Y35" s="103">
        <f t="shared" ca="1" si="15"/>
        <v>0</v>
      </c>
      <c r="Z35" s="113">
        <f ca="1">ROUND(IF(ISNUMBER(R35),R35,IF(LEFT(R35,3)="BDI",HLOOKUP(R35,DADOS!$T$37:$X$38,2,FALSE),0)),15-11*$X$5)</f>
        <v>0.2147</v>
      </c>
      <c r="AA35" s="1"/>
    </row>
    <row r="36" spans="1:27" ht="38.25" x14ac:dyDescent="0.2">
      <c r="A36" t="str">
        <f t="shared" si="0"/>
        <v>S</v>
      </c>
      <c r="B36">
        <f t="shared" si="1"/>
        <v>0</v>
      </c>
      <c r="C36">
        <f t="shared" ca="1" si="2"/>
        <v>1</v>
      </c>
      <c r="D36">
        <f t="shared" ca="1" si="3"/>
        <v>5</v>
      </c>
      <c r="E36">
        <f t="shared" ca="1" si="4"/>
        <v>2</v>
      </c>
      <c r="F36">
        <f t="shared" ca="1" si="5"/>
        <v>0</v>
      </c>
      <c r="G36">
        <f t="shared" ca="1" si="6"/>
        <v>2</v>
      </c>
      <c r="H36">
        <f t="shared" ref="H36:H38" ca="1" si="20">IF(OR($A36="S",$A36=0),0,MATCH(0,OFFSET($B36,1,$A36,ROW($A$40)-ROW($A36)),0))</f>
        <v>0</v>
      </c>
      <c r="I36">
        <f t="shared" ref="I36:I38" ca="1" si="21">IF(OR($A36="S",$A36=0),0,MATCH(OFFSET($B36,0,$A36)+1,OFFSET($B36,1,$A36,ROW($A$40)-ROW($A36)),0))</f>
        <v>0</v>
      </c>
      <c r="J36" s="102" t="s">
        <v>103</v>
      </c>
      <c r="K36" s="138" t="str">
        <f t="shared" ca="1" si="9"/>
        <v>1.5.2.2.</v>
      </c>
      <c r="L36" s="177" t="s">
        <v>272</v>
      </c>
      <c r="M36" s="177">
        <v>5213440</v>
      </c>
      <c r="N36" s="198" t="s">
        <v>265</v>
      </c>
      <c r="O36" s="197" t="s">
        <v>269</v>
      </c>
      <c r="P36" s="200">
        <v>4</v>
      </c>
      <c r="Q36" s="196">
        <v>281</v>
      </c>
      <c r="R36" s="199" t="s">
        <v>7</v>
      </c>
      <c r="S36" s="103">
        <f t="shared" ca="1" si="10"/>
        <v>341.33</v>
      </c>
      <c r="T36" s="83">
        <f t="shared" ca="1" si="11"/>
        <v>1365.32</v>
      </c>
      <c r="U36" s="9" t="str">
        <f t="shared" ca="1" si="12"/>
        <v>ACIMA REF.</v>
      </c>
      <c r="V36" s="1" t="str">
        <f ca="1">IF(OR($A36=0,$A36="S",$A36&gt;CFF!$A$9),"",MAX(V$12:OFFSET(V36,-1,0))+1)</f>
        <v/>
      </c>
      <c r="W36" s="4" t="str">
        <f t="shared" si="13"/>
        <v>SICRO-5213440</v>
      </c>
      <c r="X36" s="1" t="e">
        <f t="shared" ca="1" si="14"/>
        <v>#REF!</v>
      </c>
      <c r="Y36" s="103">
        <f t="shared" ca="1" si="15"/>
        <v>0</v>
      </c>
      <c r="Z36" s="113">
        <f ca="1">ROUND(IF(ISNUMBER(R36),R36,IF(LEFT(R36,3)="BDI",HLOOKUP(R36,DADOS!$T$37:$X$38,2,FALSE),0)),15-11*$X$5)</f>
        <v>0.2147</v>
      </c>
      <c r="AA36" s="1"/>
    </row>
    <row r="37" spans="1:27" ht="25.5" x14ac:dyDescent="0.2">
      <c r="A37" t="str">
        <f t="shared" si="0"/>
        <v>S</v>
      </c>
      <c r="B37">
        <f t="shared" si="1"/>
        <v>0</v>
      </c>
      <c r="C37">
        <f t="shared" ca="1" si="2"/>
        <v>1</v>
      </c>
      <c r="D37">
        <f t="shared" ca="1" si="3"/>
        <v>5</v>
      </c>
      <c r="E37">
        <f t="shared" ca="1" si="4"/>
        <v>2</v>
      </c>
      <c r="F37">
        <f t="shared" ca="1" si="5"/>
        <v>0</v>
      </c>
      <c r="G37">
        <f t="shared" ca="1" si="6"/>
        <v>3</v>
      </c>
      <c r="H37">
        <f t="shared" ca="1" si="20"/>
        <v>0</v>
      </c>
      <c r="I37">
        <f t="shared" ca="1" si="21"/>
        <v>0</v>
      </c>
      <c r="J37" s="102" t="s">
        <v>103</v>
      </c>
      <c r="K37" s="138" t="str">
        <f t="shared" ca="1" si="9"/>
        <v>1.5.2.3.</v>
      </c>
      <c r="L37" s="177" t="s">
        <v>272</v>
      </c>
      <c r="M37" s="177">
        <v>5213489</v>
      </c>
      <c r="N37" s="198" t="s">
        <v>266</v>
      </c>
      <c r="O37" s="197" t="s">
        <v>269</v>
      </c>
      <c r="P37" s="200">
        <v>3</v>
      </c>
      <c r="Q37" s="196">
        <v>926.09</v>
      </c>
      <c r="R37" s="199" t="s">
        <v>7</v>
      </c>
      <c r="S37" s="103">
        <f t="shared" ca="1" si="10"/>
        <v>1124.92</v>
      </c>
      <c r="T37" s="83">
        <f t="shared" ca="1" si="11"/>
        <v>3374.76</v>
      </c>
      <c r="U37" s="9" t="str">
        <f t="shared" ca="1" si="12"/>
        <v>ACIMA REF.</v>
      </c>
      <c r="V37" s="1" t="str">
        <f ca="1">IF(OR($A37=0,$A37="S",$A37&gt;CFF!$A$9),"",MAX(V$12:OFFSET(V37,-1,0))+1)</f>
        <v/>
      </c>
      <c r="W37" s="4" t="str">
        <f t="shared" si="13"/>
        <v>SICRO-5213489</v>
      </c>
      <c r="X37" s="1" t="e">
        <f t="shared" ca="1" si="14"/>
        <v>#REF!</v>
      </c>
      <c r="Y37" s="103">
        <f t="shared" ca="1" si="15"/>
        <v>0</v>
      </c>
      <c r="Z37" s="113">
        <f ca="1">ROUND(IF(ISNUMBER(R37),R37,IF(LEFT(R37,3)="BDI",HLOOKUP(R37,DADOS!$T$37:$X$38,2,FALSE),0)),15-11*$X$5)</f>
        <v>0.2147</v>
      </c>
      <c r="AA37" s="1"/>
    </row>
    <row r="38" spans="1:27" ht="38.25" x14ac:dyDescent="0.2">
      <c r="A38" t="str">
        <f t="shared" si="0"/>
        <v>S</v>
      </c>
      <c r="B38">
        <f t="shared" si="1"/>
        <v>0</v>
      </c>
      <c r="C38">
        <f t="shared" ca="1" si="2"/>
        <v>1</v>
      </c>
      <c r="D38">
        <f t="shared" ca="1" si="3"/>
        <v>5</v>
      </c>
      <c r="E38">
        <f t="shared" ca="1" si="4"/>
        <v>2</v>
      </c>
      <c r="F38">
        <f t="shared" ca="1" si="5"/>
        <v>0</v>
      </c>
      <c r="G38">
        <f t="shared" ca="1" si="6"/>
        <v>4</v>
      </c>
      <c r="H38">
        <f t="shared" ca="1" si="20"/>
        <v>0</v>
      </c>
      <c r="I38">
        <f t="shared" ca="1" si="21"/>
        <v>0</v>
      </c>
      <c r="J38" s="102" t="s">
        <v>103</v>
      </c>
      <c r="K38" s="138" t="str">
        <f t="shared" ca="1" si="9"/>
        <v>1.5.2.4.</v>
      </c>
      <c r="L38" s="177" t="s">
        <v>272</v>
      </c>
      <c r="M38" s="177">
        <v>5213863</v>
      </c>
      <c r="N38" s="198" t="s">
        <v>267</v>
      </c>
      <c r="O38" s="197" t="s">
        <v>269</v>
      </c>
      <c r="P38" s="200">
        <v>12</v>
      </c>
      <c r="Q38" s="196">
        <v>492.59999999999997</v>
      </c>
      <c r="R38" s="199" t="s">
        <v>7</v>
      </c>
      <c r="S38" s="103">
        <f t="shared" ca="1" si="10"/>
        <v>598.36</v>
      </c>
      <c r="T38" s="83">
        <f t="shared" ca="1" si="11"/>
        <v>7180.32</v>
      </c>
      <c r="U38" s="9" t="str">
        <f t="shared" ca="1" si="12"/>
        <v>ACIMA REF.</v>
      </c>
      <c r="V38" s="1" t="str">
        <f ca="1">IF(OR($A38=0,$A38="S",$A38&gt;CFF!$A$9),"",MAX(V$12:OFFSET(V38,-1,0))+1)</f>
        <v/>
      </c>
      <c r="W38" s="4" t="str">
        <f t="shared" si="13"/>
        <v>SICRO-5213863</v>
      </c>
      <c r="X38" s="1" t="e">
        <f t="shared" ca="1" si="14"/>
        <v>#REF!</v>
      </c>
      <c r="Y38" s="103">
        <f t="shared" ca="1" si="15"/>
        <v>0</v>
      </c>
      <c r="Z38" s="113">
        <f ca="1">ROUND(IF(ISNUMBER(R38),R38,IF(LEFT(R38,3)="BDI",HLOOKUP(R38,DADOS!$T$37:$X$38,2,FALSE),0)),15-11*$X$5)</f>
        <v>0.2147</v>
      </c>
      <c r="AA38" s="1"/>
    </row>
    <row r="39" spans="1:27" ht="25.5" x14ac:dyDescent="0.2">
      <c r="A39" t="str">
        <f>CHOOSE(1+LOG(1+2*(J39="Meta")+4*(J39="Nível 2")+8*(J39="Nível 3")+16*(J39="Nível 4")+32*(J39="Serviço"),2),0,1,2,3,4,"S")</f>
        <v>S</v>
      </c>
      <c r="B39">
        <f>IF(OR(A39="S",A39=0),0,IF(ISERROR(I39),H39,SMALL(H39:I39,1)))</f>
        <v>0</v>
      </c>
      <c r="C39">
        <f ca="1">IF($A39=1,OFFSET(C39,-1,0)+1,OFFSET(C39,-1,0))</f>
        <v>1</v>
      </c>
      <c r="D39">
        <f ca="1">IF($A39=1,0,IF($A39=2,OFFSET(D39,-1,0)+1,OFFSET(D39,-1,0)))</f>
        <v>5</v>
      </c>
      <c r="E39">
        <f ca="1">IF(AND($A39&lt;=2,$A39&lt;&gt;0),0,IF($A39=3,OFFSET(E39,-1,0)+1,OFFSET(E39,-1,0)))</f>
        <v>2</v>
      </c>
      <c r="F39">
        <f ca="1">IF(AND($A39&lt;=3,$A39&lt;&gt;0),0,IF($A39=4,OFFSET(F39,-1,0)+1,OFFSET(F39,-1,0)))</f>
        <v>0</v>
      </c>
      <c r="G39">
        <f ca="1">IF(AND($A39&lt;=4,$A39&lt;&gt;0),0,IF($A39="S",OFFSET(G39,-1,0)+1,OFFSET(G39,-1,0)))</f>
        <v>5</v>
      </c>
      <c r="H39">
        <f ca="1">IF(OR($A39="S",$A39=0),0,MATCH(0,OFFSET($B39,1,$A39,ROW($A$40)-ROW($A39)),0))</f>
        <v>0</v>
      </c>
      <c r="I39">
        <f ca="1">IF(OR($A39="S",$A39=0),0,MATCH(OFFSET($B39,0,$A39)+1,OFFSET($B39,1,$A39,ROW($A$40)-ROW($A39)),0))</f>
        <v>0</v>
      </c>
      <c r="J39" s="102" t="s">
        <v>103</v>
      </c>
      <c r="K39" s="138" t="str">
        <f ca="1">IF($A39=0,"-",CONCATENATE(C39&amp;".",IF(AND($A$5&gt;=2,$A39&gt;=2),D39&amp;".",""),IF(AND($A$5&gt;=3,$A39&gt;=3),E39&amp;".",""),IF(AND($A$5&gt;=4,$A39&gt;=4),F39&amp;".",""),IF($A39="S",G39&amp;".","")))</f>
        <v>1.5.2.5.</v>
      </c>
      <c r="L39" s="177" t="s">
        <v>272</v>
      </c>
      <c r="M39" s="177">
        <v>5213868</v>
      </c>
      <c r="N39" s="198" t="s">
        <v>268</v>
      </c>
      <c r="O39" s="197" t="s">
        <v>269</v>
      </c>
      <c r="P39" s="200">
        <v>6</v>
      </c>
      <c r="Q39" s="196">
        <v>1213.3800000000001</v>
      </c>
      <c r="R39" s="199" t="s">
        <v>7</v>
      </c>
      <c r="S39" s="103">
        <f ca="1">IF($A39="S",IF($Q$10="Preço Unitário (R$)",PO.CustoUnitario,ROUND(PO.CustoUnitario*(1+$Z39),15-13*$X$6)),0)</f>
        <v>1473.89</v>
      </c>
      <c r="T39" s="83">
        <f ca="1">IF($A39="S",VTOTAL1,IF($A39=0,0,ROUND(SomaAgrup,15-13*$X$7)))</f>
        <v>8843.34</v>
      </c>
      <c r="U39" s="9" t="str">
        <f ca="1">IF($J39="","",IF($N39="","DESCRIÇÃO",IF(AND($J39="Serviço",$O39=""),"UNIDADE",IF($T39&lt;=0,"SEM VALOR",IF(AND($Y39&lt;&gt;"",$Q39&gt;$Y39),"ACIMA REF.","")))))</f>
        <v>ACIMA REF.</v>
      </c>
      <c r="V39" s="1" t="str">
        <f ca="1">IF(OR($A39=0,$A39="S",$A39&gt;CFF!$A$9),"",MAX(V$12:OFFSET(V39,-1,0))+1)</f>
        <v/>
      </c>
      <c r="W39" s="4" t="str">
        <f>IF(AND($J39="Serviço",$M39&lt;&gt;""),IF($L39="",$M39,CONCATENATE($L39,"-",$M39)))</f>
        <v>SICRO-5213868</v>
      </c>
      <c r="X39" s="1" t="e">
        <f ca="1">IF(AND(Fonte&lt;&gt;"",Código&lt;&gt;""),MATCH(Fonte&amp;" "&amp;IF(Fonte="sinapi",SUBSTITUTE(SUBSTITUTE(Código,"/00","/"),"/0","/"),Código),INDIRECT("'[Referência "&amp;_xlnm.Database&amp;".xls]Banco'!$a:$a"),0),"X")</f>
        <v>#REF!</v>
      </c>
      <c r="Y39" s="103">
        <f ca="1">IF(Import.Desoneracao="sim",Referencia.Desonerado,Referencia.NaoDesonerado)</f>
        <v>0</v>
      </c>
      <c r="Z39" s="113">
        <f ca="1">ROUND(IF(ISNUMBER(R39),R39,IF(LEFT(R39,3)="BDI",HLOOKUP(R39,DADOS!$T$37:$X$38,2,FALSE),0)),15-11*$X$5)</f>
        <v>0.2147</v>
      </c>
      <c r="AA39" s="1"/>
    </row>
    <row r="40" spans="1:27" x14ac:dyDescent="0.2">
      <c r="A40">
        <v>-1</v>
      </c>
      <c r="C40">
        <v>0</v>
      </c>
      <c r="D40">
        <v>0</v>
      </c>
      <c r="E40">
        <v>0</v>
      </c>
      <c r="F40">
        <v>0</v>
      </c>
      <c r="G40">
        <v>0</v>
      </c>
      <c r="J40" s="69"/>
      <c r="K40" s="69"/>
      <c r="L40" s="69"/>
      <c r="M40" s="69"/>
      <c r="N40" s="69"/>
      <c r="O40" s="69"/>
      <c r="P40" s="69"/>
      <c r="Q40" s="69"/>
      <c r="R40" s="69"/>
      <c r="S40" s="69"/>
      <c r="T40" s="69"/>
      <c r="U40" s="1"/>
      <c r="V40" s="1"/>
      <c r="W40" s="1"/>
      <c r="X40" s="1"/>
      <c r="Y40" s="1"/>
      <c r="Z40" s="1"/>
      <c r="AA40" s="1"/>
    </row>
    <row r="41" spans="1:27" ht="14.25" x14ac:dyDescent="0.2">
      <c r="A41" s="1"/>
      <c r="B41" s="1"/>
      <c r="C41" s="1"/>
      <c r="D41" s="1"/>
      <c r="E41" s="1"/>
      <c r="F41" s="1"/>
      <c r="G41" s="1"/>
      <c r="H41" s="1"/>
      <c r="I41" s="1"/>
      <c r="J41" s="1"/>
      <c r="K41" s="70" t="s">
        <v>62</v>
      </c>
      <c r="L41" s="1"/>
      <c r="M41" s="327" t="s">
        <v>141</v>
      </c>
      <c r="N41" s="328"/>
      <c r="O41" s="328"/>
      <c r="P41" s="328"/>
      <c r="Q41" s="328"/>
      <c r="R41" s="328"/>
      <c r="S41" s="328"/>
      <c r="T41" s="329"/>
      <c r="U41" s="1"/>
      <c r="V41" s="1"/>
      <c r="W41" s="1"/>
      <c r="X41" s="1"/>
      <c r="Y41" s="1"/>
      <c r="Z41" s="1"/>
      <c r="AA41" s="1"/>
    </row>
    <row r="42" spans="1:27" x14ac:dyDescent="0.2">
      <c r="A42" s="1"/>
      <c r="B42" s="1"/>
      <c r="C42" s="1"/>
      <c r="D42" s="1"/>
      <c r="E42" s="1"/>
      <c r="F42" s="1"/>
      <c r="G42" s="1"/>
      <c r="H42" s="1"/>
      <c r="I42" s="1"/>
      <c r="J42" s="1"/>
      <c r="K42" s="1"/>
      <c r="L42" s="1"/>
      <c r="M42" s="1"/>
      <c r="N42" s="1"/>
      <c r="O42" s="1"/>
      <c r="P42" s="1"/>
      <c r="Q42" s="1"/>
      <c r="R42" s="1"/>
      <c r="S42" s="1"/>
      <c r="T42" s="1"/>
      <c r="U42" s="1"/>
      <c r="V42" s="1"/>
      <c r="W42" s="1"/>
      <c r="X42" s="1"/>
      <c r="Y42" s="1"/>
      <c r="Z42" s="1"/>
      <c r="AA42" s="1"/>
    </row>
    <row r="43" spans="1:27" ht="14.25" x14ac:dyDescent="0.2">
      <c r="A43" s="1"/>
      <c r="B43" s="1"/>
      <c r="C43" s="1"/>
      <c r="D43" s="1"/>
      <c r="E43" s="1"/>
      <c r="F43" s="1"/>
      <c r="G43" s="1"/>
      <c r="H43" s="1"/>
      <c r="I43" s="1"/>
      <c r="J43" s="1"/>
      <c r="K43" s="76" t="s">
        <v>21</v>
      </c>
      <c r="L43" s="1"/>
      <c r="M43" s="1"/>
      <c r="N43" s="1"/>
      <c r="O43" s="1"/>
      <c r="P43" s="1"/>
      <c r="Q43" s="1"/>
      <c r="R43" s="1"/>
      <c r="S43" s="1"/>
      <c r="T43" s="75"/>
      <c r="U43" s="1"/>
      <c r="V43" s="1"/>
      <c r="W43" s="1"/>
      <c r="X43" s="1"/>
      <c r="Y43" s="1"/>
      <c r="Z43" s="1"/>
      <c r="AA43" s="1"/>
    </row>
    <row r="44" spans="1:27" ht="12.75" customHeight="1" x14ac:dyDescent="0.2">
      <c r="A44" s="1"/>
      <c r="B44" s="1"/>
      <c r="C44" s="1"/>
      <c r="D44" s="1"/>
      <c r="E44" s="1"/>
      <c r="F44" s="1"/>
      <c r="G44" s="1"/>
      <c r="H44" s="1"/>
      <c r="I44" s="1"/>
      <c r="J44" s="1"/>
      <c r="K44" s="321"/>
      <c r="L44" s="322"/>
      <c r="M44" s="322"/>
      <c r="N44" s="322"/>
      <c r="O44" s="322"/>
      <c r="P44" s="322"/>
      <c r="Q44" s="322"/>
      <c r="R44" s="322"/>
      <c r="S44" s="322"/>
      <c r="T44" s="323"/>
      <c r="U44" s="1"/>
      <c r="V44" s="1"/>
      <c r="W44" s="1"/>
      <c r="X44" s="1"/>
      <c r="Y44" s="1"/>
      <c r="Z44" s="1"/>
      <c r="AA44" s="1"/>
    </row>
    <row r="45" spans="1:27" x14ac:dyDescent="0.2">
      <c r="A45" s="1"/>
      <c r="B45" s="1"/>
      <c r="C45" s="1"/>
      <c r="D45" s="1"/>
      <c r="E45" s="1"/>
      <c r="F45" s="1"/>
      <c r="G45" s="1"/>
      <c r="H45" s="1"/>
      <c r="I45" s="1"/>
      <c r="J45" s="1"/>
      <c r="K45" s="321"/>
      <c r="L45" s="322"/>
      <c r="M45" s="322"/>
      <c r="N45" s="322"/>
      <c r="O45" s="322"/>
      <c r="P45" s="322"/>
      <c r="Q45" s="322"/>
      <c r="R45" s="322"/>
      <c r="S45" s="322"/>
      <c r="T45" s="323"/>
      <c r="U45" s="1"/>
      <c r="V45" s="1"/>
      <c r="W45" s="1"/>
      <c r="X45" s="1"/>
      <c r="Y45" s="1"/>
      <c r="Z45" s="1"/>
      <c r="AA45" s="1"/>
    </row>
    <row r="46" spans="1:27" x14ac:dyDescent="0.2">
      <c r="A46" s="1"/>
      <c r="B46" s="1"/>
      <c r="C46" s="1"/>
      <c r="D46" s="1"/>
      <c r="E46" s="1"/>
      <c r="F46" s="1"/>
      <c r="G46" s="1"/>
      <c r="H46" s="1"/>
      <c r="I46" s="1"/>
      <c r="J46" s="1"/>
      <c r="K46" s="324"/>
      <c r="L46" s="325"/>
      <c r="M46" s="325"/>
      <c r="N46" s="325"/>
      <c r="O46" s="325"/>
      <c r="P46" s="325"/>
      <c r="Q46" s="325"/>
      <c r="R46" s="325"/>
      <c r="S46" s="325"/>
      <c r="T46" s="326"/>
      <c r="U46" s="1"/>
      <c r="V46" s="1"/>
      <c r="W46" s="1"/>
      <c r="X46" s="1"/>
      <c r="Y46" s="1"/>
      <c r="Z46" s="1"/>
      <c r="AA46" s="1"/>
    </row>
    <row r="47" spans="1:27" ht="14.25" x14ac:dyDescent="0.2">
      <c r="A47" s="1"/>
      <c r="B47" s="1"/>
      <c r="C47" s="1"/>
      <c r="D47" s="1"/>
      <c r="E47" s="1"/>
      <c r="F47" s="1"/>
      <c r="G47" s="1"/>
      <c r="H47" s="1"/>
      <c r="I47" s="1"/>
      <c r="J47" s="1"/>
      <c r="K47" s="181"/>
      <c r="L47" s="181"/>
      <c r="M47" s="181"/>
      <c r="N47" s="181"/>
      <c r="O47" s="181"/>
      <c r="P47" s="181"/>
      <c r="Q47" s="181"/>
      <c r="R47" s="181"/>
      <c r="S47" s="181"/>
      <c r="T47" s="181"/>
      <c r="U47" s="1"/>
      <c r="V47" s="1"/>
      <c r="W47" s="1"/>
      <c r="X47" s="1"/>
      <c r="Y47" s="1"/>
      <c r="Z47" s="1"/>
      <c r="AA47" s="1"/>
    </row>
    <row r="48" spans="1:27" ht="15" x14ac:dyDescent="0.25">
      <c r="A48" s="1"/>
      <c r="B48" s="1"/>
      <c r="C48" s="1"/>
      <c r="D48" s="1"/>
      <c r="E48" s="1"/>
      <c r="F48" s="1"/>
      <c r="G48" s="1"/>
      <c r="H48" s="1"/>
      <c r="I48" s="1"/>
      <c r="J48" s="1"/>
      <c r="K48" s="318"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48" s="319"/>
      <c r="M48" s="319"/>
      <c r="N48" s="319"/>
      <c r="O48" s="319"/>
      <c r="P48" s="319"/>
      <c r="Q48" s="319"/>
      <c r="R48" s="319"/>
      <c r="S48" s="319"/>
      <c r="T48" s="320"/>
      <c r="U48" s="1"/>
      <c r="V48" s="1"/>
      <c r="W48" s="1"/>
      <c r="X48" s="1"/>
      <c r="Y48" s="1"/>
      <c r="Z48" s="1"/>
      <c r="AA48" s="1"/>
    </row>
    <row r="49" spans="1:27" x14ac:dyDescent="0.2">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ht="21.2"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x14ac:dyDescent="0.2">
      <c r="A51" s="1"/>
      <c r="B51" s="1"/>
      <c r="C51" s="1"/>
      <c r="D51" s="1"/>
      <c r="E51" s="1"/>
      <c r="F51" s="1"/>
      <c r="G51" s="1"/>
      <c r="H51" s="1"/>
      <c r="I51" s="1"/>
      <c r="J51" s="1"/>
      <c r="K51" s="331" t="str">
        <f>Import.Município</f>
        <v>Vista Alegre do Prata/RS</v>
      </c>
      <c r="L51" s="331"/>
      <c r="M51" s="331"/>
      <c r="N51" s="1"/>
      <c r="O51" s="1"/>
      <c r="P51" s="1"/>
      <c r="Q51" s="1"/>
      <c r="R51" s="1"/>
      <c r="S51" s="1"/>
      <c r="T51" s="1"/>
      <c r="U51" s="1"/>
      <c r="V51" s="1"/>
      <c r="W51" s="1"/>
      <c r="X51" s="1"/>
      <c r="Y51" s="1"/>
      <c r="Z51" s="1"/>
      <c r="AA51" s="1"/>
    </row>
    <row r="52" spans="1:27" x14ac:dyDescent="0.2">
      <c r="A52" s="1"/>
      <c r="B52" s="1"/>
      <c r="C52" s="1"/>
      <c r="D52" s="1"/>
      <c r="E52" s="1"/>
      <c r="F52" s="1"/>
      <c r="G52" s="1"/>
      <c r="H52" s="1"/>
      <c r="I52" s="1"/>
      <c r="J52" s="1"/>
      <c r="K52" s="97" t="s">
        <v>120</v>
      </c>
      <c r="L52" s="1"/>
      <c r="M52" s="1"/>
      <c r="N52" s="1"/>
      <c r="O52" s="1"/>
      <c r="P52" s="1"/>
      <c r="Q52" s="1"/>
      <c r="R52" s="1"/>
      <c r="S52" s="1"/>
      <c r="T52" s="1"/>
      <c r="U52" s="1"/>
      <c r="V52" s="1"/>
      <c r="W52" s="1"/>
      <c r="X52" s="1"/>
      <c r="Y52" s="1"/>
      <c r="Z52" s="1"/>
      <c r="AA52" s="1"/>
    </row>
    <row r="53" spans="1:27" x14ac:dyDescent="0.2">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x14ac:dyDescent="0.2">
      <c r="A54" s="1"/>
      <c r="B54" s="1"/>
      <c r="C54" s="1"/>
      <c r="D54" s="1"/>
      <c r="E54" s="1"/>
      <c r="F54" s="1"/>
      <c r="G54" s="1"/>
      <c r="H54" s="1"/>
      <c r="I54" s="1"/>
      <c r="J54" s="1"/>
      <c r="K54" s="330">
        <f ca="1">TODAY()</f>
        <v>46199</v>
      </c>
      <c r="L54" s="330"/>
      <c r="M54" s="330"/>
      <c r="N54" s="1"/>
      <c r="O54" s="1"/>
      <c r="P54" s="1"/>
      <c r="Q54" s="1"/>
      <c r="R54" s="1"/>
      <c r="S54" s="1"/>
      <c r="T54" s="1"/>
      <c r="U54" s="1"/>
      <c r="V54" s="1"/>
      <c r="W54" s="1"/>
      <c r="X54" s="1"/>
      <c r="Y54" s="1"/>
      <c r="Z54" s="1"/>
      <c r="AA54" s="1"/>
    </row>
    <row r="55" spans="1:27" x14ac:dyDescent="0.2">
      <c r="A55" s="1"/>
      <c r="B55" s="1"/>
      <c r="C55" s="1"/>
      <c r="D55" s="1"/>
      <c r="E55" s="1"/>
      <c r="F55" s="1"/>
      <c r="G55" s="1"/>
      <c r="H55" s="1"/>
      <c r="I55" s="1"/>
      <c r="J55" s="1"/>
      <c r="K55" s="119" t="s">
        <v>121</v>
      </c>
      <c r="L55" s="69"/>
      <c r="M55" s="69"/>
      <c r="N55" s="1"/>
      <c r="O55" s="1"/>
      <c r="P55" s="1"/>
      <c r="Q55" s="1"/>
      <c r="R55" s="1"/>
      <c r="S55" s="1"/>
      <c r="T55" s="1"/>
      <c r="U55" s="1"/>
      <c r="V55" s="1"/>
      <c r="W55" s="1"/>
      <c r="X55" s="1"/>
      <c r="Y55" s="1"/>
      <c r="Z55" s="1"/>
      <c r="AA55" s="1"/>
    </row>
  </sheetData>
  <sheetProtection algorithmName="SHA-512" hashValue="YthDx49QDnmIblNTUpNrBVYbOt9vbjt574rI35K93snSeBROuULOnAu/ny8nm1c5LCAeoCuLJS72VNAgu6lYqA==" saltValue="2lG70+o0UQH1zITvDY478A==" spinCount="100000" sheet="1" objects="1" scenarios="1"/>
  <mergeCells count="6">
    <mergeCell ref="W2:X2"/>
    <mergeCell ref="K48:T48"/>
    <mergeCell ref="K44:T46"/>
    <mergeCell ref="M41:T41"/>
    <mergeCell ref="K54:M54"/>
    <mergeCell ref="K51:M51"/>
  </mergeCells>
  <phoneticPr fontId="25" type="noConversion"/>
  <conditionalFormatting sqref="O12:R12 L12:M12">
    <cfRule type="expression" dxfId="166" priority="2706" stopIfTrue="1">
      <formula>$J12=$C$2</formula>
    </cfRule>
    <cfRule type="expression" dxfId="165" priority="2707" stopIfTrue="1">
      <formula>UPPER(LEFT($J12,5))="NÍVEL"</formula>
    </cfRule>
    <cfRule type="expression" dxfId="164" priority="2708" stopIfTrue="1">
      <formula>$J12=$C$8</formula>
    </cfRule>
  </conditionalFormatting>
  <conditionalFormatting sqref="Y12:Z12 S12:T12 K12">
    <cfRule type="expression" dxfId="163" priority="2709" stopIfTrue="1">
      <formula>$J12=$C$2</formula>
    </cfRule>
    <cfRule type="expression" dxfId="162" priority="2710" stopIfTrue="1">
      <formula>UPPER(LEFT($J12,5))="NÍVEL"</formula>
    </cfRule>
  </conditionalFormatting>
  <conditionalFormatting sqref="K11 K13:K39">
    <cfRule type="expression" dxfId="161" priority="2722" stopIfTrue="1">
      <formula>$J11=$C$2</formula>
    </cfRule>
    <cfRule type="expression" dxfId="160" priority="2723" stopIfTrue="1">
      <formula>AND($J11&lt;&gt;"",$J11&lt;&gt;"Serviço")</formula>
    </cfRule>
    <cfRule type="expression" dxfId="159" priority="2724" stopIfTrue="1">
      <formula>$J11=""</formula>
    </cfRule>
  </conditionalFormatting>
  <conditionalFormatting sqref="P11 P13:P39">
    <cfRule type="expression" dxfId="158" priority="1049" stopIfTrue="1">
      <formula>$J11=$C$2</formula>
    </cfRule>
    <cfRule type="expression" dxfId="157" priority="2728" stopIfTrue="1">
      <formula>AND($J11&lt;&gt;"Serviço")</formula>
    </cfRule>
    <cfRule type="expression" dxfId="156" priority="2729" stopIfTrue="1">
      <formula>CELL("proteger",P11)</formula>
    </cfRule>
  </conditionalFormatting>
  <conditionalFormatting sqref="Q11:R11 Q13:R39">
    <cfRule type="expression" dxfId="155" priority="2730" stopIfTrue="1">
      <formula>$J11=$C$2</formula>
    </cfRule>
    <cfRule type="expression" dxfId="154" priority="2731" stopIfTrue="1">
      <formula>$J11&lt;&gt;"Serviço"</formula>
    </cfRule>
    <cfRule type="expression" dxfId="153" priority="2732" stopIfTrue="1">
      <formula>CELL("proteger",Q11)</formula>
    </cfRule>
  </conditionalFormatting>
  <conditionalFormatting sqref="S11:T11 Y11:Z11 S13:T39 Y13:Z39">
    <cfRule type="expression" dxfId="152" priority="2733" stopIfTrue="1">
      <formula>$J11=$C$2</formula>
    </cfRule>
    <cfRule type="expression" dxfId="151" priority="2734" stopIfTrue="1">
      <formula>$J11&lt;&gt;"Serviço"</formula>
    </cfRule>
  </conditionalFormatting>
  <conditionalFormatting sqref="L11:M11 O19:O20 L13:M39">
    <cfRule type="expression" dxfId="150" priority="2754" stopIfTrue="1">
      <formula>$J11=$C$2</formula>
    </cfRule>
    <cfRule type="expression" dxfId="149" priority="2755" stopIfTrue="1">
      <formula>$J11&lt;&gt;"Serviço"</formula>
    </cfRule>
    <cfRule type="expression" dxfId="148" priority="2756" stopIfTrue="1">
      <formula>OR(CELL("proteger",L11),$J11="",TipoOrçamento="Licitado")</formula>
    </cfRule>
  </conditionalFormatting>
  <conditionalFormatting sqref="K41:T41">
    <cfRule type="expression" dxfId="147" priority="2735" stopIfTrue="1">
      <formula>OR(Tipo.Orçamento="LICITADO",Tipo.Orçamento="REPROGRAMADOAC")</formula>
    </cfRule>
    <cfRule type="expression" dxfId="146" priority="2736" stopIfTrue="1">
      <formula>$M$41=""</formula>
    </cfRule>
  </conditionalFormatting>
  <conditionalFormatting sqref="J11 J13:J39">
    <cfRule type="expression" dxfId="145" priority="2763" stopIfTrue="1">
      <formula>TipoOrçamento="Licitado"</formula>
    </cfRule>
  </conditionalFormatting>
  <conditionalFormatting sqref="O11 O13:O18 O21:O39">
    <cfRule type="expression" dxfId="144" priority="1069" stopIfTrue="1">
      <formula>$J11=$C$2</formula>
    </cfRule>
    <cfRule type="expression" dxfId="143" priority="1070" stopIfTrue="1">
      <formula>AND($J11&lt;&gt;"Serviço")</formula>
    </cfRule>
    <cfRule type="expression" dxfId="142" priority="1071" stopIfTrue="1">
      <formula>CELL("proteger",O11)</formula>
    </cfRule>
  </conditionalFormatting>
  <conditionalFormatting sqref="N11 N14:N39">
    <cfRule type="expression" dxfId="141" priority="1072" stopIfTrue="1">
      <formula>$J11=$C$2</formula>
    </cfRule>
    <cfRule type="expression" dxfId="140" priority="1073" stopIfTrue="1">
      <formula>$J11&lt;&gt;"Serviço"</formula>
    </cfRule>
    <cfRule type="expression" dxfId="139" priority="1074" stopIfTrue="1">
      <formula>CELL("proteger",N11)</formula>
    </cfRule>
  </conditionalFormatting>
  <conditionalFormatting sqref="N13">
    <cfRule type="expression" dxfId="138" priority="938" stopIfTrue="1">
      <formula>$J13=$C$2</formula>
    </cfRule>
    <cfRule type="expression" dxfId="137" priority="939" stopIfTrue="1">
      <formula>$J13&lt;&gt;"Serviço"</formula>
    </cfRule>
    <cfRule type="expression" dxfId="136" priority="940" stopIfTrue="1">
      <formula>CELL("proteger",N13)</formula>
    </cfRule>
  </conditionalFormatting>
  <dataValidations count="3">
    <dataValidation type="decimal" operator="greaterThan" allowBlank="1" showInputMessage="1" showErrorMessage="1" error="Apenas números decimais maiores que zero." sqref="Q11 Q13:Q39" xr:uid="{00000000-0002-0000-02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39" xr:uid="{00000000-0002-0000-02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39" xr:uid="{00000000-0002-0000-0200-000002000000}">
      <formula1>$C$2:$G$2</formula1>
    </dataValidation>
  </dataValidations>
  <printOptions horizontalCentered="1"/>
  <pageMargins left="0.78740157480314965" right="0.78740157480314965" top="0.78740157480314965" bottom="0.59055118110236227" header="0.59055118110236227" footer="0.59055118110236227"/>
  <pageSetup paperSize="9" scale="50" fitToWidth="0" orientation="landscape" r:id="rId1"/>
  <headerFooter alignWithMargins="0">
    <oddHeader>&amp;C&amp;14I</oddHeader>
    <oddFooter>&amp;R&amp;P&amp;L27.476 v008   micro</oddFooter>
  </headerFooter>
  <ignoredErrors>
    <ignoredError sqref="K51 K54"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97642" r:id="rId4" name="CaixaArredQuant">
              <controlPr locked="0" defaultSize="0" print="0" autoFill="0" autoLine="0" autoPict="0">
                <anchor moveWithCells="1">
                  <from>
                    <xdr:col>15</xdr:col>
                    <xdr:colOff>476250</xdr:colOff>
                    <xdr:row>7</xdr:row>
                    <xdr:rowOff>133350</xdr:rowOff>
                  </from>
                  <to>
                    <xdr:col>15</xdr:col>
                    <xdr:colOff>962025</xdr:colOff>
                    <xdr:row>7</xdr:row>
                    <xdr:rowOff>390525</xdr:rowOff>
                  </to>
                </anchor>
              </controlPr>
            </control>
          </mc:Choice>
        </mc:AlternateContent>
        <mc:AlternateContent xmlns:mc="http://schemas.openxmlformats.org/markup-compatibility/2006">
          <mc:Choice Requires="x14">
            <control shapeId="197650" r:id="rId5" name="CaixaArredCustoUnit">
              <controlPr locked="0" defaultSize="0" print="0" autoFill="0" autoLine="0" autoPict="0">
                <anchor moveWithCells="1">
                  <from>
                    <xdr:col>16</xdr:col>
                    <xdr:colOff>476250</xdr:colOff>
                    <xdr:row>7</xdr:row>
                    <xdr:rowOff>133350</xdr:rowOff>
                  </from>
                  <to>
                    <xdr:col>16</xdr:col>
                    <xdr:colOff>952500</xdr:colOff>
                    <xdr:row>7</xdr:row>
                    <xdr:rowOff>390525</xdr:rowOff>
                  </to>
                </anchor>
              </controlPr>
            </control>
          </mc:Choice>
        </mc:AlternateContent>
        <mc:AlternateContent xmlns:mc="http://schemas.openxmlformats.org/markup-compatibility/2006">
          <mc:Choice Requires="x14">
            <control shapeId="197651" r:id="rId6" name="CaixaArredBDI">
              <controlPr locked="0" defaultSize="0" print="0" autoFill="0" autoLine="0" autoPict="0">
                <anchor moveWithCells="1">
                  <from>
                    <xdr:col>17</xdr:col>
                    <xdr:colOff>285750</xdr:colOff>
                    <xdr:row>7</xdr:row>
                    <xdr:rowOff>133350</xdr:rowOff>
                  </from>
                  <to>
                    <xdr:col>17</xdr:col>
                    <xdr:colOff>771525</xdr:colOff>
                    <xdr:row>7</xdr:row>
                    <xdr:rowOff>390525</xdr:rowOff>
                  </to>
                </anchor>
              </controlPr>
            </control>
          </mc:Choice>
        </mc:AlternateContent>
        <mc:AlternateContent xmlns:mc="http://schemas.openxmlformats.org/markup-compatibility/2006">
          <mc:Choice Requires="x14">
            <control shapeId="197652" r:id="rId7" name="CaixaArredPrecoUnit">
              <controlPr locked="0" defaultSize="0" print="0" autoFill="0" autoLine="0" autoPict="0">
                <anchor moveWithCells="1">
                  <from>
                    <xdr:col>18</xdr:col>
                    <xdr:colOff>381000</xdr:colOff>
                    <xdr:row>7</xdr:row>
                    <xdr:rowOff>133350</xdr:rowOff>
                  </from>
                  <to>
                    <xdr:col>18</xdr:col>
                    <xdr:colOff>857250</xdr:colOff>
                    <xdr:row>7</xdr:row>
                    <xdr:rowOff>390525</xdr:rowOff>
                  </to>
                </anchor>
              </controlPr>
            </control>
          </mc:Choice>
        </mc:AlternateContent>
        <mc:AlternateContent xmlns:mc="http://schemas.openxmlformats.org/markup-compatibility/2006">
          <mc:Choice Requires="x14">
            <control shapeId="197660" r:id="rId8" name="CaixaArredPrecoTotal">
              <controlPr locked="0" defaultSize="0" print="0" autoFill="0" autoLine="0" autoPict="0">
                <anchor moveWithCells="1">
                  <from>
                    <xdr:col>19</xdr:col>
                    <xdr:colOff>476250</xdr:colOff>
                    <xdr:row>7</xdr:row>
                    <xdr:rowOff>123825</xdr:rowOff>
                  </from>
                  <to>
                    <xdr:col>19</xdr:col>
                    <xdr:colOff>952500</xdr:colOff>
                    <xdr:row>7</xdr:row>
                    <xdr:rowOff>381000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tabColor rgb="FFFFFF00"/>
  </sheetPr>
  <dimension ref="A1:U46"/>
  <sheetViews>
    <sheetView showGridLines="0" zoomScale="85" zoomScaleNormal="85" zoomScaleSheetLayoutView="100" workbookViewId="0">
      <pane xSplit="5" ySplit="10" topLeftCell="F20" activePane="bottomRight" state="frozen"/>
      <selection pane="topRight"/>
      <selection pane="bottomLeft"/>
      <selection pane="bottomRight" activeCell="K24" sqref="K24"/>
    </sheetView>
  </sheetViews>
  <sheetFormatPr defaultRowHeight="12.75" x14ac:dyDescent="0.2"/>
  <cols>
    <col min="1" max="1" width="12.7109375" customWidth="1"/>
    <col min="2" max="2" width="10.7109375" customWidth="1"/>
    <col min="3" max="3" width="60.710937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4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2">
        <f ca="1">OFFSET(PO!$P$12,ROW($E7)-ROW(E$12),0)</f>
        <v>0</v>
      </c>
    </row>
    <row r="8" spans="1:21" s="1" customFormat="1" ht="10.15" customHeight="1" x14ac:dyDescent="0.2"/>
    <row r="9" spans="1:21" s="1" customFormat="1" ht="60" customHeight="1" x14ac:dyDescent="0.2">
      <c r="B9" s="13"/>
      <c r="C9" s="10"/>
      <c r="D9" s="4"/>
      <c r="E9" s="124" t="s">
        <v>46</v>
      </c>
      <c r="F9" s="104" t="s">
        <v>229</v>
      </c>
      <c r="G9" s="104"/>
      <c r="H9" s="104"/>
      <c r="I9" s="104"/>
      <c r="J9" s="104"/>
      <c r="K9" s="104"/>
      <c r="L9" s="104"/>
      <c r="M9" s="104"/>
      <c r="N9" s="104"/>
      <c r="O9" s="104"/>
      <c r="U9" s="104"/>
    </row>
    <row r="10" spans="1:21" s="11" customFormat="1" ht="30.2"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1">
        <f ca="1">IF($A11&lt;&gt;"Serviço",0,ROUND(SUMIF($F$9:$P$9,"&lt;&gt;",$F11:$P11),15-13*PO!$X$3))</f>
        <v>0</v>
      </c>
      <c r="F11" s="183">
        <f ca="1">OFFSET(PO!$P$12,ROW($E11)-ROW(F$12),0)</f>
        <v>0</v>
      </c>
      <c r="G11" s="183"/>
      <c r="H11" s="183"/>
      <c r="I11" s="183"/>
      <c r="J11" s="183"/>
      <c r="K11" s="183"/>
      <c r="L11" s="183"/>
      <c r="M11" s="183"/>
      <c r="N11" s="183"/>
      <c r="O11" s="183"/>
      <c r="U11" s="183"/>
    </row>
    <row r="12" spans="1:21" s="1" customFormat="1" x14ac:dyDescent="0.2">
      <c r="A12" s="64" t="str">
        <f>PO!J12</f>
        <v>LOTE</v>
      </c>
      <c r="B12" s="64"/>
      <c r="C12" s="64" t="str">
        <f>PO!N12</f>
        <v>Estrada entre comunidade Poméia e Comunidade Caravagio (trecho 02 estaca 0+300 a 2+009)</v>
      </c>
      <c r="D12" s="64"/>
      <c r="E12" s="184"/>
      <c r="F12" s="185"/>
      <c r="G12" s="185"/>
      <c r="H12" s="185"/>
      <c r="I12" s="185"/>
      <c r="J12" s="185"/>
      <c r="K12" s="185"/>
      <c r="L12" s="185"/>
      <c r="M12" s="185"/>
      <c r="N12" s="185"/>
      <c r="O12" s="185"/>
      <c r="U12" s="185"/>
    </row>
    <row r="13" spans="1:21" s="1" customFormat="1" ht="25.5" x14ac:dyDescent="0.2">
      <c r="A13" s="108" t="str">
        <f ca="1">OFFSET(PO!J$12,ROW(A13)-ROW($A$12),0)</f>
        <v>Meta</v>
      </c>
      <c r="B13" s="112" t="str">
        <f ca="1">IF($A13=0,"",OFFSET(PO!K$12,ROW(B13)-ROW(B$12),0))</f>
        <v>1.</v>
      </c>
      <c r="C13" s="109" t="str">
        <f ca="1">IF(OFFSET(PO!N$12,ROW(C13)-ROW(C$12),0)=0,"",OFFSET(PO!N$12,ROW(C13)-ROW(C$12),0))</f>
        <v>Estrada entre comunidade Poméia e Comunidade Caravagio (trecho 02 estaca 0+300 a 2+009)</v>
      </c>
      <c r="D13" s="111" t="str">
        <f ca="1">IF(OFFSET(PO!O$12,ROW(D13)-ROW(D$12),0)=0,"",OFFSET(PO!O$12,ROW(D13)-ROW(D$12),0))</f>
        <v/>
      </c>
      <c r="E13" s="141">
        <f ca="1">IF($A13&lt;&gt;"Serviço",0,ROUND(SUMIF($F$9:$P$9,"&lt;&gt;",$F13:$P13),15-13*PO!$X$3))</f>
        <v>0</v>
      </c>
      <c r="F13" s="183">
        <f ca="1">OFFSET(PO!$P$12,ROW($E13)-ROW(F$12),0)</f>
        <v>0</v>
      </c>
      <c r="G13" s="183"/>
      <c r="H13" s="183"/>
      <c r="I13" s="183"/>
      <c r="J13" s="183"/>
      <c r="K13" s="183"/>
      <c r="L13" s="183"/>
      <c r="M13" s="183"/>
      <c r="N13" s="183"/>
      <c r="O13" s="183"/>
      <c r="U13" s="183"/>
    </row>
    <row r="14" spans="1:21" s="1" customFormat="1" x14ac:dyDescent="0.2">
      <c r="A14" s="110" t="str">
        <f ca="1">OFFSET(PO!J$12,ROW(A14)-ROW($A$12),0)</f>
        <v>Nível 2</v>
      </c>
      <c r="B14" s="112" t="str">
        <f ca="1">IF($A14=0,"",OFFSET(PO!K$12,ROW(B14)-ROW(B$12),0))</f>
        <v>1.1.</v>
      </c>
      <c r="C14" s="109" t="str">
        <f ca="1">IF(OFFSET(PO!N$12,ROW(C14)-ROW(C$12),0)=0,"",OFFSET(PO!N$12,ROW(C14)-ROW(C$12),0))</f>
        <v>SERVIÇOS PRELIMINARES</v>
      </c>
      <c r="D14" s="111" t="str">
        <f ca="1">IF(OFFSET(PO!O$12,ROW(D14)-ROW(D$12),0)=0,"",OFFSET(PO!O$12,ROW(D14)-ROW(D$12),0))</f>
        <v/>
      </c>
      <c r="E14" s="141">
        <f ca="1">IF($A14&lt;&gt;"Serviço",0,ROUND(SUMIF($F$9:$P$9,"&lt;&gt;",$F14:$P14),15-13*PO!$X$3))</f>
        <v>0</v>
      </c>
      <c r="F14" s="183">
        <f ca="1">OFFSET(PO!$P$12,ROW($E14)-ROW(F$12),0)</f>
        <v>0</v>
      </c>
      <c r="G14" s="183"/>
      <c r="H14" s="183"/>
      <c r="I14" s="183"/>
      <c r="J14" s="183"/>
      <c r="K14" s="183"/>
      <c r="L14" s="183"/>
      <c r="M14" s="183"/>
      <c r="N14" s="183"/>
      <c r="O14" s="183"/>
      <c r="U14" s="183"/>
    </row>
    <row r="15" spans="1:21" s="1" customFormat="1" x14ac:dyDescent="0.2">
      <c r="A15" s="110" t="str">
        <f ca="1">OFFSET(PO!J$12,ROW(A15)-ROW($A$12),0)</f>
        <v>Serviço</v>
      </c>
      <c r="B15" s="112" t="str">
        <f ca="1">IF($A15=0,"",OFFSET(PO!K$12,ROW(B15)-ROW(B$12),0))</f>
        <v>1.1.0.1.</v>
      </c>
      <c r="C15" s="109" t="str">
        <f ca="1">IF(OFFSET(PO!N$12,ROW(C15)-ROW(C$12),0)=0,"",OFFSET(PO!N$12,ROW(C15)-ROW(C$12),0))</f>
        <v>MOBILIZAÇÃO</v>
      </c>
      <c r="D15" s="111" t="str">
        <f ca="1">IF(OFFSET(PO!O$12,ROW(D15)-ROW(D$12),0)=0,"",OFFSET(PO!O$12,ROW(D15)-ROW(D$12),0))</f>
        <v>UN.</v>
      </c>
      <c r="E15" s="141">
        <f ca="1">IF($A15&lt;&gt;"Serviço",0,ROUND(SUMIF($F$9:$P$9,"&lt;&gt;",$F15:$P15),15-13*PO!$X$3))</f>
        <v>1</v>
      </c>
      <c r="F15" s="183">
        <f ca="1">OFFSET(PO!$P$12,ROW($E15)-ROW(F$12),0)</f>
        <v>1</v>
      </c>
      <c r="G15" s="183"/>
      <c r="H15" s="183"/>
      <c r="I15" s="183"/>
      <c r="J15" s="183"/>
      <c r="K15" s="183"/>
      <c r="L15" s="183"/>
      <c r="M15" s="183"/>
      <c r="N15" s="183"/>
      <c r="O15" s="183"/>
      <c r="U15" s="183"/>
    </row>
    <row r="16" spans="1:21" s="1" customFormat="1" ht="25.5" x14ac:dyDescent="0.2">
      <c r="A16" s="110" t="str">
        <f ca="1">OFFSET(PO!J$12,ROW(A16)-ROW($A$12),0)</f>
        <v>Serviço</v>
      </c>
      <c r="B16" s="112" t="str">
        <f ca="1">IF($A16=0,"",OFFSET(PO!K$12,ROW(B16)-ROW(B$12),0))</f>
        <v>1.1.0.2.</v>
      </c>
      <c r="C16" s="109" t="str">
        <f ca="1">IF(OFFSET(PO!N$12,ROW(C16)-ROW(C$12),0)=0,"",OFFSET(PO!N$12,ROW(C16)-ROW(C$12),0))</f>
        <v>Placa em aço - 3,00 x 2,00 m - película retrorrefletiva tipo III + X - fornecimento e implantação</v>
      </c>
      <c r="D16" s="111" t="str">
        <f ca="1">IF(OFFSET(PO!O$12,ROW(D16)-ROW(D$12),0)=0,"",OFFSET(PO!O$12,ROW(D16)-ROW(D$12),0))</f>
        <v>un</v>
      </c>
      <c r="E16" s="141">
        <f ca="1">IF($A16&lt;&gt;"Serviço",0,ROUND(SUMIF($F$9:$P$9,"&lt;&gt;",$F16:$P16),15-13*PO!$X$3))</f>
        <v>1</v>
      </c>
      <c r="F16" s="183">
        <f ca="1">OFFSET(PO!$P$12,ROW($E16)-ROW(F$12),0)</f>
        <v>1</v>
      </c>
      <c r="G16" s="183"/>
      <c r="H16" s="183"/>
      <c r="I16" s="183"/>
      <c r="J16" s="183"/>
      <c r="K16" s="183"/>
      <c r="L16" s="183"/>
      <c r="M16" s="183"/>
      <c r="N16" s="183"/>
      <c r="O16" s="183"/>
      <c r="U16" s="183"/>
    </row>
    <row r="17" spans="1:21" s="1" customFormat="1" x14ac:dyDescent="0.2">
      <c r="A17" s="110" t="str">
        <f ca="1">OFFSET(PO!J$12,ROW(A17)-ROW($A$12),0)</f>
        <v>Nível 2</v>
      </c>
      <c r="B17" s="112" t="str">
        <f ca="1">IF($A17=0,"",OFFSET(PO!K$12,ROW(B17)-ROW(B$12),0))</f>
        <v>1.2.</v>
      </c>
      <c r="C17" s="109" t="str">
        <f ca="1">IF(OFFSET(PO!N$12,ROW(C17)-ROW(C$12),0)=0,"",OFFSET(PO!N$12,ROW(C17)-ROW(C$12),0))</f>
        <v>ADMINISTRAÇÃO LOCAL DE OBRA</v>
      </c>
      <c r="D17" s="111" t="str">
        <f ca="1">IF(OFFSET(PO!O$12,ROW(D17)-ROW(D$12),0)=0,"",OFFSET(PO!O$12,ROW(D17)-ROW(D$12),0))</f>
        <v>MÊS</v>
      </c>
      <c r="E17" s="141">
        <f ca="1">IF($A17&lt;&gt;"Serviço",0,ROUND(SUMIF($F$9:$P$9,"&lt;&gt;",$F17:$P17),15-13*PO!$X$3))</f>
        <v>0</v>
      </c>
      <c r="F17" s="183">
        <f ca="1">OFFSET(PO!$P$12,ROW($E17)-ROW(F$12),0)</f>
        <v>2</v>
      </c>
      <c r="G17" s="183"/>
      <c r="H17" s="183"/>
      <c r="I17" s="183"/>
      <c r="J17" s="183"/>
      <c r="K17" s="183"/>
      <c r="L17" s="183"/>
      <c r="M17" s="183"/>
      <c r="N17" s="183"/>
      <c r="O17" s="183"/>
      <c r="U17" s="183"/>
    </row>
    <row r="18" spans="1:21" s="1" customFormat="1" x14ac:dyDescent="0.2">
      <c r="A18" s="110" t="str">
        <f ca="1">OFFSET(PO!J$12,ROW(A18)-ROW($A$12),0)</f>
        <v>Serviço</v>
      </c>
      <c r="B18" s="112" t="str">
        <f ca="1">IF($A18=0,"",OFFSET(PO!K$12,ROW(B18)-ROW(B$12),0))</f>
        <v>1.2.0.1.</v>
      </c>
      <c r="C18" s="109" t="str">
        <f ca="1">IF(OFFSET(PO!N$12,ROW(C18)-ROW(C$12),0)=0,"",OFFSET(PO!N$12,ROW(C18)-ROW(C$12),0))</f>
        <v>ADMINISTRAÇÃO LOCAL DE OBRA</v>
      </c>
      <c r="D18" s="111" t="str">
        <f ca="1">IF(OFFSET(PO!O$12,ROW(D18)-ROW(D$12),0)=0,"",OFFSET(PO!O$12,ROW(D18)-ROW(D$12),0))</f>
        <v>UM</v>
      </c>
      <c r="E18" s="141">
        <f ca="1">IF($A18&lt;&gt;"Serviço",0,ROUND(SUMIF($F$9:$P$9,"&lt;&gt;",$F18:$P18),15-13*PO!$X$3))</f>
        <v>1</v>
      </c>
      <c r="F18" s="183">
        <f ca="1">OFFSET(PO!$P$12,ROW($E18)-ROW(F$12),0)</f>
        <v>1</v>
      </c>
      <c r="G18" s="183"/>
      <c r="H18" s="183"/>
      <c r="I18" s="183"/>
      <c r="J18" s="183"/>
      <c r="K18" s="183"/>
      <c r="L18" s="183"/>
      <c r="M18" s="183"/>
      <c r="N18" s="183"/>
      <c r="O18" s="183"/>
      <c r="U18" s="183"/>
    </row>
    <row r="19" spans="1:21" s="1" customFormat="1" x14ac:dyDescent="0.2">
      <c r="A19" s="110" t="str">
        <f ca="1">OFFSET(PO!J$12,ROW(A19)-ROW($A$12),0)</f>
        <v>Nível 2</v>
      </c>
      <c r="B19" s="112" t="str">
        <f ca="1">IF($A19=0,"",OFFSET(PO!K$12,ROW(B19)-ROW(B$12),0))</f>
        <v>1.3.</v>
      </c>
      <c r="C19" s="109" t="str">
        <f ca="1">IF(OFFSET(PO!N$12,ROW(C19)-ROW(C$12),0)=0,"",OFFSET(PO!N$12,ROW(C19)-ROW(C$12),0))</f>
        <v>TERRAPLENAGEM</v>
      </c>
      <c r="D19" s="111" t="str">
        <f ca="1">IF(OFFSET(PO!O$12,ROW(D19)-ROW(D$12),0)=0,"",OFFSET(PO!O$12,ROW(D19)-ROW(D$12),0))</f>
        <v>MÊS</v>
      </c>
      <c r="E19" s="141">
        <f ca="1">IF($A19&lt;&gt;"Serviço",0,ROUND(SUMIF($F$9:$P$9,"&lt;&gt;",$F19:$P19),15-13*PO!$X$3))</f>
        <v>0</v>
      </c>
      <c r="F19" s="183">
        <f ca="1">OFFSET(PO!$P$12,ROW($E19)-ROW(F$12),0)</f>
        <v>2</v>
      </c>
      <c r="G19" s="183"/>
      <c r="H19" s="183"/>
      <c r="I19" s="183"/>
      <c r="J19" s="183"/>
      <c r="K19" s="183"/>
      <c r="L19" s="183"/>
      <c r="M19" s="183"/>
      <c r="N19" s="183"/>
      <c r="O19" s="183"/>
      <c r="U19" s="183"/>
    </row>
    <row r="20" spans="1:21" s="1" customFormat="1" ht="25.5" x14ac:dyDescent="0.2">
      <c r="A20" s="110" t="str">
        <f ca="1">OFFSET(PO!J$12,ROW(A20)-ROW($A$12),0)</f>
        <v>Serviço</v>
      </c>
      <c r="B20" s="112" t="str">
        <f ca="1">IF($A20=0,"",OFFSET(PO!K$12,ROW(B20)-ROW(B$12),0))</f>
        <v>1.3.0.1.</v>
      </c>
      <c r="C20" s="109" t="str">
        <f ca="1">IF(OFFSET(PO!N$12,ROW(C20)-ROW(C$12),0)=0,"",OFFSET(PO!N$12,ROW(C20)-ROW(C$12),0))</f>
        <v xml:space="preserve">NIVELAMENTO E COMPACTAÇÃO DE BASE DE BRITA GRADUADA                                                                                                                                                                                                                                                                                                                                                                             </v>
      </c>
      <c r="D20" s="111" t="str">
        <f ca="1">IF(OFFSET(PO!O$12,ROW(D20)-ROW(D$12),0)=0,"",OFFSET(PO!O$12,ROW(D20)-ROW(D$12),0))</f>
        <v>m³</v>
      </c>
      <c r="E20" s="141">
        <f ca="1">IF($A20&lt;&gt;"Serviço",0,ROUND(SUMIF($F$9:$P$9,"&lt;&gt;",$F20:$P20),15-13*PO!$X$3))</f>
        <v>1891.4</v>
      </c>
      <c r="F20" s="183">
        <f ca="1">OFFSET(PO!$P$12,ROW($E20)-ROW(F$12),0)</f>
        <v>1891.4</v>
      </c>
      <c r="G20" s="183"/>
      <c r="H20" s="183"/>
      <c r="I20" s="183"/>
      <c r="J20" s="183"/>
      <c r="K20" s="183"/>
      <c r="L20" s="183"/>
      <c r="M20" s="183"/>
      <c r="N20" s="183"/>
      <c r="O20" s="183"/>
      <c r="U20" s="183"/>
    </row>
    <row r="21" spans="1:21" s="1" customFormat="1" x14ac:dyDescent="0.2">
      <c r="A21" s="110" t="str">
        <f ca="1">OFFSET(PO!J$12,ROW(A21)-ROW($A$12),0)</f>
        <v>Nível 2</v>
      </c>
      <c r="B21" s="112" t="str">
        <f ca="1">IF($A21=0,"",OFFSET(PO!K$12,ROW(B21)-ROW(B$12),0))</f>
        <v>1.4.</v>
      </c>
      <c r="C21" s="109" t="str">
        <f ca="1">IF(OFFSET(PO!N$12,ROW(C21)-ROW(C$12),0)=0,"",OFFSET(PO!N$12,ROW(C21)-ROW(C$12),0))</f>
        <v>PAVIMENTAÇÃO</v>
      </c>
      <c r="D21" s="111" t="str">
        <f ca="1">IF(OFFSET(PO!O$12,ROW(D21)-ROW(D$12),0)=0,"",OFFSET(PO!O$12,ROW(D21)-ROW(D$12),0))</f>
        <v/>
      </c>
      <c r="E21" s="141">
        <f ca="1">IF($A21&lt;&gt;"Serviço",0,ROUND(SUMIF($F$9:$P$9,"&lt;&gt;",$F21:$P21),15-13*PO!$X$3))</f>
        <v>0</v>
      </c>
      <c r="F21" s="183">
        <f ca="1">OFFSET(PO!$P$12,ROW($E21)-ROW(F$12),0)</f>
        <v>0</v>
      </c>
      <c r="G21" s="183"/>
      <c r="H21" s="183"/>
      <c r="I21" s="183"/>
      <c r="J21" s="183"/>
      <c r="K21" s="183"/>
      <c r="L21" s="183"/>
      <c r="M21" s="183"/>
      <c r="N21" s="183"/>
      <c r="O21" s="183"/>
      <c r="U21" s="183"/>
    </row>
    <row r="22" spans="1:21" s="1" customFormat="1" x14ac:dyDescent="0.2">
      <c r="A22" s="110" t="str">
        <f ca="1">OFFSET(PO!J$12,ROW(A22)-ROW($A$12),0)</f>
        <v>Serviço</v>
      </c>
      <c r="B22" s="112" t="str">
        <f ca="1">IF($A22=0,"",OFFSET(PO!K$12,ROW(B22)-ROW(B$12),0))</f>
        <v>1.4.0.1.</v>
      </c>
      <c r="C22" s="109" t="str">
        <f ca="1">IF(OFFSET(PO!N$12,ROW(C22)-ROW(C$12),0)=0,"",OFFSET(PO!N$12,ROW(C22)-ROW(C$12),0))</f>
        <v>Imprimação com asfalto diluído</v>
      </c>
      <c r="D22" s="111" t="str">
        <f ca="1">IF(OFFSET(PO!O$12,ROW(D22)-ROW(D$12),0)=0,"",OFFSET(PO!O$12,ROW(D22)-ROW(D$12),0))</f>
        <v>m²</v>
      </c>
      <c r="E22" s="141">
        <f ca="1">IF($A22&lt;&gt;"Serviço",0,ROUND(SUMIF($F$9:$P$9,"&lt;&gt;",$F22:$P22),15-13*PO!$X$3))</f>
        <v>10766.7</v>
      </c>
      <c r="F22" s="183">
        <f ca="1">OFFSET(PO!$P$12,ROW($E22)-ROW(F$12),0)</f>
        <v>10766.7</v>
      </c>
      <c r="G22" s="183"/>
      <c r="H22" s="183"/>
      <c r="I22" s="183"/>
      <c r="J22" s="183"/>
      <c r="K22" s="183"/>
      <c r="L22" s="183"/>
      <c r="M22" s="183"/>
      <c r="N22" s="183"/>
      <c r="O22" s="183"/>
      <c r="U22" s="183"/>
    </row>
    <row r="23" spans="1:21" s="1" customFormat="1" x14ac:dyDescent="0.2">
      <c r="A23" s="110" t="str">
        <f ca="1">OFFSET(PO!J$12,ROW(A23)-ROW($A$12),0)</f>
        <v>Serviço</v>
      </c>
      <c r="B23" s="112" t="str">
        <f ca="1">IF($A23=0,"",OFFSET(PO!K$12,ROW(B23)-ROW(B$12),0))</f>
        <v>1.4.0.2.</v>
      </c>
      <c r="C23" s="109" t="str">
        <f ca="1">IF(OFFSET(PO!N$12,ROW(C23)-ROW(C$12),0)=0,"",OFFSET(PO!N$12,ROW(C23)-ROW(C$12),0))</f>
        <v>Pintura de ligação</v>
      </c>
      <c r="D23" s="111" t="str">
        <f ca="1">IF(OFFSET(PO!O$12,ROW(D23)-ROW(D$12),0)=0,"",OFFSET(PO!O$12,ROW(D23)-ROW(D$12),0))</f>
        <v>m²</v>
      </c>
      <c r="E23" s="141">
        <f ca="1">IF($A23&lt;&gt;"Serviço",0,ROUND(SUMIF($F$9:$P$9,"&lt;&gt;",$F23:$P23),15-13*PO!$X$3))</f>
        <v>10766.7</v>
      </c>
      <c r="F23" s="183">
        <f ca="1">OFFSET(PO!$P$12,ROW($E23)-ROW(F$12),0)</f>
        <v>10766.7</v>
      </c>
      <c r="G23" s="183"/>
      <c r="H23" s="183"/>
      <c r="I23" s="183"/>
      <c r="J23" s="183"/>
      <c r="K23" s="183"/>
      <c r="L23" s="183"/>
      <c r="M23" s="183"/>
      <c r="N23" s="183"/>
      <c r="O23" s="183"/>
      <c r="U23" s="183"/>
    </row>
    <row r="24" spans="1:21" s="1" customFormat="1" x14ac:dyDescent="0.2">
      <c r="A24" s="110" t="str">
        <f ca="1">OFFSET(PO!J$12,ROW(A24)-ROW($A$12),0)</f>
        <v>Serviço</v>
      </c>
      <c r="B24" s="112" t="str">
        <f ca="1">IF($A24=0,"",OFFSET(PO!K$12,ROW(B24)-ROW(B$12),0))</f>
        <v>1.4.0.3.</v>
      </c>
      <c r="C24" s="109" t="str">
        <f ca="1">IF(OFFSET(PO!N$12,ROW(C24)-ROW(C$12),0)=0,"",OFFSET(PO!N$12,ROW(C24)-ROW(C$12),0))</f>
        <v>Concreto asfáltico - faixa C-12,5 - areia e brita comerciais</v>
      </c>
      <c r="D24" s="111" t="str">
        <f ca="1">IF(OFFSET(PO!O$12,ROW(D24)-ROW(D$12),0)=0,"",OFFSET(PO!O$12,ROW(D24)-ROW(D$12),0))</f>
        <v>t</v>
      </c>
      <c r="E24" s="141">
        <f ca="1">IF($A24&lt;&gt;"Serviço",0,ROUND(SUMIF($F$9:$P$9,"&lt;&gt;",$F24:$P24),15-13*PO!$X$3))</f>
        <v>1372.75</v>
      </c>
      <c r="F24" s="183">
        <f ca="1">OFFSET(PO!$P$12,ROW($E24)-ROW(F$12),0)</f>
        <v>1372.75425</v>
      </c>
      <c r="G24" s="183"/>
      <c r="H24" s="183"/>
      <c r="I24" s="183"/>
      <c r="J24" s="183"/>
      <c r="K24" s="183"/>
      <c r="L24" s="183"/>
      <c r="M24" s="183"/>
      <c r="N24" s="183"/>
      <c r="O24" s="183"/>
      <c r="U24" s="183"/>
    </row>
    <row r="25" spans="1:21" s="1" customFormat="1" ht="25.5" x14ac:dyDescent="0.2">
      <c r="A25" s="110" t="str">
        <f ca="1">OFFSET(PO!J$12,ROW(A25)-ROW($A$12),0)</f>
        <v>Serviço</v>
      </c>
      <c r="B25" s="112" t="str">
        <f ca="1">IF($A25=0,"",OFFSET(PO!K$12,ROW(B25)-ROW(B$12),0))</f>
        <v>1.4.0.4.</v>
      </c>
      <c r="C25" s="109" t="str">
        <f ca="1">IF(OFFSET(PO!N$12,ROW(C25)-ROW(C$12),0)=0,"",OFFSET(PO!N$12,ROW(C25)-ROW(C$12),0))</f>
        <v>Transporte de mistura betuminosa a quente com caminhão com caçamba térmica de 6 m³ - rodovia pavimentada</v>
      </c>
      <c r="D25" s="111" t="str">
        <f ca="1">IF(OFFSET(PO!O$12,ROW(D25)-ROW(D$12),0)=0,"",OFFSET(PO!O$12,ROW(D25)-ROW(D$12),0))</f>
        <v>tkm</v>
      </c>
      <c r="E25" s="141">
        <f ca="1">IF($A25&lt;&gt;"Serviço",0,ROUND(SUMIF($F$9:$P$9,"&lt;&gt;",$F25:$P25),15-13*PO!$X$3))</f>
        <v>27455.09</v>
      </c>
      <c r="F25" s="183">
        <f ca="1">OFFSET(PO!$P$12,ROW($E25)-ROW(F$12),0)</f>
        <v>27455.084999999999</v>
      </c>
      <c r="G25" s="183"/>
      <c r="H25" s="183"/>
      <c r="I25" s="183"/>
      <c r="J25" s="183"/>
      <c r="K25" s="183"/>
      <c r="L25" s="183"/>
      <c r="M25" s="183"/>
      <c r="N25" s="183"/>
      <c r="O25" s="183"/>
      <c r="U25" s="183"/>
    </row>
    <row r="26" spans="1:21" s="1" customFormat="1" ht="25.5" x14ac:dyDescent="0.2">
      <c r="A26" s="110" t="str">
        <f ca="1">OFFSET(PO!J$12,ROW(A26)-ROW($A$12),0)</f>
        <v>Serviço</v>
      </c>
      <c r="B26" s="112" t="str">
        <f ca="1">IF($A26=0,"",OFFSET(PO!K$12,ROW(B26)-ROW(B$12),0))</f>
        <v>1.4.0.5.</v>
      </c>
      <c r="C26" s="109" t="str">
        <f ca="1">IF(OFFSET(PO!N$12,ROW(C26)-ROW(C$12),0)=0,"",OFFSET(PO!N$12,ROW(C26)-ROW(C$12),0))</f>
        <v>ASFALTO DILUÍDO CM-30 PARA USO EM PAVIMENTAÇÃO ASFÁLTICA - ACRESCIDO DE ICMS (R$ 4,82594/Kg S/ICMS)</v>
      </c>
      <c r="D26" s="111" t="str">
        <f ca="1">IF(OFFSET(PO!O$12,ROW(D26)-ROW(D$12),0)=0,"",OFFSET(PO!O$12,ROW(D26)-ROW(D$12),0))</f>
        <v>T</v>
      </c>
      <c r="E26" s="141">
        <f ca="1">IF($A26&lt;&gt;"Serviço",0,ROUND(SUMIF($F$9:$P$9,"&lt;&gt;",$F26:$P26),15-13*PO!$X$3))</f>
        <v>12.92</v>
      </c>
      <c r="F26" s="183">
        <f ca="1">OFFSET(PO!$P$12,ROW($E26)-ROW(F$12),0)</f>
        <v>12.92004</v>
      </c>
      <c r="G26" s="183"/>
      <c r="H26" s="183"/>
      <c r="I26" s="183"/>
      <c r="J26" s="183"/>
      <c r="K26" s="183"/>
      <c r="L26" s="183"/>
      <c r="M26" s="183"/>
      <c r="N26" s="183"/>
      <c r="O26" s="183"/>
      <c r="U26" s="183"/>
    </row>
    <row r="27" spans="1:21" s="1" customFormat="1" ht="25.5" x14ac:dyDescent="0.2">
      <c r="A27" s="110" t="str">
        <f ca="1">OFFSET(PO!J$12,ROW(A27)-ROW($A$12),0)</f>
        <v>Serviço</v>
      </c>
      <c r="B27" s="112" t="str">
        <f ca="1">IF($A27=0,"",OFFSET(PO!K$12,ROW(B27)-ROW(B$12),0))</f>
        <v>1.4.0.6.</v>
      </c>
      <c r="C27" s="109" t="str">
        <f ca="1">IF(OFFSET(PO!N$12,ROW(C27)-ROW(C$12),0)=0,"",OFFSET(PO!N$12,ROW(C27)-ROW(C$12),0))</f>
        <v>CIMENTO ASFÁLTICO CAP 50/70 - ACRESCIDO ICMS (R$ 3,88251/Kg S/ICMS)</v>
      </c>
      <c r="D27" s="111" t="str">
        <f ca="1">IF(OFFSET(PO!O$12,ROW(D27)-ROW(D$12),0)=0,"",OFFSET(PO!O$12,ROW(D27)-ROW(D$12),0))</f>
        <v>T</v>
      </c>
      <c r="E27" s="141">
        <f ca="1">IF($A27&lt;&gt;"Serviço",0,ROUND(SUMIF($F$9:$P$9,"&lt;&gt;",$F27:$P27),15-13*PO!$X$3))</f>
        <v>75.5</v>
      </c>
      <c r="F27" s="183">
        <f ca="1">OFFSET(PO!$P$12,ROW($E27)-ROW(F$12),0)</f>
        <v>75.501483749999991</v>
      </c>
      <c r="G27" s="183"/>
      <c r="H27" s="183"/>
      <c r="I27" s="183"/>
      <c r="J27" s="183"/>
      <c r="K27" s="183"/>
      <c r="L27" s="183"/>
      <c r="M27" s="183"/>
      <c r="N27" s="183"/>
      <c r="O27" s="183"/>
      <c r="U27" s="183"/>
    </row>
    <row r="28" spans="1:21" s="1" customFormat="1" ht="38.25" x14ac:dyDescent="0.2">
      <c r="A28" s="110" t="str">
        <f ca="1">OFFSET(PO!J$12,ROW(A28)-ROW($A$12),0)</f>
        <v>Serviço</v>
      </c>
      <c r="B28" s="112" t="str">
        <f ca="1">IF($A28=0,"",OFFSET(PO!K$12,ROW(B28)-ROW(B$12),0))</f>
        <v>1.4.0.7.</v>
      </c>
      <c r="C28" s="109" t="str">
        <f ca="1">IF(OFFSET(PO!N$12,ROW(C28)-ROW(C$12),0)=0,"",OFFSET(PO!N$12,ROW(C28)-ROW(C$12),0))</f>
        <v>EMULSÃO ASFÁLTICA CATIONICA RR-1C PARA USO EM PAVIMENTAÇÃO ASFÁLTICA - ACRESCIDO DE ICMS (R$ 2,78839/Kg S/ICMS)</v>
      </c>
      <c r="D28" s="111" t="str">
        <f ca="1">IF(OFFSET(PO!O$12,ROW(D28)-ROW(D$12),0)=0,"",OFFSET(PO!O$12,ROW(D28)-ROW(D$12),0))</f>
        <v>T</v>
      </c>
      <c r="E28" s="141">
        <f ca="1">IF($A28&lt;&gt;"Serviço",0,ROUND(SUMIF($F$9:$P$9,"&lt;&gt;",$F28:$P28),15-13*PO!$X$3))</f>
        <v>5.38</v>
      </c>
      <c r="F28" s="183">
        <f ca="1">OFFSET(PO!$P$12,ROW($E28)-ROW(F$12),0)</f>
        <v>5.3833500000000001</v>
      </c>
      <c r="G28" s="183"/>
      <c r="H28" s="183"/>
      <c r="I28" s="183"/>
      <c r="J28" s="183"/>
      <c r="K28" s="183"/>
      <c r="L28" s="183"/>
      <c r="M28" s="183"/>
      <c r="N28" s="183"/>
      <c r="O28" s="183"/>
      <c r="U28" s="183"/>
    </row>
    <row r="29" spans="1:21" s="1" customFormat="1" ht="25.5" x14ac:dyDescent="0.2">
      <c r="A29" s="110" t="str">
        <f ca="1">OFFSET(PO!J$12,ROW(A29)-ROW($A$12),0)</f>
        <v>Serviço</v>
      </c>
      <c r="B29" s="112" t="str">
        <f ca="1">IF($A29=0,"",OFFSET(PO!K$12,ROW(B29)-ROW(B$12),0))</f>
        <v>1.4.0.8.</v>
      </c>
      <c r="C29" s="109" t="str">
        <f ca="1">IF(OFFSET(PO!N$12,ROW(C29)-ROW(C$12),0)=0,"",OFFSET(PO!N$12,ROW(C29)-ROW(C$12),0))</f>
        <v>Transporte de material betuminoso com caminhão tanque distribuidor - rodovia pavimentada</v>
      </c>
      <c r="D29" s="111" t="str">
        <f ca="1">IF(OFFSET(PO!O$12,ROW(D29)-ROW(D$12),0)=0,"",OFFSET(PO!O$12,ROW(D29)-ROW(D$12),0))</f>
        <v>tkm</v>
      </c>
      <c r="E29" s="141">
        <f ca="1">IF($A29&lt;&gt;"Serviço",0,ROUND(SUMIF($F$9:$P$9,"&lt;&gt;",$F29:$P29),15-13*PO!$X$3))</f>
        <v>1876.1</v>
      </c>
      <c r="F29" s="183">
        <f ca="1">OFFSET(PO!$P$12,ROW($E29)-ROW(F$12),0)</f>
        <v>1876.0974749999996</v>
      </c>
      <c r="G29" s="183"/>
      <c r="H29" s="183"/>
      <c r="I29" s="183"/>
      <c r="J29" s="183"/>
      <c r="K29" s="183"/>
      <c r="L29" s="183"/>
      <c r="M29" s="183"/>
      <c r="N29" s="183"/>
      <c r="O29" s="183"/>
      <c r="U29" s="183"/>
    </row>
    <row r="30" spans="1:21" s="1" customFormat="1" x14ac:dyDescent="0.2">
      <c r="A30" s="110" t="str">
        <f ca="1">OFFSET(PO!J$12,ROW(A30)-ROW($A$12),0)</f>
        <v>Nível 2</v>
      </c>
      <c r="B30" s="112" t="str">
        <f ca="1">IF($A30=0,"",OFFSET(PO!K$12,ROW(B30)-ROW(B$12),0))</f>
        <v>1.5.</v>
      </c>
      <c r="C30" s="109" t="str">
        <f ca="1">IF(OFFSET(PO!N$12,ROW(C30)-ROW(C$12),0)=0,"",OFFSET(PO!N$12,ROW(C30)-ROW(C$12),0))</f>
        <v>SINALIZAÇÃO</v>
      </c>
      <c r="D30" s="111" t="str">
        <f ca="1">IF(OFFSET(PO!O$12,ROW(D30)-ROW(D$12),0)=0,"",OFFSET(PO!O$12,ROW(D30)-ROW(D$12),0))</f>
        <v/>
      </c>
      <c r="E30" s="141">
        <f ca="1">IF($A30&lt;&gt;"Serviço",0,ROUND(SUMIF($F$9:$P$9,"&lt;&gt;",$F30:$P30),15-13*PO!$X$3))</f>
        <v>0</v>
      </c>
      <c r="F30" s="183">
        <f ca="1">OFFSET(PO!$P$12,ROW($E30)-ROW(F$12),0)</f>
        <v>0</v>
      </c>
      <c r="G30" s="183"/>
      <c r="H30" s="183"/>
      <c r="I30" s="183"/>
      <c r="J30" s="183"/>
      <c r="K30" s="183"/>
      <c r="L30" s="183"/>
      <c r="M30" s="183"/>
      <c r="N30" s="183"/>
      <c r="O30" s="183"/>
      <c r="U30" s="183"/>
    </row>
    <row r="31" spans="1:21" s="1" customFormat="1" x14ac:dyDescent="0.2">
      <c r="A31" s="110" t="str">
        <f ca="1">OFFSET(PO!J$12,ROW(A31)-ROW($A$12),0)</f>
        <v>Nível 3</v>
      </c>
      <c r="B31" s="112" t="str">
        <f ca="1">IF($A31=0,"",OFFSET(PO!K$12,ROW(B31)-ROW(B$12),0))</f>
        <v>1.5.1.</v>
      </c>
      <c r="C31" s="109" t="str">
        <f ca="1">IF(OFFSET(PO!N$12,ROW(C31)-ROW(C$12),0)=0,"",OFFSET(PO!N$12,ROW(C31)-ROW(C$12),0))</f>
        <v>SINALIZAÇÃO HORIZONTAL</v>
      </c>
      <c r="D31" s="111" t="str">
        <f ca="1">IF(OFFSET(PO!O$12,ROW(D31)-ROW(D$12),0)=0,"",OFFSET(PO!O$12,ROW(D31)-ROW(D$12),0))</f>
        <v/>
      </c>
      <c r="E31" s="141">
        <f ca="1">IF($A31&lt;&gt;"Serviço",0,ROUND(SUMIF($F$9:$P$9,"&lt;&gt;",$F31:$P31),15-13*PO!$X$3))</f>
        <v>0</v>
      </c>
      <c r="F31" s="183">
        <f ca="1">OFFSET(PO!$P$12,ROW($E31)-ROW(F$12),0)</f>
        <v>0</v>
      </c>
      <c r="G31" s="183"/>
      <c r="H31" s="183"/>
      <c r="I31" s="183"/>
      <c r="J31" s="183"/>
      <c r="K31" s="183"/>
      <c r="L31" s="183"/>
      <c r="M31" s="183"/>
      <c r="N31" s="183"/>
      <c r="O31" s="183"/>
      <c r="U31" s="183"/>
    </row>
    <row r="32" spans="1:21" s="1" customFormat="1" ht="38.25" x14ac:dyDescent="0.2">
      <c r="A32" s="110" t="str">
        <f ca="1">OFFSET(PO!J$12,ROW(A32)-ROW($A$12),0)</f>
        <v>Serviço</v>
      </c>
      <c r="B32" s="112" t="str">
        <f ca="1">IF($A32=0,"",OFFSET(PO!K$12,ROW(B32)-ROW(B$12),0))</f>
        <v>1.5.1.1.</v>
      </c>
      <c r="C32" s="109" t="str">
        <f ca="1">IF(OFFSET(PO!N$12,ROW(C32)-ROW(C$12),0)=0,"",OFFSET(PO!N$12,ROW(C32)-ROW(C$12),0))</f>
        <v>PINTURA DE EIXO VIÁRIO SOBRE ASFALTO COM TINTA RETRORREFLETIVA A BASE DE RESINA ACRÍLICA COM MICROESFERAS DE VIDRO</v>
      </c>
      <c r="D32" s="111" t="str">
        <f ca="1">IF(OFFSET(PO!O$12,ROW(D32)-ROW(D$12),0)=0,"",OFFSET(PO!O$12,ROW(D32)-ROW(D$12),0))</f>
        <v>M²</v>
      </c>
      <c r="E32" s="141">
        <f ca="1">IF($A32&lt;&gt;"Serviço",0,ROUND(SUMIF($F$9:$P$9,"&lt;&gt;",$F32:$P32),15-13*PO!$X$3))</f>
        <v>5151</v>
      </c>
      <c r="F32" s="183">
        <f ca="1">OFFSET(PO!$P$12,ROW($E32)-ROW(F$12),0)</f>
        <v>5151</v>
      </c>
      <c r="G32" s="183"/>
      <c r="H32" s="183"/>
      <c r="I32" s="183"/>
      <c r="J32" s="183"/>
      <c r="K32" s="183"/>
      <c r="L32" s="183"/>
      <c r="M32" s="183"/>
      <c r="N32" s="183"/>
      <c r="O32" s="183"/>
      <c r="U32" s="183"/>
    </row>
    <row r="33" spans="1:21" s="1" customFormat="1" ht="38.25" x14ac:dyDescent="0.2">
      <c r="A33" s="110" t="str">
        <f ca="1">OFFSET(PO!J$12,ROW(A33)-ROW($A$12),0)</f>
        <v>Serviço</v>
      </c>
      <c r="B33" s="112" t="str">
        <f ca="1">IF($A33=0,"",OFFSET(PO!K$12,ROW(B33)-ROW(B$12),0))</f>
        <v>1.5.1.2.</v>
      </c>
      <c r="C33" s="109" t="str">
        <f ca="1">IF(OFFSET(PO!N$12,ROW(C33)-ROW(C$12),0)=0,"",OFFSET(PO!N$12,ROW(C33)-ROW(C$12),0))</f>
        <v>PINTURA DE FAIXA DE PEDESTRE OU ZEBRADA TINTA RETRORREFLETIVA A BASE DE RESINA ACRÍLICA COM MICROESFERAS DE VIDRO</v>
      </c>
      <c r="D33" s="111" t="str">
        <f ca="1">IF(OFFSET(PO!O$12,ROW(D33)-ROW(D$12),0)=0,"",OFFSET(PO!O$12,ROW(D33)-ROW(D$12),0))</f>
        <v>M²</v>
      </c>
      <c r="E33" s="141">
        <f ca="1">IF($A33&lt;&gt;"Serviço",0,ROUND(SUMIF($F$9:$P$9,"&lt;&gt;",$F33:$P33),15-13*PO!$X$3))</f>
        <v>6</v>
      </c>
      <c r="F33" s="183">
        <f ca="1">OFFSET(PO!$P$12,ROW($E33)-ROW(F$12),0)</f>
        <v>6</v>
      </c>
      <c r="G33" s="183"/>
      <c r="H33" s="183"/>
      <c r="I33" s="183"/>
      <c r="J33" s="183"/>
      <c r="K33" s="183"/>
      <c r="L33" s="183"/>
      <c r="M33" s="183"/>
      <c r="N33" s="183"/>
      <c r="O33" s="183"/>
      <c r="U33" s="183"/>
    </row>
    <row r="34" spans="1:21" s="1" customFormat="1" x14ac:dyDescent="0.2">
      <c r="A34" s="110" t="str">
        <f ca="1">OFFSET(PO!J$12,ROW(A34)-ROW($A$12),0)</f>
        <v>Nível 3</v>
      </c>
      <c r="B34" s="112" t="str">
        <f ca="1">IF($A34=0,"",OFFSET(PO!K$12,ROW(B34)-ROW(B$12),0))</f>
        <v>1.5.2.</v>
      </c>
      <c r="C34" s="109" t="str">
        <f ca="1">IF(OFFSET(PO!N$12,ROW(C34)-ROW(C$12),0)=0,"",OFFSET(PO!N$12,ROW(C34)-ROW(C$12),0))</f>
        <v>SINALIZAÇÃO VERTICAL</v>
      </c>
      <c r="D34" s="111" t="str">
        <f ca="1">IF(OFFSET(PO!O$12,ROW(D34)-ROW(D$12),0)=0,"",OFFSET(PO!O$12,ROW(D34)-ROW(D$12),0))</f>
        <v/>
      </c>
      <c r="E34" s="141">
        <f ca="1">IF($A34&lt;&gt;"Serviço",0,ROUND(SUMIF($F$9:$P$9,"&lt;&gt;",$F34:$P34),15-13*PO!$X$3))</f>
        <v>0</v>
      </c>
      <c r="F34" s="183">
        <f ca="1">OFFSET(PO!$P$12,ROW($E34)-ROW(F$12),0)</f>
        <v>0</v>
      </c>
      <c r="G34" s="183"/>
      <c r="H34" s="183"/>
      <c r="I34" s="183"/>
      <c r="J34" s="183"/>
      <c r="K34" s="183"/>
      <c r="L34" s="183"/>
      <c r="M34" s="183"/>
      <c r="N34" s="183"/>
      <c r="O34" s="183"/>
      <c r="U34" s="183"/>
    </row>
    <row r="35" spans="1:21" s="1" customFormat="1" ht="38.25" x14ac:dyDescent="0.2">
      <c r="A35" s="110" t="str">
        <f ca="1">OFFSET(PO!J$12,ROW(A35)-ROW($A$12),0)</f>
        <v>Serviço</v>
      </c>
      <c r="B35" s="112" t="str">
        <f ca="1">IF($A35=0,"",OFFSET(PO!K$12,ROW(B35)-ROW(B$12),0))</f>
        <v>1.5.2.1.</v>
      </c>
      <c r="C35" s="109" t="str">
        <f ca="1">IF(OFFSET(PO!N$12,ROW(C35)-ROW(C$12),0)=0,"",OFFSET(PO!N$12,ROW(C35)-ROW(C$12),0))</f>
        <v>FORNECIMENTO E IMPLANTAÇÃO DE PLACA DE ADVERTÊNCIA EM AÇO, LADO DE 0,60 M - PELÍCULA
RETRORREFLETIVA TIPO I + SI</v>
      </c>
      <c r="D35" s="111" t="str">
        <f ca="1">IF(OFFSET(PO!O$12,ROW(D35)-ROW(D$12),0)=0,"",OFFSET(PO!O$12,ROW(D35)-ROW(D$12),0))</f>
        <v>un.</v>
      </c>
      <c r="E35" s="141">
        <f ca="1">IF($A35&lt;&gt;"Serviço",0,ROUND(SUMIF($F$9:$P$9,"&lt;&gt;",$F35:$P35),15-13*PO!$X$3))</f>
        <v>6</v>
      </c>
      <c r="F35" s="183">
        <f ca="1">OFFSET(PO!$P$12,ROW($E35)-ROW(F$12),0)</f>
        <v>6</v>
      </c>
      <c r="G35" s="183"/>
      <c r="H35" s="183"/>
      <c r="I35" s="183"/>
      <c r="J35" s="183"/>
      <c r="K35" s="183"/>
      <c r="L35" s="183"/>
      <c r="M35" s="183"/>
      <c r="N35" s="183"/>
      <c r="O35" s="183"/>
      <c r="U35" s="183"/>
    </row>
    <row r="36" spans="1:21" s="1" customFormat="1" ht="38.25" x14ac:dyDescent="0.2">
      <c r="A36" s="110" t="str">
        <f ca="1">OFFSET(PO!J$12,ROW(A36)-ROW($A$12),0)</f>
        <v>Serviço</v>
      </c>
      <c r="B36" s="112" t="str">
        <f ca="1">IF($A36=0,"",OFFSET(PO!K$12,ROW(B36)-ROW(B$12),0))</f>
        <v>1.5.2.2.</v>
      </c>
      <c r="C36" s="109" t="str">
        <f ca="1">IF(OFFSET(PO!N$12,ROW(C36)-ROW(C$12),0)=0,"",OFFSET(PO!N$12,ROW(C36)-ROW(C$12),0))</f>
        <v>FORNECIMENTO E IMPLANTAÇÃO DE PLACA DE REGULAMENTAÇÃO EM AÇO D = 0,60 M - PELÍCULA
RETRORREFLETIVA TIPO I + SI</v>
      </c>
      <c r="D36" s="111" t="str">
        <f ca="1">IF(OFFSET(PO!O$12,ROW(D36)-ROW(D$12),0)=0,"",OFFSET(PO!O$12,ROW(D36)-ROW(D$12),0))</f>
        <v>un.</v>
      </c>
      <c r="E36" s="141">
        <f ca="1">IF($A36&lt;&gt;"Serviço",0,ROUND(SUMIF($F$9:$P$9,"&lt;&gt;",$F36:$P36),15-13*PO!$X$3))</f>
        <v>4</v>
      </c>
      <c r="F36" s="183">
        <f ca="1">OFFSET(PO!$P$12,ROW($E36)-ROW(F$12),0)</f>
        <v>4</v>
      </c>
      <c r="G36" s="183"/>
      <c r="H36" s="183"/>
      <c r="I36" s="183"/>
      <c r="J36" s="183"/>
      <c r="K36" s="183"/>
      <c r="L36" s="183"/>
      <c r="M36" s="183"/>
      <c r="N36" s="183"/>
      <c r="O36" s="183"/>
      <c r="U36" s="183"/>
    </row>
    <row r="37" spans="1:21" s="1" customFormat="1" ht="25.5" x14ac:dyDescent="0.2">
      <c r="A37" s="110" t="str">
        <f ca="1">OFFSET(PO!J$12,ROW(A37)-ROW($A$12),0)</f>
        <v>Serviço</v>
      </c>
      <c r="B37" s="112" t="str">
        <f ca="1">IF($A37=0,"",OFFSET(PO!K$12,ROW(B37)-ROW(B$12),0))</f>
        <v>1.5.2.3.</v>
      </c>
      <c r="C37" s="109" t="str">
        <f ca="1">IF(OFFSET(PO!N$12,ROW(C37)-ROW(C$12),0)=0,"",OFFSET(PO!N$12,ROW(C37)-ROW(C$12),0))</f>
        <v>FORNECIMENTO E IMPLANTAÇÃO DE PLACA EM AÇO - 2,00 X 1,00 M - PELÍCULA RETRORREFLETIVA TIPO I + I</v>
      </c>
      <c r="D37" s="111" t="str">
        <f ca="1">IF(OFFSET(PO!O$12,ROW(D37)-ROW(D$12),0)=0,"",OFFSET(PO!O$12,ROW(D37)-ROW(D$12),0))</f>
        <v>un.</v>
      </c>
      <c r="E37" s="141">
        <f ca="1">IF($A37&lt;&gt;"Serviço",0,ROUND(SUMIF($F$9:$P$9,"&lt;&gt;",$F37:$P37),15-13*PO!$X$3))</f>
        <v>3</v>
      </c>
      <c r="F37" s="183">
        <f ca="1">OFFSET(PO!$P$12,ROW($E37)-ROW(F$12),0)</f>
        <v>3</v>
      </c>
      <c r="G37" s="183"/>
      <c r="H37" s="183"/>
      <c r="I37" s="183"/>
      <c r="J37" s="183"/>
      <c r="K37" s="183"/>
      <c r="L37" s="183"/>
      <c r="M37" s="183"/>
      <c r="N37" s="183"/>
      <c r="O37" s="183"/>
      <c r="U37" s="183"/>
    </row>
    <row r="38" spans="1:21" s="1" customFormat="1" ht="38.25" x14ac:dyDescent="0.2">
      <c r="A38" s="110" t="str">
        <f ca="1">OFFSET(PO!J$12,ROW(A38)-ROW($A$12),0)</f>
        <v>Serviço</v>
      </c>
      <c r="B38" s="112" t="str">
        <f ca="1">IF($A38=0,"",OFFSET(PO!K$12,ROW(B38)-ROW(B$12),0))</f>
        <v>1.5.2.4.</v>
      </c>
      <c r="C38" s="109" t="str">
        <f ca="1">IF(OFFSET(PO!N$12,ROW(C38)-ROW(C$12),0)=0,"",OFFSET(PO!N$12,ROW(C38)-ROW(C$12),0))</f>
        <v>FORNECIMENTO E IMPLANTAÇÃO DE SUPORTE METÁLICO GALVANIZADO PARA PLACA DE ADVERTÊNCIA OU
REGULAMENTAÇÃO - LADO OU DIÂMETRO DE 0,60 M</v>
      </c>
      <c r="D38" s="111" t="str">
        <f ca="1">IF(OFFSET(PO!O$12,ROW(D38)-ROW(D$12),0)=0,"",OFFSET(PO!O$12,ROW(D38)-ROW(D$12),0))</f>
        <v>un.</v>
      </c>
      <c r="E38" s="141">
        <f ca="1">IF($A38&lt;&gt;"Serviço",0,ROUND(SUMIF($F$9:$P$9,"&lt;&gt;",$F38:$P38),15-13*PO!$X$3))</f>
        <v>12</v>
      </c>
      <c r="F38" s="183">
        <f ca="1">OFFSET(PO!$P$12,ROW($E38)-ROW(F$12),0)</f>
        <v>12</v>
      </c>
      <c r="G38" s="183"/>
      <c r="H38" s="183"/>
      <c r="I38" s="183"/>
      <c r="J38" s="183"/>
      <c r="K38" s="183"/>
      <c r="L38" s="183"/>
      <c r="M38" s="183"/>
      <c r="N38" s="183"/>
      <c r="O38" s="183"/>
      <c r="U38" s="183"/>
    </row>
    <row r="39" spans="1:21" s="1" customFormat="1" ht="25.5" x14ac:dyDescent="0.2">
      <c r="A39" s="110" t="str">
        <f ca="1">OFFSET(PO!J$12,ROW(A39)-ROW($A$12),0)</f>
        <v>Serviço</v>
      </c>
      <c r="B39" s="112" t="str">
        <f ca="1">IF($A39=0,"",OFFSET(PO!K$12,ROW(B39)-ROW(B$12),0))</f>
        <v>1.5.2.5.</v>
      </c>
      <c r="C39" s="109" t="str">
        <f ca="1">IF(OFFSET(PO!N$12,ROW(C39)-ROW(C$12),0)=0,"",OFFSET(PO!N$12,ROW(C39)-ROW(C$12),0))</f>
        <v>FORNECIMENTO E IMPLANTAÇÃO DE SUPORTE METÁLICO GALVANIZADO PARA PLACAS - 2,00 X 1,00 M</v>
      </c>
      <c r="D39" s="111" t="str">
        <f ca="1">IF(OFFSET(PO!O$12,ROW(D39)-ROW(D$12),0)=0,"",OFFSET(PO!O$12,ROW(D39)-ROW(D$12),0))</f>
        <v>un.</v>
      </c>
      <c r="E39" s="141">
        <f ca="1">IF($A39&lt;&gt;"Serviço",0,ROUND(SUMIF($F$9:$P$9,"&lt;&gt;",$F39:$P39),15-13*PO!$X$3))</f>
        <v>6</v>
      </c>
      <c r="F39" s="183">
        <f ca="1">OFFSET(PO!$P$12,ROW($E39)-ROW(F$12),0)</f>
        <v>6</v>
      </c>
      <c r="G39" s="183"/>
      <c r="H39" s="183"/>
      <c r="I39" s="183"/>
      <c r="J39" s="183"/>
      <c r="K39" s="183"/>
      <c r="L39" s="183"/>
      <c r="M39" s="183"/>
      <c r="N39" s="183"/>
      <c r="O39" s="183"/>
      <c r="U39" s="183"/>
    </row>
    <row r="40" spans="1:21" s="1" customFormat="1" x14ac:dyDescent="0.2">
      <c r="A40" s="69"/>
      <c r="B40" s="69"/>
      <c r="C40" s="69"/>
      <c r="D40" s="69"/>
      <c r="E40" s="69"/>
      <c r="F40" s="69"/>
      <c r="G40" s="69"/>
      <c r="H40" s="69"/>
      <c r="I40" s="69"/>
      <c r="J40" s="69"/>
      <c r="K40" s="69"/>
      <c r="L40" s="69"/>
      <c r="M40" s="69"/>
      <c r="N40" s="69"/>
      <c r="O40" s="69"/>
      <c r="U40" s="69"/>
    </row>
    <row r="41" spans="1:21" s="1" customFormat="1" x14ac:dyDescent="0.2">
      <c r="B41" s="4"/>
      <c r="C41" s="10"/>
      <c r="D41" s="4"/>
      <c r="E41" s="12"/>
      <c r="F41" s="12"/>
      <c r="G41" s="12"/>
      <c r="H41" s="12"/>
      <c r="I41" s="12"/>
      <c r="J41" s="12"/>
      <c r="K41" s="12"/>
      <c r="L41" s="12"/>
      <c r="M41" s="12"/>
      <c r="N41" s="12"/>
      <c r="O41" s="12"/>
      <c r="U41" s="12"/>
    </row>
    <row r="42" spans="1:21" s="1" customFormat="1" x14ac:dyDescent="0.2">
      <c r="B42" s="332" t="str">
        <f>PO!$K$51</f>
        <v>Vista Alegre do Prata/RS</v>
      </c>
      <c r="C42" s="332"/>
      <c r="D42" s="4"/>
      <c r="E42" s="12"/>
      <c r="F42" s="12"/>
      <c r="G42" s="12"/>
      <c r="H42" s="12"/>
      <c r="I42" s="12"/>
      <c r="J42" s="12"/>
      <c r="K42" s="12"/>
      <c r="L42" s="12"/>
      <c r="M42" s="12"/>
      <c r="N42" s="12"/>
      <c r="O42" s="12"/>
      <c r="U42" s="12"/>
    </row>
    <row r="43" spans="1:21" s="1" customFormat="1" x14ac:dyDescent="0.2">
      <c r="B43" s="98" t="s">
        <v>120</v>
      </c>
      <c r="C43" s="10"/>
      <c r="D43" s="4"/>
      <c r="E43" s="12"/>
      <c r="F43" s="12"/>
      <c r="G43" s="12"/>
      <c r="H43" s="12"/>
      <c r="I43" s="12"/>
      <c r="J43" s="12"/>
      <c r="K43" s="12"/>
      <c r="L43" s="12"/>
      <c r="M43" s="12"/>
      <c r="N43" s="12"/>
      <c r="O43" s="12"/>
      <c r="U43" s="12"/>
    </row>
    <row r="44" spans="1:21" s="1" customFormat="1" x14ac:dyDescent="0.2">
      <c r="B44" s="10"/>
      <c r="C44" s="10"/>
      <c r="D44" s="4"/>
      <c r="E44" s="12"/>
      <c r="F44" s="12"/>
      <c r="G44" s="12"/>
      <c r="H44" s="12"/>
      <c r="I44" s="12"/>
      <c r="J44" s="12"/>
      <c r="K44" s="12"/>
      <c r="L44" s="12"/>
      <c r="M44" s="12"/>
      <c r="N44" s="12"/>
      <c r="O44" s="12"/>
      <c r="U44" s="12"/>
    </row>
    <row r="45" spans="1:21" s="1" customFormat="1" x14ac:dyDescent="0.2">
      <c r="B45" s="333">
        <f ca="1">PO!$K$54</f>
        <v>46199</v>
      </c>
      <c r="C45" s="333"/>
      <c r="D45" s="4"/>
      <c r="E45" s="12"/>
      <c r="F45" s="12"/>
      <c r="G45" s="12"/>
      <c r="H45" s="12"/>
      <c r="I45" s="12"/>
      <c r="J45" s="12"/>
      <c r="K45" s="12"/>
      <c r="L45" s="12"/>
      <c r="M45" s="12"/>
      <c r="N45" s="12"/>
      <c r="O45" s="12"/>
      <c r="U45" s="12"/>
    </row>
    <row r="46" spans="1:21" s="1" customFormat="1" x14ac:dyDescent="0.2">
      <c r="B46" s="120" t="s">
        <v>121</v>
      </c>
      <c r="C46" s="121"/>
      <c r="D46" s="4"/>
      <c r="E46" s="12"/>
      <c r="F46" s="12"/>
      <c r="G46" s="12"/>
      <c r="H46" s="12"/>
      <c r="I46" s="12"/>
      <c r="J46" s="12"/>
      <c r="K46" s="12"/>
      <c r="L46" s="12"/>
      <c r="M46" s="12"/>
      <c r="N46" s="12"/>
      <c r="O46" s="12"/>
      <c r="U46" s="12"/>
    </row>
  </sheetData>
  <sheetProtection algorithmName="SHA-512" hashValue="ZdYS8FPBDovKjkUbgNPPEfDm3Ns4JUiqY6t1oHHkpZznRMS7SM7+eO/IeH0YM/vsvtNEv6IZakgrbbplcS4jKQ==" saltValue="zKeOQnCeUQrzzgxkLHo8Cg==" spinCount="100000" sheet="1" objects="1" scenarios="1"/>
  <mergeCells count="2">
    <mergeCell ref="B42:C42"/>
    <mergeCell ref="B45:C45"/>
  </mergeCells>
  <phoneticPr fontId="25" type="noConversion"/>
  <conditionalFormatting sqref="D11:E11 D30:E39 D13:E23">
    <cfRule type="expression" dxfId="135" priority="1171" stopIfTrue="1">
      <formula>$A11="Meta"</formula>
    </cfRule>
    <cfRule type="expression" dxfId="134" priority="1172" stopIfTrue="1">
      <formula>$A11&lt;&gt;"Serviço"</formula>
    </cfRule>
  </conditionalFormatting>
  <conditionalFormatting sqref="C11 C26:C39 C13:C23">
    <cfRule type="expression" dxfId="133" priority="1173" stopIfTrue="1">
      <formula>$A11="Meta"</formula>
    </cfRule>
    <cfRule type="expression" dxfId="132" priority="1174" stopIfTrue="1">
      <formula>$A11&lt;&gt;"Serviço"</formula>
    </cfRule>
  </conditionalFormatting>
  <conditionalFormatting sqref="A11:B11 A30:B39 A13:B23">
    <cfRule type="expression" dxfId="131" priority="1175" stopIfTrue="1">
      <formula>$A11="Meta"</formula>
    </cfRule>
    <cfRule type="expression" dxfId="130" priority="1176" stopIfTrue="1">
      <formula>LEFT($A11,5)="Nível"</formula>
    </cfRule>
    <cfRule type="expression" dxfId="129" priority="1177" stopIfTrue="1">
      <formula>$A11=0</formula>
    </cfRule>
  </conditionalFormatting>
  <conditionalFormatting sqref="U11 U13:U39 F13:O39">
    <cfRule type="expression" dxfId="128" priority="1187" stopIfTrue="1">
      <formula>$A11="Meta"</formula>
    </cfRule>
    <cfRule type="expression" dxfId="127" priority="1188" stopIfTrue="1">
      <formula>OR(F$9=0,$A11&lt;&gt;"Serviço")</formula>
    </cfRule>
    <cfRule type="expression" dxfId="126" priority="1189" stopIfTrue="1">
      <formula>TipoOrçamento="Licitado"</formula>
    </cfRule>
  </conditionalFormatting>
  <conditionalFormatting sqref="U9">
    <cfRule type="expression" dxfId="125" priority="609" stopIfTrue="1">
      <formula>AND(T9=0,U9=0)</formula>
    </cfRule>
    <cfRule type="expression" dxfId="124" priority="610" stopIfTrue="1">
      <formula>TipoOrçamento="Licitado"</formula>
    </cfRule>
  </conditionalFormatting>
  <conditionalFormatting sqref="F11:O11">
    <cfRule type="expression" dxfId="123" priority="569" stopIfTrue="1">
      <formula>$A11="Meta"</formula>
    </cfRule>
    <cfRule type="expression" dxfId="122" priority="570" stopIfTrue="1">
      <formula>OR(F$9=0,$A11&lt;&gt;"Serviço")</formula>
    </cfRule>
    <cfRule type="expression" dxfId="121" priority="571" stopIfTrue="1">
      <formula>TipoOrçamento="Licitado"</formula>
    </cfRule>
  </conditionalFormatting>
  <conditionalFormatting sqref="F9:O9">
    <cfRule type="expression" dxfId="120" priority="567" stopIfTrue="1">
      <formula>AND(E9=0,F9=0)</formula>
    </cfRule>
    <cfRule type="expression" dxfId="119" priority="568" stopIfTrue="1">
      <formula>TipoOrçamento="Licitado"</formula>
    </cfRule>
  </conditionalFormatting>
  <conditionalFormatting sqref="D24:E25">
    <cfRule type="expression" dxfId="118" priority="49" stopIfTrue="1">
      <formula>$A24="Meta"</formula>
    </cfRule>
    <cfRule type="expression" dxfId="117" priority="50" stopIfTrue="1">
      <formula>$A24&lt;&gt;"Serviço"</formula>
    </cfRule>
  </conditionalFormatting>
  <conditionalFormatting sqref="C24:C25">
    <cfRule type="expression" dxfId="116" priority="51" stopIfTrue="1">
      <formula>$A24="Meta"</formula>
    </cfRule>
    <cfRule type="expression" dxfId="115" priority="52" stopIfTrue="1">
      <formula>$A24&lt;&gt;"Serviço"</formula>
    </cfRule>
  </conditionalFormatting>
  <conditionalFormatting sqref="A24:B25">
    <cfRule type="expression" dxfId="114" priority="53" stopIfTrue="1">
      <formula>$A24="Meta"</formula>
    </cfRule>
    <cfRule type="expression" dxfId="113" priority="54" stopIfTrue="1">
      <formula>LEFT($A24,5)="Nível"</formula>
    </cfRule>
    <cfRule type="expression" dxfId="112" priority="55" stopIfTrue="1">
      <formula>$A24=0</formula>
    </cfRule>
  </conditionalFormatting>
  <conditionalFormatting sqref="D26:E26 D28:E29">
    <cfRule type="expression" dxfId="111" priority="12" stopIfTrue="1">
      <formula>$A26="Meta"</formula>
    </cfRule>
    <cfRule type="expression" dxfId="110" priority="13" stopIfTrue="1">
      <formula>$A26&lt;&gt;"Serviço"</formula>
    </cfRule>
  </conditionalFormatting>
  <conditionalFormatting sqref="A26:B26 A28:B29">
    <cfRule type="expression" dxfId="109" priority="14" stopIfTrue="1">
      <formula>$A26="Meta"</formula>
    </cfRule>
    <cfRule type="expression" dxfId="108" priority="15" stopIfTrue="1">
      <formula>LEFT($A26,5)="Nível"</formula>
    </cfRule>
    <cfRule type="expression" dxfId="107" priority="16" stopIfTrue="1">
      <formula>$A26=0</formula>
    </cfRule>
  </conditionalFormatting>
  <conditionalFormatting sqref="D27:E27">
    <cfRule type="expression" dxfId="106" priority="4" stopIfTrue="1">
      <formula>$A27="Meta"</formula>
    </cfRule>
    <cfRule type="expression" dxfId="105" priority="5" stopIfTrue="1">
      <formula>$A27&lt;&gt;"Serviço"</formula>
    </cfRule>
  </conditionalFormatting>
  <conditionalFormatting sqref="A27:B27">
    <cfRule type="expression" dxfId="104" priority="6" stopIfTrue="1">
      <formula>$A27="Meta"</formula>
    </cfRule>
    <cfRule type="expression" dxfId="103" priority="7" stopIfTrue="1">
      <formula>LEFT($A27,5)="Nível"</formula>
    </cfRule>
    <cfRule type="expression" dxfId="102" priority="8" stopIfTrue="1">
      <formula>$A27=0</formula>
    </cfRule>
  </conditionalFormatting>
  <dataValidations count="1">
    <dataValidation type="decimal" operator="greaterThanOrEqual" allowBlank="1" showInputMessage="1" showErrorMessage="1" error="Digite apenas números._x000a__x000a_preferencialmente com 02 casas de precisão." sqref="U11 F11:O11 F14:O39 U14:U39" xr:uid="{00000000-0002-0000-0300-00000000000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45 B42"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tabColor rgb="FFFFFF00"/>
    <outlinePr summaryBelow="0"/>
  </sheetPr>
  <dimension ref="A1:AC46"/>
  <sheetViews>
    <sheetView showGridLines="0" view="pageBreakPreview" topLeftCell="L6" zoomScale="70" zoomScaleNormal="70" zoomScaleSheetLayoutView="70" workbookViewId="0">
      <selection activeCell="R33" sqref="R33"/>
    </sheetView>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7109375" style="33" customWidth="1"/>
    <col min="14" max="14" width="16.28515625" style="37" customWidth="1"/>
    <col min="15" max="15" width="16.710937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8"/>
      <c r="F1" s="148"/>
      <c r="G1" s="148"/>
      <c r="H1" s="148"/>
      <c r="I1" s="148"/>
      <c r="J1" s="148"/>
      <c r="K1" s="148"/>
      <c r="L1"/>
      <c r="M1"/>
      <c r="N1"/>
      <c r="O1" s="149" t="s">
        <v>22</v>
      </c>
      <c r="P1" s="84" t="s">
        <v>115</v>
      </c>
      <c r="Q1" s="150"/>
      <c r="R1"/>
      <c r="S1"/>
      <c r="T1"/>
      <c r="U1"/>
      <c r="V1"/>
      <c r="W1"/>
      <c r="X1"/>
      <c r="AC1"/>
    </row>
    <row r="2" spans="1:29" s="32" customFormat="1" ht="12.75" customHeight="1" x14ac:dyDescent="0.2">
      <c r="A2"/>
      <c r="B2"/>
      <c r="C2"/>
      <c r="D2"/>
      <c r="E2"/>
      <c r="F2"/>
      <c r="G2"/>
      <c r="H2"/>
      <c r="I2"/>
      <c r="J2"/>
      <c r="K2"/>
      <c r="L2"/>
      <c r="M2"/>
      <c r="N2"/>
      <c r="O2" s="149"/>
      <c r="P2" s="87" t="str">
        <f>CHOOSE(1+LOG(1+2*(TipoOrçamento="BASE")+4*(TipoOrçamento="LICITADO")+8*(TipoOrçamento="REPROGRAMADOAC")+16*(TipoOrçamento="REPROGRAMADONPL"),2),"nada","Cronograma Base para Licitação","Cronograma Licitado","Cronograma Licitado Reprogramado","Cronograma Base para Licitação - Reprogramado")</f>
        <v>Cronograma Base para Licitação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5.15" customHeight="1" x14ac:dyDescent="0.2">
      <c r="A4"/>
      <c r="B4"/>
      <c r="C4"/>
      <c r="D4"/>
      <c r="E4"/>
      <c r="F4"/>
      <c r="G4"/>
      <c r="H4"/>
      <c r="I4"/>
      <c r="J4"/>
      <c r="K4"/>
      <c r="L4"/>
      <c r="M4"/>
      <c r="N4"/>
      <c r="O4"/>
      <c r="P4"/>
      <c r="Q4"/>
      <c r="R4"/>
      <c r="S4"/>
      <c r="T4"/>
      <c r="U4"/>
      <c r="V4"/>
      <c r="W4"/>
      <c r="X4"/>
      <c r="AC4"/>
    </row>
    <row r="5" spans="1:29" s="32" customFormat="1" ht="25.15" customHeight="1" x14ac:dyDescent="0.2">
      <c r="A5"/>
      <c r="B5"/>
      <c r="C5"/>
      <c r="D5"/>
      <c r="E5"/>
      <c r="F5"/>
      <c r="G5"/>
      <c r="H5"/>
      <c r="I5"/>
      <c r="J5"/>
      <c r="K5"/>
      <c r="L5"/>
      <c r="M5"/>
      <c r="N5"/>
      <c r="O5"/>
      <c r="P5"/>
      <c r="Q5"/>
      <c r="R5"/>
      <c r="S5"/>
      <c r="T5"/>
      <c r="U5"/>
      <c r="V5"/>
      <c r="W5"/>
      <c r="X5"/>
      <c r="AC5"/>
    </row>
    <row r="6" spans="1:29" s="32" customFormat="1" ht="25.1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2" customHeight="1" x14ac:dyDescent="0.2">
      <c r="A8" s="151" t="s">
        <v>176</v>
      </c>
      <c r="B8"/>
      <c r="C8"/>
      <c r="D8"/>
      <c r="E8"/>
      <c r="F8"/>
      <c r="G8"/>
      <c r="H8"/>
      <c r="I8"/>
      <c r="J8"/>
      <c r="K8"/>
      <c r="L8" s="350" t="str">
        <f ca="1">IF(MAX($A$14:$A$37)&lt;&gt;MAX(PO!$V$12:$V$40),"ERRO: CRONOGRAMA DESATUALIZADO",IF(OR(COUNTIF($O$16:$X$16,"&gt;1")&gt;0,OFFSET($X$17,0,-1)&lt;&gt;$N$14),"ERRO: CRONOGRAMA NÃO FECHA EM 100%",""))</f>
        <v/>
      </c>
      <c r="M8" s="350"/>
      <c r="N8" s="136" t="str">
        <f>IF(TipoOrçamento="REPROGRAMADOAC","Qtde de Medições realizadas","")</f>
        <v/>
      </c>
      <c r="O8" s="152"/>
      <c r="P8"/>
      <c r="Q8"/>
      <c r="R8"/>
      <c r="S8"/>
      <c r="T8"/>
      <c r="U8"/>
      <c r="V8"/>
      <c r="W8"/>
      <c r="X8"/>
      <c r="AC8"/>
    </row>
    <row r="9" spans="1:29" s="32" customFormat="1" ht="14.1" customHeight="1" x14ac:dyDescent="0.2">
      <c r="A9" s="142">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2" customHeight="1" x14ac:dyDescent="0.2">
      <c r="A10" s="153" t="s">
        <v>161</v>
      </c>
      <c r="B10" s="153" t="s">
        <v>129</v>
      </c>
      <c r="C10" s="153" t="s">
        <v>3</v>
      </c>
      <c r="D10" s="153" t="s">
        <v>123</v>
      </c>
      <c r="E10" s="153" t="s">
        <v>109</v>
      </c>
      <c r="F10" s="153" t="s">
        <v>110</v>
      </c>
      <c r="G10" s="153" t="s">
        <v>127</v>
      </c>
      <c r="H10" s="153" t="s">
        <v>128</v>
      </c>
      <c r="I10" s="153" t="s">
        <v>124</v>
      </c>
      <c r="J10" s="153" t="s">
        <v>125</v>
      </c>
      <c r="K10" s="153" t="s">
        <v>178</v>
      </c>
      <c r="L10" s="154" t="s">
        <v>147</v>
      </c>
      <c r="M10" s="155" t="s">
        <v>160</v>
      </c>
      <c r="N10" s="156" t="s">
        <v>139</v>
      </c>
      <c r="O10" s="186" t="str">
        <f>IF(TipoOrçamento="REPROGRAMADOAC","Reinício de Obra","Início de Obra")&amp;CHAR(10)&amp;TEXT(DADOS!A48,"dd/mm/aa")</f>
        <v>Início de Obra
10/02/26</v>
      </c>
      <c r="P10" s="187" t="str">
        <f ca="1">IF(AND(TipoOrçamento="REPROGRAMADOAC",$N$9&gt;0,N10="Valores Totais (R$)"),"Parcela "&amp;$N$9&amp;" Executado","Parcela "&amp;P$9&amp;CHAR(10)&amp;TEXT(DATE(YEAR(DADOS!$A$48),MONTH(DADOS!$A$48)+P$9-IF(AND(TipoOrçamento="REPROGRAMADOAC",$N$9&gt;0),$N$9,0),1),"mmm/aa"))</f>
        <v>Parcela 1
mar/26</v>
      </c>
      <c r="Q10" s="178" t="str">
        <f ca="1">IF(AND(TipoOrçamento="REPROGRAMADOAC",$N$9&gt;0,O10="Valores Totais (R$)"),"Parcela "&amp;$N$9&amp;" Executado","Parcela "&amp;Q$9&amp;CHAR(10)&amp;TEXT(DATE(YEAR(DADOS!$A$48),MONTH(DADOS!$A$48)+Q$9-IF(AND(TipoOrçamento="REPROGRAMADOAC",$N$9&gt;0),$N$9,0),1),"mmm/aa"))</f>
        <v>Parcela 2
abr/26</v>
      </c>
      <c r="R10" s="178" t="str">
        <f ca="1">IF(AND(TipoOrçamento="REPROGRAMADOAC",$N$9&gt;0,P10="Valores Totais (R$)"),"Parcela "&amp;$N$9&amp;" Executado","Parcela "&amp;R$9&amp;CHAR(10)&amp;TEXT(DATE(YEAR(DADOS!$A$48),MONTH(DADOS!$A$48)+R$9-IF(AND(TipoOrçamento="REPROGRAMADOAC",$N$9&gt;0),$N$9,0),1),"mmm/aa"))</f>
        <v>Parcela 3
mai/26</v>
      </c>
      <c r="S10" s="178" t="str">
        <f ca="1">IF(AND(TipoOrçamento="REPROGRAMADOAC",$N$9&gt;0,Q10="Valores Totais (R$)"),"Parcela "&amp;$N$9&amp;" Executado","Parcela "&amp;S$9&amp;CHAR(10)&amp;TEXT(DATE(YEAR(DADOS!$A$48),MONTH(DADOS!$A$48)+S$9-IF(AND(TipoOrçamento="REPROGRAMADOAC",$N$9&gt;0),$N$9,0),1),"mmm/aa"))</f>
        <v>Parcela 4
jun/26</v>
      </c>
      <c r="T10" s="178" t="str">
        <f ca="1">IF(AND(TipoOrçamento="REPROGRAMADOAC",$N$9&gt;0,R10="Valores Totais (R$)"),"Parcela "&amp;$N$9&amp;" Executado","Parcela "&amp;T$9&amp;CHAR(10)&amp;TEXT(DATE(YEAR(DADOS!$A$48),MONTH(DADOS!$A$48)+T$9-IF(AND(TipoOrçamento="REPROGRAMADOAC",$N$9&gt;0),$N$9,0),1),"mmm/aa"))</f>
        <v>Parcela 5
jul/26</v>
      </c>
      <c r="U10" s="178" t="str">
        <f ca="1">IF(AND(TipoOrçamento="REPROGRAMADOAC",$N$9&gt;0,S10="Valores Totais (R$)"),"Parcela "&amp;$N$9&amp;" Executado","Parcela "&amp;U$9&amp;CHAR(10)&amp;TEXT(DATE(YEAR(DADOS!$A$48),MONTH(DADOS!$A$48)+U$9-IF(AND(TipoOrçamento="REPROGRAMADOAC",$N$9&gt;0),$N$9,0),1),"mmm/aa"))</f>
        <v>Parcela 6
ago/26</v>
      </c>
      <c r="V10" s="178" t="str">
        <f ca="1">IF(AND(TipoOrçamento="REPROGRAMADOAC",$N$9&gt;0,T10="Valores Totais (R$)"),"Parcela "&amp;$N$9&amp;" Executado","Parcela "&amp;V$9&amp;CHAR(10)&amp;TEXT(DATE(YEAR(DADOS!$A$48),MONTH(DADOS!$A$48)+V$9-IF(AND(TipoOrçamento="REPROGRAMADOAC",$N$9&gt;0),$N$9,0),1),"mmm/aa"))</f>
        <v>Parcela 7
set/26</v>
      </c>
      <c r="W10" s="190" t="str">
        <f ca="1">IF(AND(TipoOrçamento="REPROGRAMADOAC",$N$9&gt;0,U10="Valores Totais (R$)"),"Parcela "&amp;$N$9&amp;" Executado","Parcela "&amp;W$9&amp;CHAR(10)&amp;TEXT(DATE(YEAR(DADOS!$A$48),MONTH(DADOS!$A$48)+W$9-IF(AND(TipoOrçamento="REPROGRAMADOAC",$N$9&gt;0),$N$9,0),1),"mmm/aa"))</f>
        <v>Parcela 8
out/26</v>
      </c>
      <c r="X10" s="163"/>
      <c r="AC10" s="178" t="str">
        <f ca="1">IF(AND(TipoOrçamento="REPROGRAMADOAC",$N$9&gt;0,AA10="Valores Totais (R$)"),"Parcela "&amp;$N$9&amp;" Executado","Parcela "&amp;AC$9&amp;CHAR(10)&amp;TEXT(DATE(YEAR(DADOS!$A$48),MONTH(DADOS!$A$48)+AC$9-IF(AND(TipoOrçamento="REPROGRAMADOAC",$N$9&gt;0),$N$9,0),1),"mmm/aa"))</f>
        <v>Parcela 1
mar/26</v>
      </c>
    </row>
    <row r="11" spans="1:29" customFormat="1" ht="14.25" hidden="1" customHeight="1" x14ac:dyDescent="0.2">
      <c r="A11" s="1"/>
      <c r="B11" s="1"/>
      <c r="C11" s="1"/>
      <c r="D11" s="1"/>
      <c r="E11" s="1"/>
      <c r="F11" s="1"/>
      <c r="G11" s="1"/>
      <c r="H11" s="1"/>
      <c r="I11" s="1"/>
      <c r="J11" s="1"/>
      <c r="K11" s="1"/>
      <c r="L11" s="335" t="e">
        <f ca="1">INDEX(PO!K$12:K$40,MATCH($A13,PO!$V$12:$V$40,0))</f>
        <v>#VALUE!</v>
      </c>
      <c r="M11" s="337" t="e">
        <f ca="1">INDEX(PO!N$12:N$40,MATCH($A13,PO!$V$12:$V$40,0))</f>
        <v>#VALUE!</v>
      </c>
      <c r="N11" s="348" t="e">
        <f ca="1">IF(ROUND(K13,2)=0,K13,ROUND(K13,2))</f>
        <v>#VALUE!</v>
      </c>
      <c r="O11" s="188" t="s">
        <v>143</v>
      </c>
      <c r="P11" s="193" t="e">
        <f ca="1">IF($B13,0,P12-IF(ISNUMBER(O12),O12,0))</f>
        <v>#VALUE!</v>
      </c>
      <c r="Q11" s="194" t="e">
        <f t="shared" ref="Q11:W11" ca="1" si="1">IF($B13,0,Q12-IF(ISNUMBER(P12),P12,0))</f>
        <v>#VALUE!</v>
      </c>
      <c r="R11" s="194" t="e">
        <f t="shared" ca="1" si="1"/>
        <v>#VALUE!</v>
      </c>
      <c r="S11" s="194" t="e">
        <f t="shared" ca="1" si="1"/>
        <v>#VALUE!</v>
      </c>
      <c r="T11" s="194" t="e">
        <f t="shared" ca="1" si="1"/>
        <v>#VALUE!</v>
      </c>
      <c r="U11" s="194" t="e">
        <f t="shared" ca="1" si="1"/>
        <v>#VALUE!</v>
      </c>
      <c r="V11" s="194" t="e">
        <f t="shared" ca="1" si="1"/>
        <v>#VALUE!</v>
      </c>
      <c r="W11" s="195" t="e">
        <f t="shared" ca="1" si="1"/>
        <v>#VALUE!</v>
      </c>
      <c r="X11" s="164"/>
      <c r="AC11" s="189" t="e">
        <f ca="1">IF($B13,0,AC12-IF(ISNUMBER(AB12),AB12,0))</f>
        <v>#VALUE!</v>
      </c>
    </row>
    <row r="12" spans="1:29" customFormat="1" ht="14.25" hidden="1" x14ac:dyDescent="0.2">
      <c r="A12" s="11"/>
      <c r="B12" s="11"/>
      <c r="C12" s="11"/>
      <c r="D12" s="11"/>
      <c r="E12" s="11"/>
      <c r="F12" s="11"/>
      <c r="G12" s="11"/>
      <c r="H12" s="11"/>
      <c r="I12" s="11"/>
      <c r="J12" s="11"/>
      <c r="K12" s="11"/>
      <c r="L12" s="336"/>
      <c r="M12" s="338"/>
      <c r="N12" s="349"/>
      <c r="O12" s="146" t="s">
        <v>145</v>
      </c>
      <c r="P12" s="166" t="e">
        <f ca="1">MIN(IF($B13,P11+IF(ISNUMBER(O12),O12,0),P13/$N11),1)</f>
        <v>#VALUE!</v>
      </c>
      <c r="Q12" s="144" t="e">
        <f t="shared" ref="Q12:W12" ca="1" si="2">MIN(IF($B13,Q11+IF(ISNUMBER(P12),P12,0),Q13/$N11),1)</f>
        <v>#VALUE!</v>
      </c>
      <c r="R12" s="144" t="e">
        <f t="shared" ca="1" si="2"/>
        <v>#VALUE!</v>
      </c>
      <c r="S12" s="144" t="e">
        <f t="shared" ca="1" si="2"/>
        <v>#VALUE!</v>
      </c>
      <c r="T12" s="144" t="e">
        <f t="shared" ca="1" si="2"/>
        <v>#VALUE!</v>
      </c>
      <c r="U12" s="144" t="e">
        <f t="shared" ca="1" si="2"/>
        <v>#VALUE!</v>
      </c>
      <c r="V12" s="144" t="e">
        <f t="shared" ca="1" si="2"/>
        <v>#VALUE!</v>
      </c>
      <c r="W12" s="144" t="e">
        <f t="shared" ca="1" si="2"/>
        <v>#VALUE!</v>
      </c>
      <c r="X12" s="164"/>
      <c r="AC12" s="144" t="e">
        <f ca="1">MIN(IF($B13,AC11+IF(ISNUMBER(AB12),AB12,0),AC13/$N11),1)</f>
        <v>#VALUE!</v>
      </c>
    </row>
    <row r="13" spans="1:29" customFormat="1" ht="14.25" hidden="1" x14ac:dyDescent="0.2">
      <c r="A13" s="11" t="e">
        <f ca="1">OFFSET(A13,-CFF.NumLinha,0)+1</f>
        <v>#VALUE!</v>
      </c>
      <c r="B13" s="11" t="e">
        <f ca="1">$C13&gt;=OFFSET($C13,CFF.NumLinha,0)</f>
        <v>#VALUE!</v>
      </c>
      <c r="C13" s="11" t="e">
        <f ca="1">INDEX(PO!A$12:A$40,MATCH($A13,PO!$V$12:$V$40,0))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MATCH(0,OFFSET($D13,1,$C13,ROW($A$36)-ROW($A13)),0)</f>
        <v>#VALUE!</v>
      </c>
      <c r="J13" s="11" t="e">
        <f ca="1">MATCH(OFFSET($D13,0,$C13)+1,OFFSET($D13,1,$C13,ROW($A$36)-ROW($A13)),0)</f>
        <v>#VALUE!</v>
      </c>
      <c r="K13" s="157" t="e">
        <f ca="1">ROUND(INDEX(PO!T$12:T$40,MATCH($A13,PO!$V$12:$V$40,0)),2)+10^-12</f>
        <v>#VALUE!</v>
      </c>
      <c r="L13" s="336"/>
      <c r="M13" s="338"/>
      <c r="N13" s="349"/>
      <c r="O13" s="172" t="s">
        <v>20</v>
      </c>
      <c r="P13" s="167" t="e">
        <f ca="1">IF($B13,ROUND(P12*$N11,2),ROUND(SUMIF(OFFSET($B13,1,0,$D13),TRUE,OFFSET(P13,1,0,$D13))/SUMIF(OFFSET($B13,1,0,$D13),TRUE,OFFSET($K13,1,0,$D13))*$N11,2))</f>
        <v>#VALUE!</v>
      </c>
      <c r="Q13" s="145" t="e">
        <f t="shared" ref="Q13:W13" ca="1" si="3">IF($B13,ROUND(Q12*$N11,2),ROUND(SUMIF(OFFSET($B13,1,0,$D13),TRUE,OFFSET(Q13,1,0,$D13))/SUMIF(OFFSET($B13,1,0,$D13),TRUE,OFFSET($K13,1,0,$D13))*$N11,2))</f>
        <v>#VALUE!</v>
      </c>
      <c r="R13" s="145" t="e">
        <f t="shared" ca="1" si="3"/>
        <v>#VALUE!</v>
      </c>
      <c r="S13" s="145" t="e">
        <f t="shared" ca="1" si="3"/>
        <v>#VALUE!</v>
      </c>
      <c r="T13" s="145" t="e">
        <f t="shared" ca="1" si="3"/>
        <v>#VALUE!</v>
      </c>
      <c r="U13" s="145" t="e">
        <f t="shared" ca="1" si="3"/>
        <v>#VALUE!</v>
      </c>
      <c r="V13" s="145" t="e">
        <f t="shared" ca="1" si="3"/>
        <v>#VALUE!</v>
      </c>
      <c r="W13" s="175" t="e">
        <f t="shared" ca="1" si="3"/>
        <v>#VALUE!</v>
      </c>
      <c r="X13" s="164"/>
      <c r="AC13" s="145"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39" t="s">
        <v>19</v>
      </c>
      <c r="M14" s="340"/>
      <c r="N14" s="345">
        <f ca="1">IF(PO!$T$12=0,10^-12,PO!$T$12)</f>
        <v>1056367.8599999999</v>
      </c>
      <c r="O14" s="143" t="s">
        <v>143</v>
      </c>
      <c r="P14" s="173">
        <f ca="1">ROUND(P15/$N14,4)</f>
        <v>3.5700000000000003E-2</v>
      </c>
      <c r="Q14" s="174">
        <f t="shared" ref="Q14:W14" ca="1" si="4">ROUND(Q15/$N14,4)</f>
        <v>0.45519999999999999</v>
      </c>
      <c r="R14" s="174">
        <f t="shared" ca="1" si="4"/>
        <v>0.5091</v>
      </c>
      <c r="S14" s="174">
        <f t="shared" ca="1" si="4"/>
        <v>0</v>
      </c>
      <c r="T14" s="174">
        <f t="shared" ca="1" si="4"/>
        <v>0</v>
      </c>
      <c r="U14" s="174">
        <f t="shared" ca="1" si="4"/>
        <v>0</v>
      </c>
      <c r="V14" s="174">
        <f t="shared" ca="1" si="4"/>
        <v>0</v>
      </c>
      <c r="W14" s="174">
        <f t="shared" ca="1" si="4"/>
        <v>0</v>
      </c>
      <c r="X14" s="147"/>
      <c r="AC14" s="174">
        <f ca="1">ROUND(AC15/$N14,4)</f>
        <v>0</v>
      </c>
    </row>
    <row r="15" spans="1:29" s="35" customFormat="1" ht="12.75" customHeight="1" x14ac:dyDescent="0.2">
      <c r="A15"/>
      <c r="B15"/>
      <c r="C15"/>
      <c r="D15"/>
      <c r="E15"/>
      <c r="F15"/>
      <c r="G15"/>
      <c r="H15"/>
      <c r="I15"/>
      <c r="J15"/>
      <c r="K15"/>
      <c r="L15" s="341"/>
      <c r="M15" s="342"/>
      <c r="N15" s="346"/>
      <c r="O15" s="132" t="s">
        <v>144</v>
      </c>
      <c r="P15" s="168">
        <f ca="1">P17-IF(ISNUMBER(O17),O17,0)</f>
        <v>37662.44</v>
      </c>
      <c r="Q15" s="127">
        <f t="shared" ref="Q15:W15" ca="1" si="5">Q17-IF(ISNUMBER(P17),P17,0)</f>
        <v>480858.29</v>
      </c>
      <c r="R15" s="127">
        <f t="shared" ca="1" si="5"/>
        <v>537847.13000000012</v>
      </c>
      <c r="S15" s="127">
        <f t="shared" ca="1" si="5"/>
        <v>0</v>
      </c>
      <c r="T15" s="127">
        <f t="shared" ca="1" si="5"/>
        <v>0</v>
      </c>
      <c r="U15" s="127">
        <f t="shared" ca="1" si="5"/>
        <v>0</v>
      </c>
      <c r="V15" s="127">
        <f t="shared" ca="1" si="5"/>
        <v>0</v>
      </c>
      <c r="W15" s="127">
        <f t="shared" ca="1" si="5"/>
        <v>0</v>
      </c>
      <c r="X15" s="147"/>
      <c r="AC15" s="127">
        <f ca="1">AC17-IF(ISNUMBER(AB17),AB17,0)</f>
        <v>0</v>
      </c>
    </row>
    <row r="16" spans="1:29" s="35" customFormat="1" ht="12.75" customHeight="1" x14ac:dyDescent="0.2">
      <c r="A16"/>
      <c r="B16"/>
      <c r="C16"/>
      <c r="D16"/>
      <c r="E16"/>
      <c r="F16"/>
      <c r="G16"/>
      <c r="H16"/>
      <c r="I16"/>
      <c r="J16"/>
      <c r="K16"/>
      <c r="L16" s="341"/>
      <c r="M16" s="342"/>
      <c r="N16" s="346"/>
      <c r="O16" s="133" t="s">
        <v>145</v>
      </c>
      <c r="P16" s="169">
        <f ca="1">ROUND(P17/$N14,4)</f>
        <v>3.5700000000000003E-2</v>
      </c>
      <c r="Q16" s="128">
        <f t="shared" ref="Q16:W16" ca="1" si="6">ROUND(Q17/$N14,4)</f>
        <v>0.4909</v>
      </c>
      <c r="R16" s="128">
        <f t="shared" ca="1" si="6"/>
        <v>1</v>
      </c>
      <c r="S16" s="128">
        <f t="shared" ca="1" si="6"/>
        <v>1</v>
      </c>
      <c r="T16" s="128">
        <f t="shared" ca="1" si="6"/>
        <v>1</v>
      </c>
      <c r="U16" s="128">
        <f t="shared" ca="1" si="6"/>
        <v>1</v>
      </c>
      <c r="V16" s="128">
        <f t="shared" ca="1" si="6"/>
        <v>1</v>
      </c>
      <c r="W16" s="128">
        <f t="shared" ca="1" si="6"/>
        <v>1</v>
      </c>
      <c r="X16" s="147"/>
      <c r="AC16" s="128">
        <f ca="1">ROUND(AC17/$N14,4)</f>
        <v>0</v>
      </c>
    </row>
    <row r="17" spans="1:29" s="35" customFormat="1" ht="12.75" customHeight="1" x14ac:dyDescent="0.2">
      <c r="A17" s="19">
        <v>0</v>
      </c>
      <c r="B17"/>
      <c r="C17"/>
      <c r="D17" s="19">
        <f>ROW(D$36)-ROW(D18)</f>
        <v>18</v>
      </c>
      <c r="E17"/>
      <c r="F17"/>
      <c r="G17"/>
      <c r="H17"/>
      <c r="I17"/>
      <c r="J17"/>
      <c r="K17"/>
      <c r="L17" s="343"/>
      <c r="M17" s="344"/>
      <c r="N17" s="347"/>
      <c r="O17" s="134" t="s">
        <v>20</v>
      </c>
      <c r="P17" s="170">
        <f ca="1">SUMIF(OFFSET($C17,1,0):$C$36,1,OFFSET(P17,1,0):P$36)</f>
        <v>37662.44</v>
      </c>
      <c r="Q17" s="129">
        <f ca="1">SUMIF(OFFSET($C17,1,0):$C$36,1,OFFSET(Q17,1,0):Q$36)</f>
        <v>518520.73</v>
      </c>
      <c r="R17" s="129">
        <f ca="1">SUMIF(OFFSET($C17,1,0):$C$36,1,OFFSET(R17,1,0):R$36)</f>
        <v>1056367.8600000001</v>
      </c>
      <c r="S17" s="129">
        <f ca="1">SUMIF(OFFSET($C17,1,0):$C$36,1,OFFSET(S17,1,0):S$36)</f>
        <v>1056367.8600000001</v>
      </c>
      <c r="T17" s="129">
        <f ca="1">SUMIF(OFFSET($C17,1,0):$C$36,1,OFFSET(T17,1,0):T$36)</f>
        <v>1056367.8600000001</v>
      </c>
      <c r="U17" s="129">
        <f ca="1">SUMIF(OFFSET($C17,1,0):$C$36,1,OFFSET(U17,1,0):U$36)</f>
        <v>1056367.8600000001</v>
      </c>
      <c r="V17" s="129">
        <f ca="1">SUMIF(OFFSET($C17,1,0):$C$36,1,OFFSET(V17,1,0):V$36)</f>
        <v>1056367.8600000001</v>
      </c>
      <c r="W17" s="129">
        <f ca="1">SUMIF(OFFSET($C17,1,0):$C$36,1,OFFSET(W17,1,0):W$36)</f>
        <v>1056367.8600000001</v>
      </c>
      <c r="X17" s="147"/>
      <c r="AC17" s="129">
        <f ca="1">SUMIF(OFFSET($C17,1,0):$C$36,1,OFFSET(AC17,1,0):AC$36)</f>
        <v>0</v>
      </c>
    </row>
    <row r="18" spans="1:29" customFormat="1" ht="14.25" customHeight="1" x14ac:dyDescent="0.2">
      <c r="L18" s="335" t="str">
        <f ca="1">INDEX(PO!K$12:K$40,MATCH($A20,PO!$V$12:$V$40,0))</f>
        <v>1.</v>
      </c>
      <c r="M18" s="337" t="str">
        <f ca="1">INDEX(PO!N$12:N$40,MATCH($A20,PO!$V$12:$V$40,0))</f>
        <v>Estrada entre comunidade Poméia e Comunidade Caravagio (trecho 02 estaca 0+300 a 2+009)</v>
      </c>
      <c r="N18" s="348">
        <f ca="1">IF(ROUND(K20,2)=0,K20,ROUND(K20,2))</f>
        <v>1056367.8600000001</v>
      </c>
      <c r="O18" s="171" t="s">
        <v>143</v>
      </c>
      <c r="P18" s="193">
        <v>1</v>
      </c>
      <c r="Q18" s="194"/>
      <c r="R18" s="194"/>
      <c r="S18" s="194"/>
      <c r="T18" s="194"/>
      <c r="U18" s="194"/>
      <c r="V18" s="194"/>
      <c r="W18" s="195"/>
      <c r="X18" s="165" t="s">
        <v>106</v>
      </c>
      <c r="AC18" s="189">
        <f ca="1">IF($B20,0,AC19-IF(ISNUMBER(AB19),AB19,0))</f>
        <v>0</v>
      </c>
    </row>
    <row r="19" spans="1:29" customFormat="1" ht="14.25" x14ac:dyDescent="0.2">
      <c r="L19" s="336"/>
      <c r="M19" s="338"/>
      <c r="N19" s="349"/>
      <c r="O19" s="146" t="s">
        <v>145</v>
      </c>
      <c r="P19" s="166">
        <f t="shared" ref="P19:W19" ca="1" si="7">MIN(IF($B20,P18+IF(ISNUMBER(O19),O19,0),P20/$N18),1)</f>
        <v>3.5652769670595622E-2</v>
      </c>
      <c r="Q19" s="144">
        <f t="shared" ca="1" si="7"/>
        <v>0.49085242900138965</v>
      </c>
      <c r="R19" s="144">
        <f t="shared" ca="1" si="7"/>
        <v>1</v>
      </c>
      <c r="S19" s="144">
        <f t="shared" ca="1" si="7"/>
        <v>1</v>
      </c>
      <c r="T19" s="144">
        <f t="shared" ca="1" si="7"/>
        <v>1</v>
      </c>
      <c r="U19" s="144">
        <f t="shared" ca="1" si="7"/>
        <v>1</v>
      </c>
      <c r="V19" s="144">
        <f t="shared" ca="1" si="7"/>
        <v>1</v>
      </c>
      <c r="W19" s="144">
        <f t="shared" ca="1" si="7"/>
        <v>1</v>
      </c>
      <c r="X19" s="164"/>
      <c r="AC19" s="144">
        <f ca="1">MIN(IF($B20,AC18+IF(ISNUMBER(AB19),AB19,0),AC20/$N18),1)</f>
        <v>0</v>
      </c>
    </row>
    <row r="20" spans="1:29" customFormat="1" ht="14.25" x14ac:dyDescent="0.2">
      <c r="A20" s="19">
        <f ca="1">OFFSET(A20,-CFF.NumLinha,0)+1</f>
        <v>1</v>
      </c>
      <c r="B20" t="b">
        <f ca="1">$C20&gt;=OFFSET($C20,CFF.NumLinha,0)</f>
        <v>0</v>
      </c>
      <c r="C20" s="11">
        <f ca="1">INDEX(PO!A$12:A$40,MATCH($A20,PO!$V$12:$V$40,0))</f>
        <v>1</v>
      </c>
      <c r="D20" s="11">
        <f ca="1">IF(ISERROR(J20),I20,SMALL(I20:J20,1))-1</f>
        <v>15</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MATCH(0,OFFSET($D20,1,$C20,ROW($A$36)-ROW($A20)),0)</f>
        <v>16</v>
      </c>
      <c r="J20" s="11" t="e">
        <f ca="1">MATCH(OFFSET($D20,0,$C20)+1,OFFSET($D20,1,$C20,ROW($A$36)-ROW($A20)),0)</f>
        <v>#N/A</v>
      </c>
      <c r="K20" s="157">
        <f ca="1">ROUND(INDEX(PO!T$12:T$40,MATCH($A20,PO!$V$12:$V$40,0)),2)+10^-12</f>
        <v>1056367.8600000001</v>
      </c>
      <c r="L20" s="336"/>
      <c r="M20" s="338"/>
      <c r="N20" s="349"/>
      <c r="O20" s="172" t="s">
        <v>20</v>
      </c>
      <c r="P20" s="167">
        <f t="shared" ref="P20:W20" ca="1" si="8">IF($B20,ROUND(P19*$N18,2),ROUND(SUMIF(OFFSET($B20,1,0,$D20),TRUE,OFFSET(P20,1,0,$D20))/SUMIF(OFFSET($B20,1,0,$D20),TRUE,OFFSET($K20,1,0,$D20))*$N18,2))</f>
        <v>37662.44</v>
      </c>
      <c r="Q20" s="145">
        <f t="shared" ca="1" si="8"/>
        <v>518520.73</v>
      </c>
      <c r="R20" s="145">
        <f t="shared" ca="1" si="8"/>
        <v>1056367.8600000001</v>
      </c>
      <c r="S20" s="145">
        <f t="shared" ca="1" si="8"/>
        <v>1056367.8600000001</v>
      </c>
      <c r="T20" s="145">
        <f t="shared" ca="1" si="8"/>
        <v>1056367.8600000001</v>
      </c>
      <c r="U20" s="145">
        <f t="shared" ca="1" si="8"/>
        <v>1056367.8600000001</v>
      </c>
      <c r="V20" s="145">
        <f t="shared" ca="1" si="8"/>
        <v>1056367.8600000001</v>
      </c>
      <c r="W20" s="175">
        <f t="shared" ca="1" si="8"/>
        <v>1056367.8600000001</v>
      </c>
      <c r="X20" s="164"/>
      <c r="AC20" s="145">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35" t="str">
        <f ca="1">INDEX(PO!K$12:K$40,MATCH($A23,PO!$V$12:$V$40,0))</f>
        <v>1.1.</v>
      </c>
      <c r="M21" s="337" t="str">
        <f ca="1">INDEX(PO!N$12:N$40,MATCH($A23,PO!$V$12:$V$40,0))</f>
        <v>SERVIÇOS PRELIMINARES</v>
      </c>
      <c r="N21" s="348">
        <f ca="1">IF(ROUND(K23,2)=0,K23,ROUND(K23,2))</f>
        <v>8716</v>
      </c>
      <c r="O21" s="188" t="s">
        <v>143</v>
      </c>
      <c r="P21" s="193">
        <v>1</v>
      </c>
      <c r="Q21" s="194"/>
      <c r="R21" s="194"/>
      <c r="S21" s="194"/>
      <c r="T21" s="194"/>
      <c r="U21" s="194">
        <f ca="1">IF($B23,0,U22-IF(ISNUMBER(T22),T22,0))</f>
        <v>0</v>
      </c>
      <c r="V21" s="194">
        <f ca="1">IF($B23,0,V22-IF(ISNUMBER(U22),U22,0))</f>
        <v>0</v>
      </c>
      <c r="W21" s="195">
        <f ca="1">IF($B23,0,W22-IF(ISNUMBER(V22),V22,0))</f>
        <v>0</v>
      </c>
      <c r="X21" s="164"/>
      <c r="AC21" s="189">
        <f ca="1">IF($B23,0,AC22-IF(ISNUMBER(AB22),AB22,0))</f>
        <v>0</v>
      </c>
    </row>
    <row r="22" spans="1:29" customFormat="1" ht="14.25" x14ac:dyDescent="0.2">
      <c r="A22" s="11"/>
      <c r="B22" s="11"/>
      <c r="C22" s="11"/>
      <c r="D22" s="11"/>
      <c r="E22" s="11"/>
      <c r="F22" s="11"/>
      <c r="G22" s="11"/>
      <c r="H22" s="11"/>
      <c r="I22" s="11"/>
      <c r="J22" s="11"/>
      <c r="K22" s="11"/>
      <c r="L22" s="336"/>
      <c r="M22" s="338"/>
      <c r="N22" s="349"/>
      <c r="O22" s="146" t="s">
        <v>145</v>
      </c>
      <c r="P22" s="166">
        <f t="shared" ref="P22:W22" ca="1" si="9">MIN(IF($B23,P21+IF(ISNUMBER(O22),O22,0),P23/$N21),1)</f>
        <v>1</v>
      </c>
      <c r="Q22" s="144">
        <f t="shared" ca="1" si="9"/>
        <v>1</v>
      </c>
      <c r="R22" s="144">
        <f t="shared" ca="1" si="9"/>
        <v>1</v>
      </c>
      <c r="S22" s="144">
        <f t="shared" ca="1" si="9"/>
        <v>1</v>
      </c>
      <c r="T22" s="144">
        <f t="shared" ca="1" si="9"/>
        <v>1</v>
      </c>
      <c r="U22" s="144">
        <f t="shared" ca="1" si="9"/>
        <v>1</v>
      </c>
      <c r="V22" s="144">
        <f t="shared" ca="1" si="9"/>
        <v>1</v>
      </c>
      <c r="W22" s="144">
        <f t="shared" ca="1" si="9"/>
        <v>1</v>
      </c>
      <c r="X22" s="164"/>
      <c r="AC22" s="144">
        <f ca="1">MIN(IF($B23,AC21+IF(ISNUMBER(AB22),AB22,0),AC23/$N21),1)</f>
        <v>0</v>
      </c>
    </row>
    <row r="23" spans="1:29" customFormat="1" ht="14.25" x14ac:dyDescent="0.2">
      <c r="A23" s="11">
        <f ca="1">OFFSET(A23,-CFF.NumLinha,0)+1</f>
        <v>2</v>
      </c>
      <c r="B23" s="11" t="b">
        <f ca="1">$C23&gt;=OFFSET($C23,CFF.NumLinha,0)</f>
        <v>1</v>
      </c>
      <c r="C23" s="11">
        <f ca="1">INDEX(PO!A$12:A$40,MATCH($A23,PO!$V$12:$V$40,0))</f>
        <v>2</v>
      </c>
      <c r="D23" s="11">
        <f ca="1">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ca="1">MATCH(0,OFFSET($D23,1,$C23,ROW($A$36)-ROW($A23)),0)</f>
        <v>13</v>
      </c>
      <c r="J23" s="11">
        <f ca="1">MATCH(OFFSET($D23,0,$C23)+1,OFFSET($D23,1,$C23,ROW($A$36)-ROW($A23)),0)</f>
        <v>3</v>
      </c>
      <c r="K23" s="157">
        <f ca="1">ROUND(INDEX(PO!T$12:T$40,MATCH($A23,PO!$V$12:$V$40,0)),2)+10^-12</f>
        <v>8716.0000000000018</v>
      </c>
      <c r="L23" s="336"/>
      <c r="M23" s="338"/>
      <c r="N23" s="349"/>
      <c r="O23" s="172" t="s">
        <v>20</v>
      </c>
      <c r="P23" s="167">
        <f t="shared" ref="P23:W23" ca="1" si="10">IF($B23,ROUND(P22*$N21,2),ROUND(SUMIF(OFFSET($B23,1,0,$D23),TRUE,OFFSET(P23,1,0,$D23))/SUMIF(OFFSET($B23,1,0,$D23),TRUE,OFFSET($K23,1,0,$D23))*$N21,2))</f>
        <v>8716</v>
      </c>
      <c r="Q23" s="145">
        <f t="shared" ca="1" si="10"/>
        <v>8716</v>
      </c>
      <c r="R23" s="145">
        <f t="shared" ca="1" si="10"/>
        <v>8716</v>
      </c>
      <c r="S23" s="145">
        <f t="shared" ca="1" si="10"/>
        <v>8716</v>
      </c>
      <c r="T23" s="145">
        <f t="shared" ca="1" si="10"/>
        <v>8716</v>
      </c>
      <c r="U23" s="145">
        <f t="shared" ca="1" si="10"/>
        <v>8716</v>
      </c>
      <c r="V23" s="145">
        <f t="shared" ca="1" si="10"/>
        <v>8716</v>
      </c>
      <c r="W23" s="175">
        <f t="shared" ca="1" si="10"/>
        <v>8716</v>
      </c>
      <c r="X23" s="164"/>
      <c r="AC23" s="145">
        <f ca="1">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35" t="str">
        <f ca="1">INDEX(PO!K$12:K$40,MATCH($A26,PO!$V$12:$V$40,0))</f>
        <v>1.2.</v>
      </c>
      <c r="M24" s="337" t="str">
        <f ca="1">INDEX(PO!N$12:N$40,MATCH($A26,PO!$V$12:$V$40,0))</f>
        <v>ADMINISTRAÇÃO LOCAL DE OBRA</v>
      </c>
      <c r="N24" s="348">
        <f ca="1">IF(ROUND(K26,2)=0,K26,ROUND(K26,2))</f>
        <v>55476.69</v>
      </c>
      <c r="O24" s="188" t="s">
        <v>143</v>
      </c>
      <c r="P24" s="193">
        <v>0.33</v>
      </c>
      <c r="Q24" s="194">
        <v>0.33</v>
      </c>
      <c r="R24" s="194">
        <v>0.34</v>
      </c>
      <c r="S24" s="194"/>
      <c r="T24" s="194">
        <v>8.0299999999999996E-2</v>
      </c>
      <c r="U24" s="194">
        <f ca="1">IF($B26,0,U25-IF(ISNUMBER(T25),T25,0))</f>
        <v>0</v>
      </c>
      <c r="V24" s="194">
        <f ca="1">IF($B26,0,V25-IF(ISNUMBER(U25),U25,0))</f>
        <v>0</v>
      </c>
      <c r="W24" s="195">
        <f ca="1">IF($B26,0,W25-IF(ISNUMBER(V25),V25,0))</f>
        <v>0</v>
      </c>
      <c r="X24" s="164"/>
      <c r="AC24" s="189">
        <f ca="1">IF($B26,0,AC25-IF(ISNUMBER(AB25),AB25,0))</f>
        <v>0</v>
      </c>
    </row>
    <row r="25" spans="1:29" customFormat="1" ht="14.25" x14ac:dyDescent="0.2">
      <c r="A25" s="11"/>
      <c r="B25" s="11"/>
      <c r="C25" s="11"/>
      <c r="D25" s="11"/>
      <c r="E25" s="11"/>
      <c r="F25" s="11"/>
      <c r="G25" s="11"/>
      <c r="H25" s="11"/>
      <c r="I25" s="11"/>
      <c r="J25" s="11"/>
      <c r="K25" s="11"/>
      <c r="L25" s="336"/>
      <c r="M25" s="338"/>
      <c r="N25" s="349"/>
      <c r="O25" s="146" t="s">
        <v>145</v>
      </c>
      <c r="P25" s="166">
        <f t="shared" ref="P25:W25" ca="1" si="11">MIN(IF($B26,P24+IF(ISNUMBER(O25),O25,0),P26/$N24),1)</f>
        <v>0.33</v>
      </c>
      <c r="Q25" s="144">
        <f t="shared" ca="1" si="11"/>
        <v>0.66</v>
      </c>
      <c r="R25" s="144">
        <f t="shared" ca="1" si="11"/>
        <v>1</v>
      </c>
      <c r="S25" s="144">
        <f t="shared" ca="1" si="11"/>
        <v>1</v>
      </c>
      <c r="T25" s="144">
        <f t="shared" ca="1" si="11"/>
        <v>1</v>
      </c>
      <c r="U25" s="144">
        <f t="shared" ca="1" si="11"/>
        <v>1</v>
      </c>
      <c r="V25" s="144">
        <f t="shared" ca="1" si="11"/>
        <v>1</v>
      </c>
      <c r="W25" s="144">
        <f t="shared" ca="1" si="11"/>
        <v>1</v>
      </c>
      <c r="X25" s="164"/>
      <c r="AC25" s="144">
        <f ca="1">MIN(IF($B26,AC24+IF(ISNUMBER(AB25),AB25,0),AC26/$N24),1)</f>
        <v>0</v>
      </c>
    </row>
    <row r="26" spans="1:29" customFormat="1" ht="14.25" x14ac:dyDescent="0.2">
      <c r="A26" s="11">
        <f ca="1">OFFSET(A26,-CFF.NumLinha,0)+1</f>
        <v>3</v>
      </c>
      <c r="B26" s="11" t="b">
        <f ca="1">$C26&gt;=OFFSET($C26,CFF.NumLinha,0)</f>
        <v>1</v>
      </c>
      <c r="C26" s="11">
        <f ca="1">INDEX(PO!A$12:A$40,MATCH($A26,PO!$V$12:$V$40,0))</f>
        <v>2</v>
      </c>
      <c r="D26" s="11">
        <f ca="1">IF(ISERROR(J26),I26,SMALL(I26:J26,1))-1</f>
        <v>2</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ca="1">MATCH(0,OFFSET($D26,1,$C26,ROW($A$36)-ROW($A26)),0)</f>
        <v>10</v>
      </c>
      <c r="J26" s="11">
        <f ca="1">MATCH(OFFSET($D26,0,$C26)+1,OFFSET($D26,1,$C26,ROW($A$36)-ROW($A26)),0)</f>
        <v>3</v>
      </c>
      <c r="K26" s="157">
        <f ca="1">ROUND(INDEX(PO!T$12:T$40,MATCH($A26,PO!$V$12:$V$40,0)),2)+10^-12</f>
        <v>55476.69</v>
      </c>
      <c r="L26" s="336"/>
      <c r="M26" s="338"/>
      <c r="N26" s="349"/>
      <c r="O26" s="172" t="s">
        <v>20</v>
      </c>
      <c r="P26" s="167">
        <f t="shared" ref="P26:W26" ca="1" si="12">IF($B26,ROUND(P25*$N24,2),ROUND(SUMIF(OFFSET($B26,1,0,$D26),TRUE,OFFSET(P26,1,0,$D26))/SUMIF(OFFSET($B26,1,0,$D26),TRUE,OFFSET($K26,1,0,$D26))*$N24,2))</f>
        <v>18307.310000000001</v>
      </c>
      <c r="Q26" s="145">
        <f t="shared" ca="1" si="12"/>
        <v>36614.620000000003</v>
      </c>
      <c r="R26" s="145">
        <f t="shared" ca="1" si="12"/>
        <v>55476.69</v>
      </c>
      <c r="S26" s="145">
        <f t="shared" ca="1" si="12"/>
        <v>55476.69</v>
      </c>
      <c r="T26" s="145">
        <f t="shared" ca="1" si="12"/>
        <v>55476.69</v>
      </c>
      <c r="U26" s="145">
        <f t="shared" ca="1" si="12"/>
        <v>55476.69</v>
      </c>
      <c r="V26" s="145">
        <f t="shared" ca="1" si="12"/>
        <v>55476.69</v>
      </c>
      <c r="W26" s="175">
        <f t="shared" ca="1" si="12"/>
        <v>55476.69</v>
      </c>
      <c r="X26" s="164"/>
      <c r="AC26" s="145">
        <f ca="1">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35" t="str">
        <f ca="1">INDEX(PO!K$12:K$40,MATCH($A29,PO!$V$12:$V$40,0))</f>
        <v>1.3.</v>
      </c>
      <c r="M27" s="337" t="str">
        <f ca="1">INDEX(PO!N$12:N$40,MATCH($A29,PO!$V$12:$V$40,0))</f>
        <v>TERRAPLENAGEM</v>
      </c>
      <c r="N27" s="348">
        <f ca="1">IF(ROUND(K29,2)=0,K29,ROUND(K29,2))</f>
        <v>35463.75</v>
      </c>
      <c r="O27" s="188" t="s">
        <v>143</v>
      </c>
      <c r="P27" s="194">
        <v>0.3</v>
      </c>
      <c r="Q27" s="194">
        <v>0.5</v>
      </c>
      <c r="R27" s="194">
        <v>0.2</v>
      </c>
      <c r="S27" s="194"/>
      <c r="T27" s="194"/>
      <c r="U27" s="194">
        <f ca="1">IF($B29,0,U28-IF(ISNUMBER(T28),T28,0))</f>
        <v>0</v>
      </c>
      <c r="V27" s="194">
        <f ca="1">IF($B29,0,V28-IF(ISNUMBER(U28),U28,0))</f>
        <v>0</v>
      </c>
      <c r="W27" s="195">
        <f ca="1">IF($B29,0,W28-IF(ISNUMBER(V28),V28,0))</f>
        <v>0</v>
      </c>
      <c r="X27" s="164"/>
      <c r="AC27" s="189">
        <f ca="1">IF($B29,0,AC28-IF(ISNUMBER(AB28),AB28,0))</f>
        <v>0</v>
      </c>
    </row>
    <row r="28" spans="1:29" customFormat="1" ht="14.25" x14ac:dyDescent="0.2">
      <c r="A28" s="11"/>
      <c r="B28" s="11"/>
      <c r="C28" s="11"/>
      <c r="D28" s="11"/>
      <c r="E28" s="11"/>
      <c r="F28" s="11"/>
      <c r="G28" s="11"/>
      <c r="H28" s="11"/>
      <c r="I28" s="11"/>
      <c r="J28" s="11"/>
      <c r="K28" s="11"/>
      <c r="L28" s="336"/>
      <c r="M28" s="338"/>
      <c r="N28" s="349"/>
      <c r="O28" s="146" t="s">
        <v>145</v>
      </c>
      <c r="P28" s="166">
        <f t="shared" ref="P28:W28" ca="1" si="13">MIN(IF($B29,P27+IF(ISNUMBER(O28),O28,0),P29/$N27),1)</f>
        <v>0.3</v>
      </c>
      <c r="Q28" s="144">
        <f t="shared" ca="1" si="13"/>
        <v>0.8</v>
      </c>
      <c r="R28" s="144">
        <f t="shared" ca="1" si="13"/>
        <v>1</v>
      </c>
      <c r="S28" s="144">
        <f t="shared" ca="1" si="13"/>
        <v>1</v>
      </c>
      <c r="T28" s="144">
        <f t="shared" ca="1" si="13"/>
        <v>1</v>
      </c>
      <c r="U28" s="144">
        <f t="shared" ca="1" si="13"/>
        <v>1</v>
      </c>
      <c r="V28" s="144">
        <f t="shared" ca="1" si="13"/>
        <v>1</v>
      </c>
      <c r="W28" s="144">
        <f t="shared" ca="1" si="13"/>
        <v>1</v>
      </c>
      <c r="X28" s="164"/>
      <c r="AC28" s="144">
        <f ca="1">MIN(IF($B29,AC27+IF(ISNUMBER(AB28),AB28,0),AC29/$N27),1)</f>
        <v>0</v>
      </c>
    </row>
    <row r="29" spans="1:29" customFormat="1" ht="14.25" x14ac:dyDescent="0.2">
      <c r="A29" s="11">
        <f ca="1">OFFSET(A29,-CFF.NumLinha,0)+1</f>
        <v>4</v>
      </c>
      <c r="B29" s="11" t="b">
        <f ca="1">$C29&gt;=OFFSET($C29,CFF.NumLinha,0)</f>
        <v>1</v>
      </c>
      <c r="C29" s="11">
        <f ca="1">INDEX(PO!A$12:A$40,MATCH($A29,PO!$V$12:$V$40,0))</f>
        <v>2</v>
      </c>
      <c r="D29" s="11">
        <f ca="1">IF(ISERROR(J29),I29,SMALL(I29:J29,1))-1</f>
        <v>2</v>
      </c>
      <c r="E29" s="11">
        <f ca="1">IF($C29=1,OFFSET(E29,-CFF.NumLinha,0)+1,OFFSET(E29,-CFF.NumLinha,0))</f>
        <v>1</v>
      </c>
      <c r="F29" s="11">
        <f ca="1">IF($C29=1,0,IF($C29=2,OFFSET(F29,-CFF.NumLinha,0)+1,OFFSET(F29,-CFF.NumLinha,0)))</f>
        <v>3</v>
      </c>
      <c r="G29" s="11">
        <f ca="1">IF(AND($C29&lt;=2,$C29&lt;&gt;0),0,IF($C29=3,OFFSET(G29,-CFF.NumLinha,0)+1,OFFSET(G29,-CFF.NumLinha,0)))</f>
        <v>0</v>
      </c>
      <c r="H29" s="11">
        <f ca="1">IF(AND($C29&lt;=3,$C29&lt;&gt;0),0,IF($C29=4,OFFSET(H29,-CFF.NumLinha,0)+1,OFFSET(H29,-CFF.NumLinha,0)))</f>
        <v>0</v>
      </c>
      <c r="I29" s="11">
        <f ca="1">MATCH(0,OFFSET($D29,1,$C29,ROW($A$36)-ROW($A29)),0)</f>
        <v>7</v>
      </c>
      <c r="J29" s="11">
        <f ca="1">MATCH(OFFSET($D29,0,$C29)+1,OFFSET($D29,1,$C29,ROW($A$36)-ROW($A29)),0)</f>
        <v>3</v>
      </c>
      <c r="K29" s="157">
        <f ca="1">ROUND(INDEX(PO!T$12:T$40,MATCH($A29,PO!$V$12:$V$40,0)),2)+10^-12</f>
        <v>35463.75</v>
      </c>
      <c r="L29" s="336"/>
      <c r="M29" s="338"/>
      <c r="N29" s="349"/>
      <c r="O29" s="172" t="s">
        <v>20</v>
      </c>
      <c r="P29" s="167">
        <f t="shared" ref="P29:W29" ca="1" si="14">IF($B29,ROUND(P28*$N27,2),ROUND(SUMIF(OFFSET($B29,1,0,$D29),TRUE,OFFSET(P29,1,0,$D29))/SUMIF(OFFSET($B29,1,0,$D29),TRUE,OFFSET($K29,1,0,$D29))*$N27,2))</f>
        <v>10639.13</v>
      </c>
      <c r="Q29" s="145">
        <f t="shared" ca="1" si="14"/>
        <v>28371</v>
      </c>
      <c r="R29" s="145">
        <f t="shared" ca="1" si="14"/>
        <v>35463.75</v>
      </c>
      <c r="S29" s="145">
        <f t="shared" ca="1" si="14"/>
        <v>35463.75</v>
      </c>
      <c r="T29" s="145">
        <f t="shared" ca="1" si="14"/>
        <v>35463.75</v>
      </c>
      <c r="U29" s="145">
        <f t="shared" ca="1" si="14"/>
        <v>35463.75</v>
      </c>
      <c r="V29" s="145">
        <f t="shared" ca="1" si="14"/>
        <v>35463.75</v>
      </c>
      <c r="W29" s="175">
        <f t="shared" ca="1" si="14"/>
        <v>35463.75</v>
      </c>
      <c r="X29" s="164"/>
      <c r="AC29" s="145">
        <f ca="1">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35" t="str">
        <f ca="1">INDEX(PO!K$12:K$40,MATCH($A32,PO!$V$12:$V$40,0))</f>
        <v>1.4.</v>
      </c>
      <c r="M30" s="337" t="str">
        <f ca="1">INDEX(PO!N$12:N$40,MATCH($A32,PO!$V$12:$V$40,0))</f>
        <v>PAVIMENTAÇÃO</v>
      </c>
      <c r="N30" s="348">
        <f ca="1">IF(ROUND(K32,2)=0,K32,ROUND(K32,2))</f>
        <v>889638.21</v>
      </c>
      <c r="O30" s="188" t="s">
        <v>143</v>
      </c>
      <c r="P30" s="193">
        <f ca="1">IF($B32,0,P31-IF(ISNUMBER(O31),O31,0))</f>
        <v>0</v>
      </c>
      <c r="Q30" s="194">
        <v>0.5</v>
      </c>
      <c r="R30" s="194">
        <v>0.5</v>
      </c>
      <c r="S30" s="194"/>
      <c r="T30" s="194">
        <v>1</v>
      </c>
      <c r="U30" s="194">
        <f ca="1">IF($B32,0,U31-IF(ISNUMBER(T31),T31,0))</f>
        <v>0</v>
      </c>
      <c r="V30" s="194">
        <f ca="1">IF($B32,0,V31-IF(ISNUMBER(U31),U31,0))</f>
        <v>0</v>
      </c>
      <c r="W30" s="195">
        <f ca="1">IF($B32,0,W31-IF(ISNUMBER(V31),V31,0))</f>
        <v>0</v>
      </c>
      <c r="X30" s="164"/>
      <c r="AC30" s="189">
        <f ca="1">IF($B32,0,AC31-IF(ISNUMBER(AB31),AB31,0))</f>
        <v>0</v>
      </c>
    </row>
    <row r="31" spans="1:29" customFormat="1" ht="14.25" x14ac:dyDescent="0.2">
      <c r="A31" s="11"/>
      <c r="B31" s="11"/>
      <c r="C31" s="11"/>
      <c r="D31" s="11"/>
      <c r="E31" s="11"/>
      <c r="F31" s="11"/>
      <c r="G31" s="11"/>
      <c r="H31" s="11"/>
      <c r="I31" s="11"/>
      <c r="J31" s="11"/>
      <c r="K31" s="11"/>
      <c r="L31" s="336"/>
      <c r="M31" s="338"/>
      <c r="N31" s="349"/>
      <c r="O31" s="146" t="s">
        <v>145</v>
      </c>
      <c r="P31" s="166">
        <f t="shared" ref="P31:W31" ca="1" si="15">MIN(IF($B32,P30+IF(ISNUMBER(O31),O31,0),P32/$N30),1)</f>
        <v>0</v>
      </c>
      <c r="Q31" s="144">
        <f t="shared" ca="1" si="15"/>
        <v>0.5</v>
      </c>
      <c r="R31" s="144">
        <f t="shared" ca="1" si="15"/>
        <v>1</v>
      </c>
      <c r="S31" s="144">
        <f t="shared" ca="1" si="15"/>
        <v>1</v>
      </c>
      <c r="T31" s="144">
        <f t="shared" ca="1" si="15"/>
        <v>1</v>
      </c>
      <c r="U31" s="144">
        <f t="shared" ca="1" si="15"/>
        <v>1</v>
      </c>
      <c r="V31" s="144">
        <f t="shared" ca="1" si="15"/>
        <v>1</v>
      </c>
      <c r="W31" s="144">
        <f t="shared" ca="1" si="15"/>
        <v>1</v>
      </c>
      <c r="X31" s="164"/>
      <c r="AC31" s="144">
        <f ca="1">MIN(IF($B32,AC30+IF(ISNUMBER(AB31),AB31,0),AC32/$N30),1)</f>
        <v>0</v>
      </c>
    </row>
    <row r="32" spans="1:29" customFormat="1" ht="14.25" x14ac:dyDescent="0.2">
      <c r="A32" s="11">
        <f ca="1">OFFSET(A32,-CFF.NumLinha,0)+1</f>
        <v>5</v>
      </c>
      <c r="B32" s="11" t="b">
        <f ca="1">$C32&gt;=OFFSET($C32,CFF.NumLinha,0)</f>
        <v>1</v>
      </c>
      <c r="C32" s="11">
        <f ca="1">INDEX(PO!A$12:A$40,MATCH($A32,PO!$V$12:$V$40,0))</f>
        <v>2</v>
      </c>
      <c r="D32" s="11">
        <f ca="1">IF(ISERROR(J32),I32,SMALL(I32:J32,1))-1</f>
        <v>2</v>
      </c>
      <c r="E32" s="11">
        <f ca="1">IF($C32=1,OFFSET(E32,-CFF.NumLinha,0)+1,OFFSET(E32,-CFF.NumLinha,0))</f>
        <v>1</v>
      </c>
      <c r="F32" s="11">
        <f ca="1">IF($C32=1,0,IF($C32=2,OFFSET(F32,-CFF.NumLinha,0)+1,OFFSET(F32,-CFF.NumLinha,0)))</f>
        <v>4</v>
      </c>
      <c r="G32" s="11">
        <f ca="1">IF(AND($C32&lt;=2,$C32&lt;&gt;0),0,IF($C32=3,OFFSET(G32,-CFF.NumLinha,0)+1,OFFSET(G32,-CFF.NumLinha,0)))</f>
        <v>0</v>
      </c>
      <c r="H32" s="11">
        <f ca="1">IF(AND($C32&lt;=3,$C32&lt;&gt;0),0,IF($C32=4,OFFSET(H32,-CFF.NumLinha,0)+1,OFFSET(H32,-CFF.NumLinha,0)))</f>
        <v>0</v>
      </c>
      <c r="I32" s="11">
        <f ca="1">MATCH(0,OFFSET($D32,1,$C32,ROW($A$36)-ROW($A32)),0)</f>
        <v>4</v>
      </c>
      <c r="J32" s="11">
        <f ca="1">MATCH(OFFSET($D32,0,$C32)+1,OFFSET($D32,1,$C32,ROW($A$36)-ROW($A32)),0)</f>
        <v>3</v>
      </c>
      <c r="K32" s="157">
        <f ca="1">ROUND(INDEX(PO!T$12:T$40,MATCH($A32,PO!$V$12:$V$40,0)),2)+10^-12</f>
        <v>889638.21</v>
      </c>
      <c r="L32" s="336"/>
      <c r="M32" s="338"/>
      <c r="N32" s="349"/>
      <c r="O32" s="172" t="s">
        <v>20</v>
      </c>
      <c r="P32" s="167">
        <f t="shared" ref="P32:W32" ca="1" si="16">IF($B32,ROUND(P31*$N30,2),ROUND(SUMIF(OFFSET($B32,1,0,$D32),TRUE,OFFSET(P32,1,0,$D32))/SUMIF(OFFSET($B32,1,0,$D32),TRUE,OFFSET($K32,1,0,$D32))*$N30,2))</f>
        <v>0</v>
      </c>
      <c r="Q32" s="145">
        <f t="shared" ca="1" si="16"/>
        <v>444819.11</v>
      </c>
      <c r="R32" s="145">
        <f t="shared" ca="1" si="16"/>
        <v>889638.21</v>
      </c>
      <c r="S32" s="145">
        <f t="shared" ca="1" si="16"/>
        <v>889638.21</v>
      </c>
      <c r="T32" s="145">
        <f t="shared" ca="1" si="16"/>
        <v>889638.21</v>
      </c>
      <c r="U32" s="145">
        <f t="shared" ca="1" si="16"/>
        <v>889638.21</v>
      </c>
      <c r="V32" s="145">
        <f t="shared" ca="1" si="16"/>
        <v>889638.21</v>
      </c>
      <c r="W32" s="175">
        <f t="shared" ca="1" si="16"/>
        <v>889638.21</v>
      </c>
      <c r="X32" s="164"/>
      <c r="AC32" s="145">
        <f ca="1">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35" t="str">
        <f ca="1">INDEX(PO!K$12:K$40,MATCH($A35,PO!$V$12:$V$40,0))</f>
        <v>1.5.</v>
      </c>
      <c r="M33" s="337" t="str">
        <f ca="1">INDEX(PO!N$12:N$40,MATCH($A35,PO!$V$12:$V$40,0))</f>
        <v>SINALIZAÇÃO</v>
      </c>
      <c r="N33" s="348">
        <f t="shared" ref="N33" ca="1" si="17">IF(ROUND(K35,2)=0,K35,ROUND(K35,2))</f>
        <v>67073.210000000006</v>
      </c>
      <c r="O33" s="188" t="s">
        <v>143</v>
      </c>
      <c r="P33" s="193">
        <v>0</v>
      </c>
      <c r="Q33" s="194">
        <f t="shared" ref="Q33" ca="1" si="18">IF($B35,0,Q34-IF(ISNUMBER(P34),P34,0))</f>
        <v>0</v>
      </c>
      <c r="R33" s="194">
        <v>1</v>
      </c>
      <c r="S33" s="194">
        <f t="shared" ref="S33" ca="1" si="19">IF($B35,0,S34-IF(ISNUMBER(R34),R34,0))</f>
        <v>0</v>
      </c>
      <c r="T33" s="194">
        <f t="shared" ref="T33" ca="1" si="20">IF($B35,0,T34-IF(ISNUMBER(S34),S34,0))</f>
        <v>0</v>
      </c>
      <c r="U33" s="194">
        <f t="shared" ref="U33" ca="1" si="21">IF($B35,0,U34-IF(ISNUMBER(T34),T34,0))</f>
        <v>0</v>
      </c>
      <c r="V33" s="194">
        <f t="shared" ref="V33" ca="1" si="22">IF($B35,0,V34-IF(ISNUMBER(U34),U34,0))</f>
        <v>0</v>
      </c>
      <c r="W33" s="195">
        <f t="shared" ref="W33" ca="1" si="23">IF($B35,0,W34-IF(ISNUMBER(V34),V34,0))</f>
        <v>0</v>
      </c>
      <c r="X33" s="164"/>
      <c r="AC33" s="189">
        <f t="shared" ref="AC33" ca="1" si="24">IF($B35,0,AC34-IF(ISNUMBER(AB34),AB34,0))</f>
        <v>0</v>
      </c>
    </row>
    <row r="34" spans="1:29" customFormat="1" ht="14.25" x14ac:dyDescent="0.2">
      <c r="A34" s="11"/>
      <c r="B34" s="11"/>
      <c r="C34" s="11"/>
      <c r="D34" s="11"/>
      <c r="E34" s="11"/>
      <c r="F34" s="11"/>
      <c r="G34" s="11"/>
      <c r="H34" s="11"/>
      <c r="I34" s="11"/>
      <c r="J34" s="11"/>
      <c r="K34" s="11"/>
      <c r="L34" s="336"/>
      <c r="M34" s="338"/>
      <c r="N34" s="349"/>
      <c r="O34" s="146" t="s">
        <v>145</v>
      </c>
      <c r="P34" s="166">
        <f t="shared" ref="P34" ca="1" si="25">MIN(IF($B35,P33+IF(ISNUMBER(O34),O34,0),P35/$N33),1)</f>
        <v>0</v>
      </c>
      <c r="Q34" s="144">
        <f t="shared" ref="Q34" ca="1" si="26">MIN(IF($B35,Q33+IF(ISNUMBER(P34),P34,0),Q35/$N33),1)</f>
        <v>0</v>
      </c>
      <c r="R34" s="144">
        <f t="shared" ref="R34" ca="1" si="27">MIN(IF($B35,R33+IF(ISNUMBER(Q34),Q34,0),R35/$N33),1)</f>
        <v>1</v>
      </c>
      <c r="S34" s="144">
        <f t="shared" ref="S34" ca="1" si="28">MIN(IF($B35,S33+IF(ISNUMBER(R34),R34,0),S35/$N33),1)</f>
        <v>1</v>
      </c>
      <c r="T34" s="144">
        <f t="shared" ref="T34" ca="1" si="29">MIN(IF($B35,T33+IF(ISNUMBER(S34),S34,0),T35/$N33),1)</f>
        <v>1</v>
      </c>
      <c r="U34" s="144">
        <f t="shared" ref="U34" ca="1" si="30">MIN(IF($B35,U33+IF(ISNUMBER(T34),T34,0),U35/$N33),1)</f>
        <v>1</v>
      </c>
      <c r="V34" s="144">
        <f t="shared" ref="V34" ca="1" si="31">MIN(IF($B35,V33+IF(ISNUMBER(U34),U34,0),V35/$N33),1)</f>
        <v>1</v>
      </c>
      <c r="W34" s="144">
        <f t="shared" ref="W34" ca="1" si="32">MIN(IF($B35,W33+IF(ISNUMBER(V34),V34,0),W35/$N33),1)</f>
        <v>1</v>
      </c>
      <c r="X34" s="164"/>
      <c r="AC34" s="144">
        <f t="shared" ref="AC34" ca="1" si="33">MIN(IF($B35,AC33+IF(ISNUMBER(AB34),AB34,0),AC35/$N33),1)</f>
        <v>0</v>
      </c>
    </row>
    <row r="35" spans="1:29" customFormat="1" ht="14.25" x14ac:dyDescent="0.2">
      <c r="A35" s="11">
        <f ca="1">OFFSET(A35,-CFF.NumLinha,0)+1</f>
        <v>6</v>
      </c>
      <c r="B35" s="11" t="b">
        <f ca="1">$C35&gt;=OFFSET($C35,CFF.NumLinha,0)</f>
        <v>1</v>
      </c>
      <c r="C35" s="11">
        <f ca="1">INDEX(PO!A$12:A$40,MATCH($A35,PO!$V$12:$V$40,0))</f>
        <v>2</v>
      </c>
      <c r="D35" s="11">
        <f t="shared" ref="D35" ca="1" si="34">IF(ISERROR(J35),I35,SMALL(I35:J35,1))-1</f>
        <v>0</v>
      </c>
      <c r="E35" s="11">
        <f ca="1">IF($C35=1,OFFSET(E35,-CFF.NumLinha,0)+1,OFFSET(E35,-CFF.NumLinha,0))</f>
        <v>1</v>
      </c>
      <c r="F35" s="11">
        <f ca="1">IF($C35=1,0,IF($C35=2,OFFSET(F35,-CFF.NumLinha,0)+1,OFFSET(F35,-CFF.NumLinha,0)))</f>
        <v>5</v>
      </c>
      <c r="G35" s="11">
        <f ca="1">IF(AND($C35&lt;=2,$C35&lt;&gt;0),0,IF($C35=3,OFFSET(G35,-CFF.NumLinha,0)+1,OFFSET(G35,-CFF.NumLinha,0)))</f>
        <v>0</v>
      </c>
      <c r="H35" s="11">
        <f ca="1">IF(AND($C35&lt;=3,$C35&lt;&gt;0),0,IF($C35=4,OFFSET(H35,-CFF.NumLinha,0)+1,OFFSET(H35,-CFF.NumLinha,0)))</f>
        <v>0</v>
      </c>
      <c r="I35" s="11">
        <f ca="1">MATCH(0,OFFSET($D35,1,$C35,ROW($A$36)-ROW($A35)),0)</f>
        <v>1</v>
      </c>
      <c r="J35" s="11" t="e">
        <f ca="1">MATCH(OFFSET($D35,0,$C35)+1,OFFSET($D35,1,$C35,ROW($A$36)-ROW($A35)),0)</f>
        <v>#N/A</v>
      </c>
      <c r="K35" s="157">
        <f ca="1">ROUND(INDEX(PO!T$12:T$40,MATCH($A35,PO!$V$12:$V$40,0)),2)+10^-12</f>
        <v>67073.210000000006</v>
      </c>
      <c r="L35" s="336"/>
      <c r="M35" s="338"/>
      <c r="N35" s="349"/>
      <c r="O35" s="172" t="s">
        <v>20</v>
      </c>
      <c r="P35" s="167">
        <f t="shared" ref="P35:W35" ca="1" si="35">IF($B35,ROUND(P34*$N33,2),ROUND(SUMIF(OFFSET($B35,1,0,$D35),TRUE,OFFSET(P35,1,0,$D35))/SUMIF(OFFSET($B35,1,0,$D35),TRUE,OFFSET($K35,1,0,$D35))*$N33,2))</f>
        <v>0</v>
      </c>
      <c r="Q35" s="145">
        <f t="shared" ca="1" si="35"/>
        <v>0</v>
      </c>
      <c r="R35" s="145">
        <f t="shared" ca="1" si="35"/>
        <v>67073.210000000006</v>
      </c>
      <c r="S35" s="145">
        <f t="shared" ca="1" si="35"/>
        <v>67073.210000000006</v>
      </c>
      <c r="T35" s="145">
        <f t="shared" ca="1" si="35"/>
        <v>67073.210000000006</v>
      </c>
      <c r="U35" s="145">
        <f t="shared" ca="1" si="35"/>
        <v>67073.210000000006</v>
      </c>
      <c r="V35" s="145">
        <f t="shared" ca="1" si="35"/>
        <v>67073.210000000006</v>
      </c>
      <c r="W35" s="175">
        <f t="shared" ca="1" si="35"/>
        <v>67073.210000000006</v>
      </c>
      <c r="X35" s="164"/>
      <c r="AC35" s="145">
        <f t="shared" ref="AC35" ca="1" si="36">IF($B35,ROUND(AC34*$N33,2),ROUND(SUMIF(OFFSET($B35,1,0,$D35),TRUE,OFFSET(AC35,1,0,$D35))/SUMIF(OFFSET($B35,1,0,$D35),TRUE,OFFSET($K35,1,0,$D35))*$N33,2))</f>
        <v>0</v>
      </c>
    </row>
    <row r="36" spans="1:29" ht="12.75" customHeight="1" x14ac:dyDescent="0.2">
      <c r="A36"/>
      <c r="B36"/>
      <c r="C36" s="11">
        <v>-1</v>
      </c>
      <c r="D36" s="11"/>
      <c r="E36" s="11">
        <v>0</v>
      </c>
      <c r="F36" s="11">
        <v>0</v>
      </c>
      <c r="G36" s="11">
        <v>0</v>
      </c>
      <c r="H36" s="11">
        <v>0</v>
      </c>
      <c r="I36"/>
      <c r="J36"/>
      <c r="K36"/>
      <c r="L36" s="69"/>
      <c r="M36" s="69"/>
      <c r="N36" s="131"/>
      <c r="O36" s="69"/>
      <c r="P36" s="69"/>
      <c r="Q36" s="131"/>
      <c r="R36" s="69"/>
      <c r="S36" s="69"/>
      <c r="T36" s="69"/>
      <c r="U36" s="69"/>
      <c r="V36" s="69"/>
      <c r="W36" s="69"/>
      <c r="X36" s="158"/>
      <c r="AC36" s="69"/>
    </row>
    <row r="37" spans="1:29" ht="12.2" customHeight="1" x14ac:dyDescent="0.2">
      <c r="A37"/>
      <c r="B37"/>
      <c r="C37"/>
      <c r="D37"/>
      <c r="E37"/>
      <c r="F37"/>
      <c r="G37"/>
      <c r="H37"/>
      <c r="I37"/>
      <c r="J37"/>
      <c r="K37"/>
      <c r="L37" s="1"/>
      <c r="M37" s="1"/>
      <c r="N37" s="1"/>
      <c r="O37" s="1"/>
      <c r="P37" s="1"/>
      <c r="Q37" s="1"/>
      <c r="R37" s="1"/>
      <c r="S37" s="1"/>
      <c r="T37" s="1"/>
      <c r="U37" s="1"/>
      <c r="V37" s="1"/>
      <c r="W37" s="1"/>
      <c r="X37" s="158"/>
      <c r="AC37" s="1"/>
    </row>
    <row r="38" spans="1:29" x14ac:dyDescent="0.2">
      <c r="A38"/>
      <c r="B38"/>
      <c r="C38"/>
      <c r="D38"/>
      <c r="E38"/>
      <c r="F38"/>
      <c r="G38"/>
      <c r="H38"/>
      <c r="I38"/>
      <c r="J38"/>
      <c r="K38"/>
      <c r="L38" s="354">
        <f>DADOS!I32</f>
        <v>0</v>
      </c>
      <c r="M38" s="354"/>
      <c r="N38" s="354"/>
      <c r="O38" s="1"/>
      <c r="P38" s="159"/>
      <c r="Q38" s="351"/>
      <c r="R38" s="351"/>
      <c r="S38" s="351"/>
      <c r="T38" s="1"/>
      <c r="U38" s="1"/>
      <c r="V38" s="1"/>
      <c r="W38" s="1"/>
      <c r="X38" s="158"/>
      <c r="AC38" s="1"/>
    </row>
    <row r="39" spans="1:29" x14ac:dyDescent="0.2">
      <c r="A39"/>
      <c r="B39"/>
      <c r="C39"/>
      <c r="D39"/>
      <c r="E39"/>
      <c r="F39"/>
      <c r="G39"/>
      <c r="H39"/>
      <c r="I39"/>
      <c r="J39"/>
      <c r="K39"/>
      <c r="L39" s="160" t="s">
        <v>120</v>
      </c>
      <c r="M39" s="353"/>
      <c r="N39" s="353"/>
      <c r="O39" s="1"/>
      <c r="P39" s="159"/>
      <c r="Q39" s="351"/>
      <c r="R39" s="351"/>
      <c r="S39" s="351"/>
      <c r="T39" s="1"/>
      <c r="U39" s="1"/>
      <c r="V39" s="1"/>
      <c r="W39" s="1"/>
      <c r="X39" s="158"/>
      <c r="AC39" s="1"/>
    </row>
    <row r="40" spans="1:29" x14ac:dyDescent="0.2">
      <c r="A40"/>
      <c r="B40"/>
      <c r="C40"/>
      <c r="D40"/>
      <c r="E40"/>
      <c r="F40"/>
      <c r="G40"/>
      <c r="H40"/>
      <c r="I40"/>
      <c r="J40"/>
      <c r="K40"/>
      <c r="L40" s="159"/>
      <c r="M40" s="352"/>
      <c r="N40" s="353"/>
      <c r="O40" s="1"/>
      <c r="P40" s="159"/>
      <c r="Q40" s="351"/>
      <c r="R40" s="351"/>
      <c r="S40" s="351"/>
      <c r="T40" s="1"/>
      <c r="U40" s="1"/>
      <c r="V40" s="1"/>
      <c r="W40" s="1"/>
      <c r="X40" s="158"/>
      <c r="AC40" s="1"/>
    </row>
    <row r="41" spans="1:29" x14ac:dyDescent="0.2">
      <c r="A41"/>
      <c r="B41"/>
      <c r="C41"/>
      <c r="D41"/>
      <c r="E41"/>
      <c r="F41"/>
      <c r="G41"/>
      <c r="H41"/>
      <c r="I41"/>
      <c r="J41"/>
      <c r="K41"/>
      <c r="L41" s="334">
        <f ca="1">PO!K54</f>
        <v>46199</v>
      </c>
      <c r="M41" s="334"/>
      <c r="N41" s="334"/>
      <c r="O41" s="1"/>
      <c r="P41" s="1"/>
      <c r="Q41" s="1"/>
      <c r="R41" s="1"/>
      <c r="S41" s="1"/>
      <c r="T41" s="1"/>
      <c r="U41" s="1"/>
      <c r="V41" s="1"/>
      <c r="W41" s="1"/>
      <c r="X41" s="161"/>
      <c r="AC41" s="1"/>
    </row>
    <row r="42" spans="1:29" x14ac:dyDescent="0.2">
      <c r="A42"/>
      <c r="B42"/>
      <c r="C42"/>
      <c r="D42"/>
      <c r="E42"/>
      <c r="F42"/>
      <c r="G42"/>
      <c r="H42"/>
      <c r="I42"/>
      <c r="J42"/>
      <c r="K42"/>
      <c r="L42" s="162" t="s">
        <v>121</v>
      </c>
      <c r="M42" s="69"/>
      <c r="N42" s="69"/>
      <c r="O42" s="1"/>
      <c r="P42" s="1"/>
      <c r="Q42" s="1"/>
      <c r="R42" s="1"/>
      <c r="S42" s="1"/>
      <c r="T42" s="1"/>
      <c r="U42" s="1"/>
      <c r="V42" s="1"/>
      <c r="W42" s="1"/>
      <c r="X42" s="161"/>
      <c r="AC42" s="1"/>
    </row>
    <row r="43" spans="1:29" x14ac:dyDescent="0.2">
      <c r="A43"/>
      <c r="B43"/>
      <c r="C43"/>
      <c r="D43"/>
      <c r="E43"/>
      <c r="F43"/>
      <c r="G43"/>
      <c r="H43"/>
      <c r="I43"/>
      <c r="J43"/>
      <c r="K43"/>
      <c r="L43" s="1"/>
      <c r="M43" s="1"/>
      <c r="N43" s="1"/>
      <c r="O43" s="1"/>
      <c r="P43" s="1"/>
      <c r="Q43" s="1"/>
      <c r="R43" s="1"/>
      <c r="S43" s="1"/>
      <c r="T43" s="1"/>
      <c r="U43" s="1"/>
      <c r="V43" s="1"/>
      <c r="W43" s="1"/>
      <c r="X43" s="161"/>
      <c r="AC43" s="1"/>
    </row>
    <row r="44" spans="1:29" x14ac:dyDescent="0.2">
      <c r="A44"/>
      <c r="B44"/>
      <c r="C44"/>
      <c r="D44"/>
      <c r="E44"/>
      <c r="F44"/>
      <c r="G44"/>
      <c r="H44"/>
      <c r="I44"/>
      <c r="J44"/>
      <c r="K44"/>
      <c r="L44" s="1"/>
      <c r="M44" s="1"/>
      <c r="N44" s="4"/>
      <c r="O44" s="1"/>
      <c r="P44" s="1"/>
      <c r="Q44" s="1"/>
      <c r="R44" s="1"/>
      <c r="S44" s="1"/>
      <c r="T44" s="1"/>
      <c r="U44" s="1"/>
      <c r="V44" s="1"/>
      <c r="W44" s="1"/>
      <c r="X44" s="158"/>
      <c r="AC44" s="1"/>
    </row>
    <row r="45" spans="1:29" x14ac:dyDescent="0.2">
      <c r="A45"/>
      <c r="B45"/>
      <c r="C45"/>
      <c r="D45"/>
      <c r="E45"/>
      <c r="F45"/>
      <c r="G45"/>
      <c r="H45"/>
      <c r="I45"/>
      <c r="J45"/>
      <c r="K45"/>
      <c r="L45" s="1"/>
      <c r="M45" s="1"/>
      <c r="N45" s="4"/>
      <c r="O45" s="1"/>
      <c r="P45" s="1"/>
      <c r="Q45" s="1"/>
      <c r="R45" s="1"/>
      <c r="S45" s="1"/>
      <c r="T45" s="1"/>
      <c r="U45" s="1"/>
      <c r="V45" s="1"/>
      <c r="W45" s="1"/>
      <c r="X45" s="158"/>
      <c r="AC45" s="1"/>
    </row>
    <row r="46" spans="1:29" x14ac:dyDescent="0.2">
      <c r="A46"/>
      <c r="B46"/>
      <c r="C46"/>
      <c r="D46"/>
      <c r="E46"/>
      <c r="F46"/>
      <c r="G46"/>
      <c r="H46"/>
      <c r="I46"/>
      <c r="J46"/>
      <c r="K46"/>
      <c r="L46" s="1"/>
      <c r="M46" s="1"/>
      <c r="N46" s="4"/>
      <c r="O46" s="1"/>
      <c r="P46" s="1"/>
      <c r="Q46" s="1"/>
      <c r="R46" s="1"/>
      <c r="S46" s="1"/>
      <c r="T46" s="1"/>
      <c r="U46" s="1"/>
      <c r="V46" s="1"/>
      <c r="W46" s="1"/>
      <c r="X46" s="158"/>
      <c r="AC46" s="1"/>
    </row>
  </sheetData>
  <sheetProtection algorithmName="SHA-512" hashValue="aBSNuMoYcMAS4Pa5EhUjJ7FNzgdF1xSyCuCo6Q1J33wUZggN0quyKMniFXyLPQwh/NESmZBwUf51MkbUonCWJA==" saltValue="Zi0iQbR+x5k+b4nEnr/YkQ==" spinCount="100000" sheet="1" objects="1" scenarios="1"/>
  <mergeCells count="31">
    <mergeCell ref="Q40:S40"/>
    <mergeCell ref="M40:N40"/>
    <mergeCell ref="Q39:S39"/>
    <mergeCell ref="Q38:S38"/>
    <mergeCell ref="L38:N38"/>
    <mergeCell ref="M39:N39"/>
    <mergeCell ref="M24:M26"/>
    <mergeCell ref="N24:N26"/>
    <mergeCell ref="L8:M8"/>
    <mergeCell ref="N11:N13"/>
    <mergeCell ref="M18:M20"/>
    <mergeCell ref="N18:N20"/>
    <mergeCell ref="L21:L23"/>
    <mergeCell ref="M21:M23"/>
    <mergeCell ref="N21:N23"/>
    <mergeCell ref="L41:N41"/>
    <mergeCell ref="L11:L13"/>
    <mergeCell ref="M11:M13"/>
    <mergeCell ref="L14:M17"/>
    <mergeCell ref="N14:N17"/>
    <mergeCell ref="L18:L20"/>
    <mergeCell ref="L27:L29"/>
    <mergeCell ref="M27:M29"/>
    <mergeCell ref="N27:N29"/>
    <mergeCell ref="L30:L32"/>
    <mergeCell ref="M30:M32"/>
    <mergeCell ref="N30:N32"/>
    <mergeCell ref="L33:L35"/>
    <mergeCell ref="M33:M35"/>
    <mergeCell ref="N33:N35"/>
    <mergeCell ref="L24:L26"/>
  </mergeCells>
  <phoneticPr fontId="20" type="noConversion"/>
  <conditionalFormatting sqref="L11:N11 L12:M13 L18:N18">
    <cfRule type="expression" dxfId="101" priority="1086" stopIfTrue="1">
      <formula>$C13=1</formula>
    </cfRule>
  </conditionalFormatting>
  <conditionalFormatting sqref="O11 O18">
    <cfRule type="expression" dxfId="100" priority="1158" stopIfTrue="1">
      <formula>$B13=FALSE</formula>
    </cfRule>
    <cfRule type="expression" dxfId="99" priority="1159" stopIfTrue="1">
      <formula>$C13=1</formula>
    </cfRule>
  </conditionalFormatting>
  <conditionalFormatting sqref="P12:W12">
    <cfRule type="expression" dxfId="98" priority="1148" stopIfTrue="1">
      <formula>AND(ISNUMBER(O13),O13&gt;=$N11)</formula>
    </cfRule>
    <cfRule type="cellIs" dxfId="97" priority="1149" stopIfTrue="1" operator="notBetween">
      <formula>0</formula>
      <formula>1</formula>
    </cfRule>
  </conditionalFormatting>
  <conditionalFormatting sqref="P13:W13">
    <cfRule type="expression" dxfId="96" priority="1150" stopIfTrue="1">
      <formula>AND(ISNUMBER(O13),O13&gt;=$N11)</formula>
    </cfRule>
    <cfRule type="cellIs" dxfId="95" priority="1151" stopIfTrue="1" operator="notBetween">
      <formula>0</formula>
      <formula>$N11</formula>
    </cfRule>
  </conditionalFormatting>
  <conditionalFormatting sqref="P14:W14">
    <cfRule type="expression" dxfId="94" priority="1152" stopIfTrue="1">
      <formula>AND(ISNUMBER(O17),O17&gt;=$N14)</formula>
    </cfRule>
  </conditionalFormatting>
  <conditionalFormatting sqref="P15:W15">
    <cfRule type="expression" dxfId="93" priority="1153" stopIfTrue="1">
      <formula>AND(ISNUMBER(O17),O17&gt;=$N14)</formula>
    </cfRule>
  </conditionalFormatting>
  <conditionalFormatting sqref="P16:W16">
    <cfRule type="expression" dxfId="92" priority="1154" stopIfTrue="1">
      <formula>AND(ISNUMBER(O17),O17&gt;=$N14)</formula>
    </cfRule>
    <cfRule type="cellIs" dxfId="91" priority="1155" stopIfTrue="1" operator="notBetween">
      <formula>0</formula>
      <formula>1</formula>
    </cfRule>
  </conditionalFormatting>
  <conditionalFormatting sqref="P17:W17">
    <cfRule type="expression" dxfId="90" priority="1156" stopIfTrue="1">
      <formula>AND(ISNUMBER(O17),O17&gt;=$N14)</formula>
    </cfRule>
    <cfRule type="cellIs" dxfId="89" priority="1157" stopIfTrue="1" operator="notBetween">
      <formula>0</formula>
      <formula>$N14</formula>
    </cfRule>
  </conditionalFormatting>
  <conditionalFormatting sqref="L8">
    <cfRule type="cellIs" dxfId="88" priority="1143" stopIfTrue="1" operator="notEqual">
      <formula>""</formula>
    </cfRule>
  </conditionalFormatting>
  <conditionalFormatting sqref="N9">
    <cfRule type="expression" dxfId="87" priority="1142" stopIfTrue="1">
      <formula>TipoOrçamento&lt;&gt;"REPROGRAMADOAC"</formula>
    </cfRule>
  </conditionalFormatting>
  <conditionalFormatting sqref="L19:M20">
    <cfRule type="expression" dxfId="86" priority="1977" stopIfTrue="1">
      <formula>#REF!=1</formula>
    </cfRule>
  </conditionalFormatting>
  <conditionalFormatting sqref="P11:W11">
    <cfRule type="expression" dxfId="85" priority="297" stopIfTrue="1">
      <formula>AND(ISNUMBER(O13),O13&gt;=$N11)</formula>
    </cfRule>
    <cfRule type="expression" dxfId="84" priority="298" stopIfTrue="1">
      <formula>$B13=FALSE</formula>
    </cfRule>
    <cfRule type="expression" dxfId="83" priority="299" stopIfTrue="1">
      <formula>$C13=1</formula>
    </cfRule>
  </conditionalFormatting>
  <conditionalFormatting sqref="P19:W19">
    <cfRule type="expression" dxfId="82" priority="248" stopIfTrue="1">
      <formula>AND(ISNUMBER(O20),O20&gt;=$N18)</formula>
    </cfRule>
    <cfRule type="cellIs" dxfId="81" priority="249" stopIfTrue="1" operator="notBetween">
      <formula>0</formula>
      <formula>1</formula>
    </cfRule>
  </conditionalFormatting>
  <conditionalFormatting sqref="P20:W20">
    <cfRule type="expression" dxfId="80" priority="250" stopIfTrue="1">
      <formula>AND(ISNUMBER(O20),O20&gt;=$N18)</formula>
    </cfRule>
    <cfRule type="cellIs" dxfId="79" priority="251" stopIfTrue="1" operator="notBetween">
      <formula>0</formula>
      <formula>$N18</formula>
    </cfRule>
  </conditionalFormatting>
  <conditionalFormatting sqref="O10:W10">
    <cfRule type="expression" dxfId="78" priority="220" stopIfTrue="1">
      <formula>1=1</formula>
    </cfRule>
  </conditionalFormatting>
  <conditionalFormatting sqref="P18:W18">
    <cfRule type="expression" dxfId="77" priority="175" stopIfTrue="1">
      <formula>AND(ISNUMBER(O20),O20&gt;=$N18)</formula>
    </cfRule>
    <cfRule type="expression" dxfId="76" priority="176" stopIfTrue="1">
      <formula>$B20=FALSE</formula>
    </cfRule>
    <cfRule type="expression" dxfId="75" priority="177" stopIfTrue="1">
      <formula>$C20=1</formula>
    </cfRule>
  </conditionalFormatting>
  <conditionalFormatting sqref="AC18">
    <cfRule type="expression" dxfId="74" priority="95" stopIfTrue="1">
      <formula>AND(ISNUMBER(AB20),AB20&gt;=$N18)</formula>
    </cfRule>
    <cfRule type="expression" dxfId="73" priority="96" stopIfTrue="1">
      <formula>$B20=FALSE</formula>
    </cfRule>
    <cfRule type="expression" dxfId="72" priority="97" stopIfTrue="1">
      <formula>$C20=1</formula>
    </cfRule>
  </conditionalFormatting>
  <conditionalFormatting sqref="AC12">
    <cfRule type="expression" dxfId="71" priority="110" stopIfTrue="1">
      <formula>AND(ISNUMBER(AB13),AB13&gt;=$N11)</formula>
    </cfRule>
    <cfRule type="cellIs" dxfId="70" priority="111" stopIfTrue="1" operator="notBetween">
      <formula>0</formula>
      <formula>1</formula>
    </cfRule>
  </conditionalFormatting>
  <conditionalFormatting sqref="AC13">
    <cfRule type="expression" dxfId="69" priority="112" stopIfTrue="1">
      <formula>AND(ISNUMBER(AB13),AB13&gt;=$N11)</formula>
    </cfRule>
    <cfRule type="cellIs" dxfId="68" priority="113" stopIfTrue="1" operator="notBetween">
      <formula>0</formula>
      <formula>$N11</formula>
    </cfRule>
  </conditionalFormatting>
  <conditionalFormatting sqref="AC14">
    <cfRule type="expression" dxfId="67" priority="114" stopIfTrue="1">
      <formula>AND(ISNUMBER(AB17),AB17&gt;=$N14)</formula>
    </cfRule>
  </conditionalFormatting>
  <conditionalFormatting sqref="AC15">
    <cfRule type="expression" dxfId="66" priority="115" stopIfTrue="1">
      <formula>AND(ISNUMBER(AB17),AB17&gt;=$N14)</formula>
    </cfRule>
  </conditionalFormatting>
  <conditionalFormatting sqref="AC16">
    <cfRule type="expression" dxfId="65" priority="116" stopIfTrue="1">
      <formula>AND(ISNUMBER(AB17),AB17&gt;=$N14)</formula>
    </cfRule>
    <cfRule type="cellIs" dxfId="64" priority="117" stopIfTrue="1" operator="notBetween">
      <formula>0</formula>
      <formula>1</formula>
    </cfRule>
  </conditionalFormatting>
  <conditionalFormatting sqref="AC17">
    <cfRule type="expression" dxfId="63" priority="118" stopIfTrue="1">
      <formula>AND(ISNUMBER(AB17),AB17&gt;=$N14)</formula>
    </cfRule>
    <cfRule type="cellIs" dxfId="62" priority="119" stopIfTrue="1" operator="notBetween">
      <formula>0</formula>
      <formula>$N14</formula>
    </cfRule>
  </conditionalFormatting>
  <conditionalFormatting sqref="AC11">
    <cfRule type="expression" dxfId="61" priority="107" stopIfTrue="1">
      <formula>AND(ISNUMBER(AB13),AB13&gt;=$N11)</formula>
    </cfRule>
    <cfRule type="expression" dxfId="60" priority="108" stopIfTrue="1">
      <formula>$B13=FALSE</formula>
    </cfRule>
    <cfRule type="expression" dxfId="59" priority="109" stopIfTrue="1">
      <formula>$C13=1</formula>
    </cfRule>
  </conditionalFormatting>
  <conditionalFormatting sqref="AC19">
    <cfRule type="expression" dxfId="58" priority="103" stopIfTrue="1">
      <formula>AND(ISNUMBER(AB20),AB20&gt;=$N18)</formula>
    </cfRule>
    <cfRule type="cellIs" dxfId="57" priority="104" stopIfTrue="1" operator="notBetween">
      <formula>0</formula>
      <formula>1</formula>
    </cfRule>
  </conditionalFormatting>
  <conditionalFormatting sqref="AC20">
    <cfRule type="expression" dxfId="56" priority="105" stopIfTrue="1">
      <formula>AND(ISNUMBER(AB20),AB20&gt;=$N18)</formula>
    </cfRule>
    <cfRule type="cellIs" dxfId="55" priority="106" stopIfTrue="1" operator="notBetween">
      <formula>0</formula>
      <formula>$N18</formula>
    </cfRule>
  </conditionalFormatting>
  <conditionalFormatting sqref="AC10">
    <cfRule type="expression" dxfId="54" priority="98" stopIfTrue="1">
      <formula>1=1</formula>
    </cfRule>
  </conditionalFormatting>
  <conditionalFormatting sqref="L21:N21 L24:N24 L27:N27 L22:M23 L25:M26">
    <cfRule type="expression" dxfId="53" priority="79" stopIfTrue="1">
      <formula>$C23=1</formula>
    </cfRule>
  </conditionalFormatting>
  <conditionalFormatting sqref="O21 O24 O27">
    <cfRule type="expression" dxfId="52" priority="84" stopIfTrue="1">
      <formula>$B23=FALSE</formula>
    </cfRule>
    <cfRule type="expression" dxfId="51" priority="85" stopIfTrue="1">
      <formula>$C23=1</formula>
    </cfRule>
  </conditionalFormatting>
  <conditionalFormatting sqref="P22:W22 P25:W25 P28:W28">
    <cfRule type="expression" dxfId="50" priority="80" stopIfTrue="1">
      <formula>AND(ISNUMBER(O23),O23&gt;=$N21)</formula>
    </cfRule>
    <cfRule type="cellIs" dxfId="49" priority="81" stopIfTrue="1" operator="notBetween">
      <formula>0</formula>
      <formula>1</formula>
    </cfRule>
  </conditionalFormatting>
  <conditionalFormatting sqref="P23:W23 P26:W26 P29:W29">
    <cfRule type="expression" dxfId="48" priority="82" stopIfTrue="1">
      <formula>AND(ISNUMBER(O23),O23&gt;=$N21)</formula>
    </cfRule>
    <cfRule type="cellIs" dxfId="47" priority="83" stopIfTrue="1" operator="notBetween">
      <formula>0</formula>
      <formula>$N21</formula>
    </cfRule>
  </conditionalFormatting>
  <conditionalFormatting sqref="P21:W21 P24:W24 P27:W27">
    <cfRule type="expression" dxfId="46" priority="76" stopIfTrue="1">
      <formula>AND(ISNUMBER(O23),O23&gt;=$N21)</formula>
    </cfRule>
    <cfRule type="expression" dxfId="45" priority="77" stopIfTrue="1">
      <formula>$B23=FALSE</formula>
    </cfRule>
    <cfRule type="expression" dxfId="44" priority="78" stopIfTrue="1">
      <formula>$C23=1</formula>
    </cfRule>
  </conditionalFormatting>
  <conditionalFormatting sqref="AC22 AC25 AC28">
    <cfRule type="expression" dxfId="43" priority="72" stopIfTrue="1">
      <formula>AND(ISNUMBER(AB23),AB23&gt;=$N21)</formula>
    </cfRule>
    <cfRule type="cellIs" dxfId="42" priority="73" stopIfTrue="1" operator="notBetween">
      <formula>0</formula>
      <formula>1</formula>
    </cfRule>
  </conditionalFormatting>
  <conditionalFormatting sqref="AC23 AC26 AC29">
    <cfRule type="expression" dxfId="41" priority="74" stopIfTrue="1">
      <formula>AND(ISNUMBER(AB23),AB23&gt;=$N21)</formula>
    </cfRule>
    <cfRule type="cellIs" dxfId="40" priority="75" stopIfTrue="1" operator="notBetween">
      <formula>0</formula>
      <formula>$N21</formula>
    </cfRule>
  </conditionalFormatting>
  <conditionalFormatting sqref="AC21 AC24 AC27">
    <cfRule type="expression" dxfId="39" priority="69" stopIfTrue="1">
      <formula>AND(ISNUMBER(AB23),AB23&gt;=$N21)</formula>
    </cfRule>
    <cfRule type="expression" dxfId="38" priority="70" stopIfTrue="1">
      <formula>$B23=FALSE</formula>
    </cfRule>
    <cfRule type="expression" dxfId="37" priority="71" stopIfTrue="1">
      <formula>$C23=1</formula>
    </cfRule>
  </conditionalFormatting>
  <conditionalFormatting sqref="L28:M29">
    <cfRule type="expression" dxfId="36" priority="2147" stopIfTrue="1">
      <formula>#REF!=1</formula>
    </cfRule>
  </conditionalFormatting>
  <conditionalFormatting sqref="L30:N30">
    <cfRule type="expression" dxfId="35" priority="62" stopIfTrue="1">
      <formula>$C32=1</formula>
    </cfRule>
  </conditionalFormatting>
  <conditionalFormatting sqref="O30">
    <cfRule type="expression" dxfId="34" priority="67" stopIfTrue="1">
      <formula>$B32=FALSE</formula>
    </cfRule>
    <cfRule type="expression" dxfId="33" priority="68" stopIfTrue="1">
      <formula>$C32=1</formula>
    </cfRule>
  </conditionalFormatting>
  <conditionalFormatting sqref="P31:W31">
    <cfRule type="expression" dxfId="32" priority="63" stopIfTrue="1">
      <formula>AND(ISNUMBER(O32),O32&gt;=$N30)</formula>
    </cfRule>
    <cfRule type="cellIs" dxfId="31" priority="64" stopIfTrue="1" operator="notBetween">
      <formula>0</formula>
      <formula>1</formula>
    </cfRule>
  </conditionalFormatting>
  <conditionalFormatting sqref="P32:W32">
    <cfRule type="expression" dxfId="30" priority="65" stopIfTrue="1">
      <formula>AND(ISNUMBER(O32),O32&gt;=$N30)</formula>
    </cfRule>
    <cfRule type="cellIs" dxfId="29" priority="66" stopIfTrue="1" operator="notBetween">
      <formula>0</formula>
      <formula>$N30</formula>
    </cfRule>
  </conditionalFormatting>
  <conditionalFormatting sqref="P30:W30">
    <cfRule type="expression" dxfId="28" priority="59" stopIfTrue="1">
      <formula>AND(ISNUMBER(O32),O32&gt;=$N30)</formula>
    </cfRule>
    <cfRule type="expression" dxfId="27" priority="60" stopIfTrue="1">
      <formula>$B32=FALSE</formula>
    </cfRule>
    <cfRule type="expression" dxfId="26" priority="61" stopIfTrue="1">
      <formula>$C32=1</formula>
    </cfRule>
  </conditionalFormatting>
  <conditionalFormatting sqref="AC31">
    <cfRule type="expression" dxfId="25" priority="55" stopIfTrue="1">
      <formula>AND(ISNUMBER(AB32),AB32&gt;=$N30)</formula>
    </cfRule>
    <cfRule type="cellIs" dxfId="24" priority="56" stopIfTrue="1" operator="notBetween">
      <formula>0</formula>
      <formula>1</formula>
    </cfRule>
  </conditionalFormatting>
  <conditionalFormatting sqref="AC32">
    <cfRule type="expression" dxfId="23" priority="57" stopIfTrue="1">
      <formula>AND(ISNUMBER(AB32),AB32&gt;=$N30)</formula>
    </cfRule>
    <cfRule type="cellIs" dxfId="22" priority="58" stopIfTrue="1" operator="notBetween">
      <formula>0</formula>
      <formula>$N30</formula>
    </cfRule>
  </conditionalFormatting>
  <conditionalFormatting sqref="AC30">
    <cfRule type="expression" dxfId="21" priority="52" stopIfTrue="1">
      <formula>AND(ISNUMBER(AB32),AB32&gt;=$N30)</formula>
    </cfRule>
    <cfRule type="expression" dxfId="20" priority="53" stopIfTrue="1">
      <formula>$B32=FALSE</formula>
    </cfRule>
    <cfRule type="expression" dxfId="19" priority="54" stopIfTrue="1">
      <formula>$C32=1</formula>
    </cfRule>
  </conditionalFormatting>
  <conditionalFormatting sqref="L31:M32">
    <cfRule type="expression" dxfId="18" priority="2621" stopIfTrue="1">
      <formula>#REF!=1</formula>
    </cfRule>
  </conditionalFormatting>
  <conditionalFormatting sqref="L33:N33">
    <cfRule type="expression" dxfId="17" priority="45" stopIfTrue="1">
      <formula>$C35=1</formula>
    </cfRule>
  </conditionalFormatting>
  <conditionalFormatting sqref="O33">
    <cfRule type="expression" dxfId="16" priority="50" stopIfTrue="1">
      <formula>$B35=FALSE</formula>
    </cfRule>
    <cfRule type="expression" dxfId="15" priority="51" stopIfTrue="1">
      <formula>$C35=1</formula>
    </cfRule>
  </conditionalFormatting>
  <conditionalFormatting sqref="P34:W34">
    <cfRule type="expression" dxfId="14" priority="46" stopIfTrue="1">
      <formula>AND(ISNUMBER(O35),O35&gt;=$N33)</formula>
    </cfRule>
    <cfRule type="cellIs" dxfId="13" priority="47" stopIfTrue="1" operator="notBetween">
      <formula>0</formula>
      <formula>1</formula>
    </cfRule>
  </conditionalFormatting>
  <conditionalFormatting sqref="P35:W35">
    <cfRule type="expression" dxfId="12" priority="48" stopIfTrue="1">
      <formula>AND(ISNUMBER(O35),O35&gt;=$N33)</formula>
    </cfRule>
    <cfRule type="cellIs" dxfId="11" priority="49" stopIfTrue="1" operator="notBetween">
      <formula>0</formula>
      <formula>$N33</formula>
    </cfRule>
  </conditionalFormatting>
  <conditionalFormatting sqref="P33:W33">
    <cfRule type="expression" dxfId="10" priority="42" stopIfTrue="1">
      <formula>AND(ISNUMBER(O35),O35&gt;=$N33)</formula>
    </cfRule>
    <cfRule type="expression" dxfId="9" priority="43" stopIfTrue="1">
      <formula>$B35=FALSE</formula>
    </cfRule>
    <cfRule type="expression" dxfId="8" priority="44" stopIfTrue="1">
      <formula>$C35=1</formula>
    </cfRule>
  </conditionalFormatting>
  <conditionalFormatting sqref="AC34">
    <cfRule type="expression" dxfId="7" priority="38" stopIfTrue="1">
      <formula>AND(ISNUMBER(AB35),AB35&gt;=$N33)</formula>
    </cfRule>
    <cfRule type="cellIs" dxfId="6" priority="39" stopIfTrue="1" operator="notBetween">
      <formula>0</formula>
      <formula>1</formula>
    </cfRule>
  </conditionalFormatting>
  <conditionalFormatting sqref="AC35">
    <cfRule type="expression" dxfId="5" priority="40" stopIfTrue="1">
      <formula>AND(ISNUMBER(AB35),AB35&gt;=$N33)</formula>
    </cfRule>
    <cfRule type="cellIs" dxfId="4" priority="41" stopIfTrue="1" operator="notBetween">
      <formula>0</formula>
      <formula>$N33</formula>
    </cfRule>
  </conditionalFormatting>
  <conditionalFormatting sqref="AC33">
    <cfRule type="expression" dxfId="3" priority="35" stopIfTrue="1">
      <formula>AND(ISNUMBER(AB35),AB35&gt;=$N33)</formula>
    </cfRule>
    <cfRule type="expression" dxfId="2" priority="36" stopIfTrue="1">
      <formula>$B35=FALSE</formula>
    </cfRule>
    <cfRule type="expression" dxfId="1" priority="37" stopIfTrue="1">
      <formula>$C35=1</formula>
    </cfRule>
  </conditionalFormatting>
  <conditionalFormatting sqref="L34:M35">
    <cfRule type="expression" dxfId="0" priority="2798"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400-000000000000}">
      <formula1>0</formula1>
    </dataValidation>
    <dataValidation type="decimal" allowBlank="1" showInputMessage="1" showErrorMessage="1" errorTitle="Erro de Dados" error="Digite valores maiores ou iguais à 0%. O % acumulado não deve ultrapassar 100%." sqref="P11:W11 P18:W18 AC11 AC18 P21:W21 P24:W24 P27:W27 AC21 AC24 AC27 P30:W30 AC30 P33:W33 AC33" xr:uid="{00000000-0002-0000-0400-000001000000}">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0" fitToWidth="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60</vt:i4>
      </vt:variant>
    </vt:vector>
  </HeadingPairs>
  <TitlesOfParts>
    <vt:vector size="66"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 do Windows</dc:creator>
  <cp:lastModifiedBy>Licitações 01</cp:lastModifiedBy>
  <cp:lastPrinted>2026-01-13T18:38:40Z</cp:lastPrinted>
  <dcterms:created xsi:type="dcterms:W3CDTF">1998-03-27T18:43:07Z</dcterms:created>
  <dcterms:modified xsi:type="dcterms:W3CDTF">2026-06-26T12:20:47Z</dcterms:modified>
</cp:coreProperties>
</file>