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/>
  <mc:AlternateContent xmlns:mc="http://schemas.openxmlformats.org/markup-compatibility/2006">
    <mc:Choice Requires="x15">
      <x15ac:absPath xmlns:x15ac="http://schemas.microsoft.com/office/spreadsheetml/2010/11/ac" url="C:\Users\Verita\Documents\Prefeituras\Protassio Alves\Limpeza de Ruas\2026\"/>
    </mc:Choice>
  </mc:AlternateContent>
  <xr:revisionPtr revIDLastSave="0" documentId="13_ncr:1_{D71206B9-FB69-4283-B9AB-B8EC1D08DAE8}" xr6:coauthVersionLast="36" xr6:coauthVersionMax="36" xr10:uidLastSave="{00000000-0000-0000-0000-000000000000}"/>
  <bookViews>
    <workbookView xWindow="0" yWindow="0" windowWidth="16380" windowHeight="8190" tabRatio="500" activeTab="3" xr2:uid="{00000000-000D-0000-FFFF-FFFF00000000}"/>
  </bookViews>
  <sheets>
    <sheet name="1. Coleta Domiciliar" sheetId="1" r:id="rId1"/>
    <sheet name="2.Encargos Sociais" sheetId="2" r:id="rId2"/>
    <sheet name="3.CAGED" sheetId="3" r:id="rId3"/>
    <sheet name="4.BDI" sheetId="4" r:id="rId4"/>
    <sheet name="5. Depreciação" sheetId="5" r:id="rId5"/>
    <sheet name="6.Remuneração de capital" sheetId="6" r:id="rId6"/>
    <sheet name="7. Dimensionamento" sheetId="7" r:id="rId7"/>
  </sheets>
  <definedNames>
    <definedName name="AbaDeprec">'5. Depreciação'!$A$1</definedName>
    <definedName name="AbaRemun">'6.Remuneração de capital'!$A$1</definedName>
    <definedName name="_xlnm.Print_Area" localSheetId="0">'1. Coleta Domiciliar'!$A$3:$F$315</definedName>
    <definedName name="_xlnm.Print_Area" localSheetId="1">'2.Encargos Sociais'!$A$1:$C$39</definedName>
    <definedName name="_xlnm.Print_Titles" localSheetId="0">'1. Coleta Domiciliar'!$1:$3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21" i="7" l="1"/>
  <c r="C13" i="7"/>
  <c r="C14" i="7" s="1"/>
  <c r="C20" i="4"/>
  <c r="C15" i="4"/>
  <c r="F13" i="4"/>
  <c r="E13" i="4"/>
  <c r="D13" i="4"/>
  <c r="C27" i="3"/>
  <c r="C30" i="2" s="1"/>
  <c r="C26" i="3"/>
  <c r="C25" i="3"/>
  <c r="C23" i="3"/>
  <c r="C31" i="2"/>
  <c r="C20" i="2"/>
  <c r="C17" i="2"/>
  <c r="C304" i="1"/>
  <c r="E295" i="1"/>
  <c r="E294" i="1"/>
  <c r="E293" i="1"/>
  <c r="E292" i="1"/>
  <c r="F295" i="1" s="1"/>
  <c r="F297" i="1" s="1"/>
  <c r="E27" i="1" s="1"/>
  <c r="E291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F284" i="1" s="1"/>
  <c r="F286" i="1" s="1"/>
  <c r="E26" i="1" s="1"/>
  <c r="C254" i="1"/>
  <c r="C252" i="1"/>
  <c r="E252" i="1" s="1"/>
  <c r="D253" i="1" s="1"/>
  <c r="E253" i="1" s="1"/>
  <c r="D254" i="1" s="1"/>
  <c r="E250" i="1"/>
  <c r="C245" i="1"/>
  <c r="E245" i="1" s="1"/>
  <c r="F246" i="1" s="1"/>
  <c r="E24" i="1" s="1"/>
  <c r="D239" i="1"/>
  <c r="E239" i="1" s="1"/>
  <c r="C239" i="1"/>
  <c r="D237" i="1"/>
  <c r="C237" i="1"/>
  <c r="E237" i="1" s="1"/>
  <c r="D235" i="1"/>
  <c r="C235" i="1"/>
  <c r="E235" i="1" s="1"/>
  <c r="E233" i="1"/>
  <c r="D233" i="1"/>
  <c r="C233" i="1"/>
  <c r="D231" i="1"/>
  <c r="E231" i="1" s="1"/>
  <c r="F241" i="1" s="1"/>
  <c r="E23" i="1" s="1"/>
  <c r="C231" i="1"/>
  <c r="E223" i="1"/>
  <c r="C221" i="1"/>
  <c r="E221" i="1" s="1"/>
  <c r="E220" i="1"/>
  <c r="C220" i="1"/>
  <c r="C219" i="1"/>
  <c r="E215" i="1"/>
  <c r="C214" i="1"/>
  <c r="C209" i="1"/>
  <c r="E208" i="1"/>
  <c r="D208" i="1"/>
  <c r="C208" i="1"/>
  <c r="D203" i="1"/>
  <c r="E203" i="1" s="1"/>
  <c r="E199" i="1"/>
  <c r="C196" i="1"/>
  <c r="C195" i="1"/>
  <c r="E192" i="1"/>
  <c r="C210" i="1" s="1"/>
  <c r="C211" i="1" s="1"/>
  <c r="D212" i="1" s="1"/>
  <c r="E212" i="1" s="1"/>
  <c r="C192" i="1"/>
  <c r="C191" i="1"/>
  <c r="C190" i="1"/>
  <c r="E187" i="1"/>
  <c r="C205" i="1" s="1"/>
  <c r="E177" i="1"/>
  <c r="E175" i="1"/>
  <c r="E174" i="1"/>
  <c r="D174" i="1"/>
  <c r="D173" i="1"/>
  <c r="E173" i="1" s="1"/>
  <c r="E172" i="1"/>
  <c r="D172" i="1"/>
  <c r="D171" i="1"/>
  <c r="E171" i="1" s="1"/>
  <c r="E170" i="1"/>
  <c r="D170" i="1"/>
  <c r="D169" i="1"/>
  <c r="E169" i="1" s="1"/>
  <c r="D176" i="1" s="1"/>
  <c r="E164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D163" i="1" s="1"/>
  <c r="E146" i="1"/>
  <c r="E145" i="1"/>
  <c r="E136" i="1"/>
  <c r="C135" i="1"/>
  <c r="E135" i="1" s="1"/>
  <c r="A135" i="1"/>
  <c r="A134" i="1"/>
  <c r="C124" i="1"/>
  <c r="D123" i="1"/>
  <c r="C123" i="1"/>
  <c r="E117" i="1"/>
  <c r="D112" i="1"/>
  <c r="E112" i="1" s="1"/>
  <c r="C112" i="1"/>
  <c r="C109" i="1"/>
  <c r="D107" i="1"/>
  <c r="E107" i="1" s="1"/>
  <c r="C106" i="1"/>
  <c r="E106" i="1" s="1"/>
  <c r="D103" i="1"/>
  <c r="C103" i="1"/>
  <c r="E103" i="1" s="1"/>
  <c r="D101" i="1"/>
  <c r="D100" i="1"/>
  <c r="D106" i="1" s="1"/>
  <c r="E96" i="1"/>
  <c r="D91" i="1"/>
  <c r="E91" i="1" s="1"/>
  <c r="D87" i="1"/>
  <c r="E87" i="1" s="1"/>
  <c r="D85" i="1"/>
  <c r="D88" i="1" s="1"/>
  <c r="E88" i="1" s="1"/>
  <c r="E81" i="1"/>
  <c r="C76" i="1"/>
  <c r="C74" i="1"/>
  <c r="C71" i="1"/>
  <c r="D68" i="1"/>
  <c r="E68" i="1" s="1"/>
  <c r="C68" i="1"/>
  <c r="D66" i="1"/>
  <c r="D72" i="1" s="1"/>
  <c r="E72" i="1" s="1"/>
  <c r="E62" i="1"/>
  <c r="E57" i="1"/>
  <c r="D54" i="1"/>
  <c r="E54" i="1" s="1"/>
  <c r="E53" i="1"/>
  <c r="D55" i="1" s="1"/>
  <c r="E55" i="1" s="1"/>
  <c r="D53" i="1"/>
  <c r="E52" i="1"/>
  <c r="E43" i="1"/>
  <c r="A43" i="1"/>
  <c r="E38" i="1"/>
  <c r="C176" i="1" s="1"/>
  <c r="E176" i="1" s="1"/>
  <c r="F177" i="1" s="1"/>
  <c r="A38" i="1"/>
  <c r="E37" i="1"/>
  <c r="A37" i="1"/>
  <c r="E36" i="1"/>
  <c r="A36" i="1"/>
  <c r="E35" i="1"/>
  <c r="E40" i="1" s="1"/>
  <c r="D313" i="1" s="1"/>
  <c r="A35" i="1"/>
  <c r="A30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C163" i="1" l="1"/>
  <c r="E123" i="1"/>
  <c r="E74" i="1"/>
  <c r="D89" i="1"/>
  <c r="E89" i="1" s="1"/>
  <c r="D56" i="1"/>
  <c r="E56" i="1" s="1"/>
  <c r="E58" i="1" s="1"/>
  <c r="E254" i="1"/>
  <c r="F255" i="1" s="1"/>
  <c r="E25" i="1" s="1"/>
  <c r="C17" i="7"/>
  <c r="C22" i="7" s="1"/>
  <c r="C24" i="7" s="1"/>
  <c r="C15" i="7"/>
  <c r="E163" i="1"/>
  <c r="F164" i="1" s="1"/>
  <c r="F179" i="1" s="1"/>
  <c r="E17" i="1" s="1"/>
  <c r="D219" i="1"/>
  <c r="E219" i="1" s="1"/>
  <c r="D222" i="1" s="1"/>
  <c r="E222" i="1" s="1"/>
  <c r="F223" i="1" s="1"/>
  <c r="E22" i="1" s="1"/>
  <c r="D69" i="1"/>
  <c r="E69" i="1" s="1"/>
  <c r="D74" i="1"/>
  <c r="C129" i="1"/>
  <c r="E129" i="1" s="1"/>
  <c r="F130" i="1" s="1"/>
  <c r="E15" i="1" s="1"/>
  <c r="D190" i="1"/>
  <c r="E190" i="1" s="1"/>
  <c r="D195" i="1"/>
  <c r="E195" i="1" s="1"/>
  <c r="D196" i="1" s="1"/>
  <c r="E196" i="1" s="1"/>
  <c r="D240" i="1"/>
  <c r="C28" i="3"/>
  <c r="E85" i="1"/>
  <c r="D104" i="1"/>
  <c r="E104" i="1" s="1"/>
  <c r="D109" i="1"/>
  <c r="E109" i="1" s="1"/>
  <c r="C33" i="3"/>
  <c r="C27" i="2" s="1"/>
  <c r="D71" i="1"/>
  <c r="E71" i="1" s="1"/>
  <c r="E39" i="1"/>
  <c r="E66" i="1"/>
  <c r="E100" i="1"/>
  <c r="C134" i="1"/>
  <c r="E134" i="1" s="1"/>
  <c r="F136" i="1" s="1"/>
  <c r="D59" i="1" l="1"/>
  <c r="D191" i="1"/>
  <c r="E191" i="1" s="1"/>
  <c r="E197" i="1" s="1"/>
  <c r="D198" i="1" s="1"/>
  <c r="E198" i="1" s="1"/>
  <c r="F199" i="1" s="1"/>
  <c r="C206" i="1"/>
  <c r="D207" i="1" s="1"/>
  <c r="E207" i="1" s="1"/>
  <c r="E213" i="1" s="1"/>
  <c r="D214" i="1" s="1"/>
  <c r="E214" i="1" s="1"/>
  <c r="F215" i="1" s="1"/>
  <c r="E21" i="1" s="1"/>
  <c r="D75" i="1"/>
  <c r="E75" i="1" s="1"/>
  <c r="D76" i="1" s="1"/>
  <c r="E76" i="1" s="1"/>
  <c r="E16" i="1"/>
  <c r="D124" i="1"/>
  <c r="E124" i="1" s="1"/>
  <c r="F125" i="1" s="1"/>
  <c r="E14" i="1" s="1"/>
  <c r="E92" i="1"/>
  <c r="C28" i="2"/>
  <c r="C32" i="2" s="1"/>
  <c r="C19" i="2"/>
  <c r="C25" i="2" s="1"/>
  <c r="C34" i="2" s="1"/>
  <c r="C36" i="2" s="1"/>
  <c r="C29" i="2"/>
  <c r="C35" i="2"/>
  <c r="D110" i="1"/>
  <c r="E110" i="1" s="1"/>
  <c r="E113" i="1"/>
  <c r="E77" i="1" l="1"/>
  <c r="D114" i="1"/>
  <c r="C37" i="2"/>
  <c r="E20" i="1"/>
  <c r="F258" i="1"/>
  <c r="E18" i="1" s="1"/>
  <c r="D93" i="1"/>
  <c r="E19" i="1" l="1"/>
  <c r="C93" i="1"/>
  <c r="E93" i="1" s="1"/>
  <c r="E94" i="1" s="1"/>
  <c r="D95" i="1" s="1"/>
  <c r="E95" i="1" s="1"/>
  <c r="F96" i="1" s="1"/>
  <c r="E12" i="1" s="1"/>
  <c r="C59" i="1"/>
  <c r="E59" i="1" s="1"/>
  <c r="E60" i="1" s="1"/>
  <c r="D61" i="1" s="1"/>
  <c r="E61" i="1" s="1"/>
  <c r="F62" i="1" s="1"/>
  <c r="E10" i="1" s="1"/>
  <c r="C114" i="1"/>
  <c r="C78" i="1"/>
  <c r="E114" i="1"/>
  <c r="E115" i="1" s="1"/>
  <c r="D116" i="1" s="1"/>
  <c r="E116" i="1" s="1"/>
  <c r="F117" i="1" s="1"/>
  <c r="D78" i="1"/>
  <c r="E13" i="1" l="1"/>
  <c r="E78" i="1"/>
  <c r="E79" i="1" s="1"/>
  <c r="D80" i="1" s="1"/>
  <c r="E80" i="1" s="1"/>
  <c r="F81" i="1" s="1"/>
  <c r="E11" i="1" s="1"/>
  <c r="F138" i="1" l="1"/>
  <c r="F299" i="1" l="1"/>
  <c r="E9" i="1"/>
  <c r="D304" i="1" l="1"/>
  <c r="E304" i="1" s="1"/>
  <c r="F305" i="1" s="1"/>
  <c r="F307" i="1" s="1"/>
  <c r="E28" i="1" s="1"/>
  <c r="F310" i="1" l="1"/>
  <c r="F315" i="1" s="1"/>
  <c r="E29" i="1"/>
  <c r="E30" i="1" l="1"/>
  <c r="F27" i="1"/>
  <c r="F24" i="1"/>
  <c r="F26" i="1"/>
  <c r="F23" i="1"/>
  <c r="F22" i="1"/>
  <c r="F25" i="1"/>
  <c r="F15" i="1"/>
  <c r="F17" i="1"/>
  <c r="F21" i="1"/>
  <c r="F14" i="1"/>
  <c r="F16" i="1"/>
  <c r="F20" i="1"/>
  <c r="F18" i="1"/>
  <c r="F12" i="1"/>
  <c r="F10" i="1"/>
  <c r="F19" i="1"/>
  <c r="F11" i="1"/>
  <c r="F13" i="1"/>
  <c r="F9" i="1"/>
  <c r="F28" i="1"/>
  <c r="F2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7" authorId="0" shapeId="0" xr:uid="{00000000-0006-0000-0000-000001000000}">
      <text>
        <r>
          <rPr>
            <sz val="10"/>
            <rFont val="Arial"/>
            <family val="2"/>
          </rPr>
          <t xml:space="preserve">Qualquer custo previsto no edital e não contemplado nesta planilha modelo deverá ser devidamente incluído
</t>
        </r>
      </text>
    </comment>
    <comment ref="B46" authorId="0" shapeId="0" xr:uid="{00000000-0006-0000-0000-000007000000}">
      <text>
        <r>
          <rPr>
            <sz val="10"/>
            <rFont val="Arial"/>
            <family val="2"/>
          </rPr>
          <t xml:space="preserve">Informar o fator de utilização das equipes de coleta. 
Por exemplo:
Equipes com utilização integral = 100%
Equipes com utilização parcial = n° horas trabalhadas por semana /44 horas
</t>
        </r>
      </text>
    </comment>
    <comment ref="D52" authorId="0" shapeId="0" xr:uid="{00000000-0006-0000-0000-000047000000}">
      <text>
        <r>
          <rPr>
            <sz val="10"/>
            <rFont val="Arial"/>
            <family val="2"/>
          </rPr>
          <t>Informar o Piso da categoria fixado na Convenção Coletiva</t>
        </r>
      </text>
    </comment>
    <comment ref="C53" authorId="0" shapeId="0" xr:uid="{00000000-0006-0000-0000-000009000000}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</comment>
    <comment ref="C54" authorId="0" shapeId="0" xr:uid="{00000000-0006-0000-0000-00000A000000}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A55" authorId="0" shapeId="0" xr:uid="{00000000-0006-0000-0000-000002000000}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59" authorId="0" shapeId="0" xr:uid="{00000000-0006-0000-0000-00000B000000}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61" authorId="0" shapeId="0" xr:uid="{00000000-0006-0000-0000-00000C000000}">
      <text>
        <r>
          <rPr>
            <sz val="10"/>
            <rFont val="Arial"/>
            <family val="2"/>
          </rPr>
          <t>Informar a quantidade de trabalhadores na função</t>
        </r>
      </text>
    </comment>
    <comment ref="C67" authorId="0" shapeId="0" xr:uid="{00000000-0006-0000-0000-00000D000000}">
      <text>
        <r>
          <rPr>
            <sz val="10"/>
            <rFont val="Arial"/>
            <family val="2"/>
          </rPr>
          <t>Informar o número de horas noturnas trabalhadas no intervalo das 22:00h as 5:00h</t>
        </r>
      </text>
    </comment>
    <comment ref="C69" authorId="0" shapeId="0" xr:uid="{00000000-0006-0000-0000-00000E000000}">
      <text>
        <r>
          <rPr>
            <sz val="10"/>
            <rFont val="Arial"/>
            <family val="2"/>
          </rPr>
          <t>Informar o número de horas extras trabalhadas em horário diurno nos domingos e feriados</t>
        </r>
      </text>
    </comment>
    <comment ref="C70" authorId="0" shapeId="0" xr:uid="{00000000-0006-0000-0000-00000F000000}">
      <text>
        <r>
          <rPr>
            <sz val="10"/>
            <rFont val="Arial"/>
            <family val="2"/>
          </rPr>
          <t xml:space="preserve">Informar o número de horas extras trabalhadas em horário noturno (das 22:00h as 5h) nos domingos e feriados
</t>
        </r>
      </text>
    </comment>
    <comment ref="C72" authorId="0" shapeId="0" xr:uid="{00000000-0006-0000-0000-000010000000}">
      <text>
        <r>
          <rPr>
            <sz val="10"/>
            <rFont val="Arial"/>
            <family val="2"/>
          </rPr>
          <t>Informar o número de horas extras trabalhadas em horário noturno de segunda à sábado</t>
        </r>
      </text>
    </comment>
    <comment ref="C73" authorId="0" shapeId="0" xr:uid="{00000000-0006-0000-0000-000011000000}">
      <text>
        <r>
          <rPr>
            <sz val="10"/>
            <rFont val="Arial"/>
            <family val="2"/>
          </rPr>
          <t>Informar o número de horas extras trabalhadas em horário noturno (das 22:00h as 5h) de segunda a sábado</t>
        </r>
      </text>
    </comment>
    <comment ref="A75" authorId="0" shapeId="0" xr:uid="{00000000-0006-0000-0000-000003000000}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Considerados 63 feriados + domingos e 302 dias trabalhados por ano
</t>
        </r>
      </text>
    </comment>
    <comment ref="C78" authorId="0" shapeId="0" xr:uid="{00000000-0006-0000-0000-000012000000}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80" authorId="0" shapeId="0" xr:uid="{00000000-0006-0000-0000-000013000000}">
      <text>
        <r>
          <rPr>
            <sz val="10"/>
            <rFont val="Arial"/>
            <family val="2"/>
          </rPr>
          <t>Informar a quantidade de trabalhadores na função</t>
        </r>
      </text>
    </comment>
    <comment ref="D85" authorId="0" shapeId="0" xr:uid="{00000000-0006-0000-0000-000048000000}">
      <text>
        <r>
          <rPr>
            <sz val="10"/>
            <rFont val="Arial"/>
            <family val="2"/>
          </rPr>
          <t>Informar o Piso da categoria fixado na Convenção Coletiva</t>
        </r>
      </text>
    </comment>
    <comment ref="D86" authorId="0" shapeId="0" xr:uid="{00000000-0006-0000-0000-000049000000}">
      <text>
        <r>
          <rPr>
            <sz val="10"/>
            <rFont val="Arial"/>
            <family val="2"/>
          </rPr>
          <t>Informar o valor do salário Mínimo Nacional</t>
        </r>
      </text>
    </comment>
    <comment ref="C87" authorId="0" shapeId="0" xr:uid="{00000000-0006-0000-0000-000014000000}">
      <text>
        <r>
          <rPr>
            <sz val="10"/>
            <rFont val="Arial"/>
            <family val="2"/>
          </rPr>
          <t>Informar o número de horas extras trabalhadas em horário diurno nos domingos e feriados</t>
        </r>
      </text>
    </comment>
    <comment ref="C88" authorId="0" shapeId="0" xr:uid="{00000000-0006-0000-0000-000015000000}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A89" authorId="0" shapeId="0" xr:uid="{00000000-0006-0000-0000-000004000000}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90" authorId="0" shapeId="0" xr:uid="{00000000-0006-0000-0000-000016000000}">
      <text>
        <r>
          <rPr>
            <sz val="10"/>
            <rFont val="Arial"/>
            <family val="2"/>
          </rPr>
          <t xml:space="preserve">Informar 1 se a base de cálculo for o Salário Mínimo Nacional; Informar 2 se a base de cálculo for o Piso da Categoria; 
</t>
        </r>
      </text>
    </comment>
    <comment ref="C91" authorId="0" shapeId="0" xr:uid="{00000000-0006-0000-0000-000017000000}">
      <text>
        <r>
          <rPr>
            <sz val="10"/>
            <rFont val="Arial"/>
            <family val="2"/>
          </rPr>
          <t>Percentual estabelecido nas Normas de Segurança de Trabalho ou pelo laudo de responsável técnico devidamente habilitado</t>
        </r>
      </text>
    </comment>
    <comment ref="C93" authorId="0" shapeId="0" xr:uid="{00000000-0006-0000-0000-000018000000}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95" authorId="0" shapeId="0" xr:uid="{00000000-0006-0000-0000-000019000000}">
      <text>
        <r>
          <rPr>
            <sz val="10"/>
            <rFont val="Arial"/>
            <family val="2"/>
          </rPr>
          <t>Informar a quantidade de trabalhadores na função</t>
        </r>
      </text>
    </comment>
    <comment ref="C102" authorId="0" shapeId="0" xr:uid="{00000000-0006-0000-0000-00001A000000}">
      <text>
        <r>
          <rPr>
            <sz val="10"/>
            <rFont val="Arial"/>
            <family val="2"/>
          </rPr>
          <t>Informar o número de horas noturnas trabalhadas no intervalo das 22:00h as 5:00h</t>
        </r>
      </text>
    </comment>
    <comment ref="C104" authorId="0" shapeId="0" xr:uid="{00000000-0006-0000-0000-00001B000000}">
      <text>
        <r>
          <rPr>
            <sz val="10"/>
            <rFont val="Arial"/>
            <family val="2"/>
          </rPr>
          <t>Informar o número de horas extras trabalhadas em horário noturno nos domingos e feriados</t>
        </r>
      </text>
    </comment>
    <comment ref="C105" authorId="0" shapeId="0" xr:uid="{00000000-0006-0000-0000-00001C000000}">
      <text>
        <r>
          <rPr>
            <sz val="10"/>
            <rFont val="Arial"/>
            <family val="2"/>
          </rPr>
          <t xml:space="preserve">Informar o número de horas extras trabalhadas em horário noturno (das 22:00h as 5h) nos domingos e feriados
</t>
        </r>
      </text>
    </comment>
    <comment ref="C107" authorId="0" shapeId="0" xr:uid="{00000000-0006-0000-0000-00001D000000}">
      <text>
        <r>
          <rPr>
            <sz val="10"/>
            <rFont val="Arial"/>
            <family val="2"/>
          </rPr>
          <t>Informar o número de horas extras trabalhadas em horário noturno de segunda à sábado</t>
        </r>
      </text>
    </comment>
    <comment ref="C108" authorId="0" shapeId="0" xr:uid="{00000000-0006-0000-0000-00001E000000}">
      <text>
        <r>
          <rPr>
            <sz val="10"/>
            <rFont val="Arial"/>
            <family val="2"/>
          </rPr>
          <t>Informar o número de horas extras trabalhadas em horário noturno (das 22:00h as 5h) de segunda a sábado</t>
        </r>
      </text>
    </comment>
    <comment ref="A110" authorId="0" shapeId="0" xr:uid="{00000000-0006-0000-0000-000005000000}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Considerados 63 feriados + domingos e 302 dias trabalhados por ano
</t>
        </r>
      </text>
    </comment>
    <comment ref="C111" authorId="0" shapeId="0" xr:uid="{00000000-0006-0000-0000-00001F000000}">
      <text>
        <r>
          <rPr>
            <sz val="10"/>
            <rFont val="Arial"/>
            <family val="2"/>
          </rPr>
          <t xml:space="preserve">Informar 1 se a base de cálculo for o Salário Mínimo Nacional; Informar 2 se a base de cálculo for o Piso da Categoria; 
</t>
        </r>
      </text>
    </comment>
    <comment ref="C114" authorId="0" shapeId="0" xr:uid="{00000000-0006-0000-0000-000020000000}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116" authorId="0" shapeId="0" xr:uid="{00000000-0006-0000-0000-000021000000}">
      <text>
        <r>
          <rPr>
            <sz val="10"/>
            <rFont val="Arial"/>
            <family val="2"/>
          </rPr>
          <t>Informar a quantidade de trabalhadores na função</t>
        </r>
      </text>
    </comment>
    <comment ref="D121" authorId="0" shapeId="0" xr:uid="{00000000-0006-0000-0000-00004A000000}">
      <text>
        <r>
          <rPr>
            <sz val="10"/>
            <rFont val="Arial"/>
            <family val="2"/>
          </rPr>
          <t>Informar o valor unitário do VT no município</t>
        </r>
      </text>
    </comment>
    <comment ref="C122" authorId="0" shapeId="0" xr:uid="{00000000-0006-0000-0000-000022000000}">
      <text>
        <r>
          <rPr>
            <sz val="10"/>
            <rFont val="Arial"/>
            <family val="2"/>
          </rPr>
          <t>Informar o número médio de dias trabalhados por mês</t>
        </r>
      </text>
    </comment>
    <comment ref="D123" authorId="0" shapeId="0" xr:uid="{00000000-0006-0000-0000-00004B000000}">
      <text>
        <r>
          <rPr>
            <sz val="10"/>
            <rFont val="Arial"/>
            <family val="2"/>
          </rPr>
          <t>Valor Unitário considerando o desconto legal de até 6% do salário</t>
        </r>
      </text>
    </comment>
    <comment ref="D124" authorId="0" shapeId="0" xr:uid="{00000000-0006-0000-0000-00004C000000}">
      <text>
        <r>
          <rPr>
            <sz val="10"/>
            <rFont val="Arial"/>
            <family val="2"/>
          </rPr>
          <t xml:space="preserve">Valor Unitário considerando o desconto legal de até 6% do salário
</t>
        </r>
      </text>
    </comment>
    <comment ref="D129" authorId="0" shapeId="0" xr:uid="{00000000-0006-0000-0000-00004D000000}">
      <text>
        <r>
          <rPr>
            <sz val="10"/>
            <rFont val="Arial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34" authorId="0" shapeId="0" xr:uid="{00000000-0006-0000-0000-00004E000000}">
      <text>
        <r>
          <rPr>
            <sz val="10"/>
            <rFont val="Arial"/>
            <family val="2"/>
          </rPr>
          <t>Informar o valor mensal do plano de Befefício Familiar, conforme Convenção da categoria</t>
        </r>
      </text>
    </comment>
    <comment ref="D135" authorId="0" shapeId="0" xr:uid="{00000000-0006-0000-0000-00004F000000}">
      <text>
        <r>
          <rPr>
            <sz val="10"/>
            <rFont val="Arial"/>
            <family val="2"/>
          </rPr>
          <t>Informar o valor mensal do auxilio alimentação, considerando o desconto aplicável ao funcionário, conforme Convenção Coletiva da categoria</t>
        </r>
      </text>
    </comment>
    <comment ref="C145" authorId="0" shapeId="0" xr:uid="{00000000-0006-0000-0000-000023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145" authorId="0" shapeId="0" xr:uid="{00000000-0006-0000-0000-000050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146" authorId="0" shapeId="0" xr:uid="{00000000-0006-0000-0000-000024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146" authorId="0" shapeId="0" xr:uid="{00000000-0006-0000-0000-000051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147" authorId="0" shapeId="0" xr:uid="{00000000-0006-0000-0000-000025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147" authorId="0" shapeId="0" xr:uid="{00000000-0006-0000-0000-000052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148" authorId="0" shapeId="0" xr:uid="{00000000-0006-0000-0000-000026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148" authorId="0" shapeId="0" xr:uid="{00000000-0006-0000-0000-000053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149" authorId="0" shapeId="0" xr:uid="{00000000-0006-0000-0000-000027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149" authorId="0" shapeId="0" xr:uid="{00000000-0006-0000-0000-000054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150" authorId="0" shapeId="0" xr:uid="{00000000-0006-0000-0000-000028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150" authorId="0" shapeId="0" xr:uid="{00000000-0006-0000-0000-000055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151" authorId="0" shapeId="0" xr:uid="{00000000-0006-0000-0000-000029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151" authorId="0" shapeId="0" xr:uid="{00000000-0006-0000-0000-000056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152" authorId="0" shapeId="0" xr:uid="{00000000-0006-0000-0000-00002A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152" authorId="0" shapeId="0" xr:uid="{00000000-0006-0000-0000-000057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153" authorId="0" shapeId="0" xr:uid="{00000000-0006-0000-0000-00002B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153" authorId="0" shapeId="0" xr:uid="{00000000-0006-0000-0000-000058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C161" authorId="0" shapeId="0" xr:uid="{00000000-0006-0000-0000-00002C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161" authorId="0" shapeId="0" xr:uid="{00000000-0006-0000-0000-000059000000}">
      <text>
        <r>
          <rPr>
            <sz val="10"/>
            <rFont val="Arial"/>
            <family val="2"/>
          </rPr>
          <t>Informar o valor unitário estimado para aquisição de cada EPI</t>
        </r>
      </text>
    </comment>
    <comment ref="D162" authorId="0" shapeId="0" xr:uid="{00000000-0006-0000-0000-00005A000000}">
      <text>
        <r>
          <rPr>
            <sz val="10"/>
            <rFont val="Arial"/>
            <family val="2"/>
          </rPr>
          <t>Informar o valor mensal de higienização de uniforme para 1 funcionário</t>
        </r>
      </text>
    </comment>
    <comment ref="C169" authorId="0" shapeId="0" xr:uid="{00000000-0006-0000-0000-00002D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70" authorId="0" shapeId="0" xr:uid="{00000000-0006-0000-0000-00002E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71" authorId="0" shapeId="0" xr:uid="{00000000-0006-0000-0000-00002F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72" authorId="0" shapeId="0" xr:uid="{00000000-0006-0000-0000-000030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73" authorId="0" shapeId="0" xr:uid="{00000000-0006-0000-0000-000031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74" authorId="0" shapeId="0" xr:uid="{00000000-0006-0000-0000-000032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175" authorId="0" shapeId="0" xr:uid="{00000000-0006-0000-0000-00005B000000}">
      <text>
        <r>
          <rPr>
            <sz val="10"/>
            <rFont val="Arial"/>
            <family val="2"/>
          </rPr>
          <t>Informar o valor mensal de higienização de uniforme para 1 funcionário</t>
        </r>
      </text>
    </comment>
    <comment ref="D187" authorId="0" shapeId="0" xr:uid="{00000000-0006-0000-0000-00005C000000}">
      <text>
        <r>
          <rPr>
            <sz val="10"/>
            <rFont val="Arial"/>
            <family val="2"/>
          </rPr>
          <t>Informar o preço unitário do chassis do caminhão de coleta</t>
        </r>
      </text>
    </comment>
    <comment ref="C188" authorId="0" shapeId="0" xr:uid="{00000000-0006-0000-0000-000033000000}">
      <text>
        <r>
          <rPr>
            <sz val="10"/>
            <rFont val="Arial"/>
            <family val="2"/>
          </rPr>
          <t>Informar a vida útil estimada para o caminhão, em anos</t>
        </r>
      </text>
    </comment>
    <comment ref="C189" authorId="0" shapeId="0" xr:uid="{00000000-0006-0000-0000-000034000000}">
      <text>
        <r>
          <rPr>
            <sz val="10"/>
            <rFont val="Arial"/>
            <family val="2"/>
          </rPr>
          <t>Na elaboração do orçamento-base da licitação, informar 0 (zero). Na proposta da licitante, informar a idade do veículo proposto.</t>
        </r>
      </text>
    </comment>
    <comment ref="C190" authorId="0" shapeId="0" xr:uid="{00000000-0006-0000-0000-000035000000}">
      <text>
        <r>
          <rPr>
            <sz val="10"/>
            <rFont val="Arial"/>
            <family val="2"/>
          </rPr>
          <t xml:space="preserve">Informar o valor da depreciação do caminhão, adotando o valor sugerido pelo TCE ou outro valor estimado 
</t>
        </r>
      </text>
    </comment>
    <comment ref="D192" authorId="0" shapeId="0" xr:uid="{00000000-0006-0000-0000-00005D000000}">
      <text>
        <r>
          <rPr>
            <sz val="10"/>
            <rFont val="Arial"/>
            <family val="2"/>
          </rPr>
          <t xml:space="preserve">Informar o preço unitário do equipamento compactador
</t>
        </r>
      </text>
    </comment>
    <comment ref="C193" authorId="0" shapeId="0" xr:uid="{00000000-0006-0000-0000-000036000000}">
      <text>
        <r>
          <rPr>
            <sz val="10"/>
            <rFont val="Arial"/>
            <family val="2"/>
          </rPr>
          <t>Informar a vida útil estimada para o compactador, em anos</t>
        </r>
      </text>
    </comment>
    <comment ref="C194" authorId="0" shapeId="0" xr:uid="{00000000-0006-0000-0000-000037000000}">
      <text>
        <r>
          <rPr>
            <sz val="10"/>
            <rFont val="Arial"/>
            <family val="2"/>
          </rPr>
          <t>Na elaboração do orçamento-base da licitação, informar 0 (zero). Na proposta da licitante, informar a idade do compactador proposto.</t>
        </r>
      </text>
    </comment>
    <comment ref="C195" authorId="0" shapeId="0" xr:uid="{00000000-0006-0000-0000-000038000000}">
      <text>
        <r>
          <rPr>
            <sz val="10"/>
            <rFont val="Arial"/>
            <family val="2"/>
          </rPr>
          <t xml:space="preserve">Informar o valor da depreciação do compactador, adotando o valor sugerido pelo TCE ou outro valor estimado 
</t>
        </r>
      </text>
    </comment>
    <comment ref="C198" authorId="0" shapeId="0" xr:uid="{00000000-0006-0000-0000-000039000000}">
      <text>
        <r>
          <rPr>
            <sz val="10"/>
            <rFont val="Arial"/>
            <family val="2"/>
          </rPr>
          <t xml:space="preserve">Informar a quantidade de carro
</t>
        </r>
      </text>
    </comment>
    <comment ref="C204" authorId="0" shapeId="0" xr:uid="{00000000-0006-0000-0000-00003A000000}">
      <text>
        <r>
          <rPr>
            <sz val="10"/>
            <rFont val="Arial"/>
            <family val="2"/>
          </rPr>
          <t xml:space="preserve">Informar a taxa de juros anual para remuneração do capital. Recomenda-se o uso da Taxa SELIC
</t>
        </r>
      </text>
    </comment>
    <comment ref="D220" authorId="0" shapeId="0" xr:uid="{00000000-0006-0000-0000-00005E000000}">
      <text>
        <r>
          <rPr>
            <sz val="10"/>
            <rFont val="Arial"/>
            <family val="2"/>
          </rPr>
          <t xml:space="preserve">Informar o valor do seguro obrigatório e licenciamento anual do veículo
</t>
        </r>
      </text>
    </comment>
    <comment ref="D221" authorId="0" shapeId="0" xr:uid="{00000000-0006-0000-0000-00005F000000}">
      <text>
        <r>
          <rPr>
            <sz val="10"/>
            <rFont val="Arial"/>
            <family val="2"/>
          </rPr>
          <t xml:space="preserve">Informar o valor do seguro contra terceiros de um caminhão, se houver previsão no Projeto Básico
</t>
        </r>
      </text>
    </comment>
    <comment ref="B227" authorId="0" shapeId="0" xr:uid="{00000000-0006-0000-0000-000008000000}">
      <text>
        <r>
          <rPr>
            <sz val="10"/>
            <rFont val="Arial"/>
            <family val="2"/>
          </rPr>
          <t xml:space="preserve">Informar a quilometragem mensal percorrida, de acordo com o projeto básico
</t>
        </r>
      </text>
    </comment>
    <comment ref="C230" authorId="0" shapeId="0" xr:uid="{00000000-0006-0000-0000-00003B000000}">
      <text>
        <r>
          <rPr>
            <sz val="10"/>
            <rFont val="Arial"/>
            <family val="2"/>
          </rPr>
          <t>Informar o consumo estimado do veículo em km/l</t>
        </r>
      </text>
    </comment>
    <comment ref="D230" authorId="0" shapeId="0" xr:uid="{00000000-0006-0000-0000-000060000000}">
      <text>
        <r>
          <rPr>
            <sz val="10"/>
            <rFont val="Arial"/>
            <family val="2"/>
          </rPr>
          <t xml:space="preserve">Informar o preço unitário do combustivel
</t>
        </r>
      </text>
    </comment>
    <comment ref="C232" authorId="0" shapeId="0" xr:uid="{00000000-0006-0000-0000-00003C000000}">
      <text>
        <r>
          <rPr>
            <sz val="10"/>
            <rFont val="Arial"/>
            <family val="2"/>
          </rPr>
          <t>Informar o consumo de óleo do motor a cada 1000km</t>
        </r>
      </text>
    </comment>
    <comment ref="D232" authorId="0" shapeId="0" xr:uid="{00000000-0006-0000-0000-000061000000}">
      <text>
        <r>
          <rPr>
            <sz val="10"/>
            <rFont val="Arial"/>
            <family val="2"/>
          </rPr>
          <t xml:space="preserve">Informar o preço unitário do litro do óleo do motor
</t>
        </r>
      </text>
    </comment>
    <comment ref="C234" authorId="0" shapeId="0" xr:uid="{00000000-0006-0000-0000-00003D000000}">
      <text>
        <r>
          <rPr>
            <sz val="10"/>
            <rFont val="Arial"/>
            <family val="2"/>
          </rPr>
          <t>Informar o consumo de óleo da transmissão a cada 1000km</t>
        </r>
      </text>
    </comment>
    <comment ref="D234" authorId="0" shapeId="0" xr:uid="{00000000-0006-0000-0000-000062000000}">
      <text>
        <r>
          <rPr>
            <sz val="10"/>
            <rFont val="Arial"/>
            <family val="2"/>
          </rPr>
          <t xml:space="preserve">Informar o preço unitário do litro do óleo da transmissão
</t>
        </r>
      </text>
    </comment>
    <comment ref="C236" authorId="0" shapeId="0" xr:uid="{00000000-0006-0000-0000-00003E000000}">
      <text>
        <r>
          <rPr>
            <sz val="10"/>
            <rFont val="Arial"/>
            <family val="2"/>
          </rPr>
          <t>Informar o consumo de óleo hidráulico a cada 1000km</t>
        </r>
      </text>
    </comment>
    <comment ref="D236" authorId="0" shapeId="0" xr:uid="{00000000-0006-0000-0000-000063000000}">
      <text>
        <r>
          <rPr>
            <sz val="10"/>
            <rFont val="Arial"/>
            <family val="2"/>
          </rPr>
          <t xml:space="preserve">Informar o preço unitário do litro do óleo hidráulico
</t>
        </r>
      </text>
    </comment>
    <comment ref="C238" authorId="0" shapeId="0" xr:uid="{00000000-0006-0000-0000-00003F000000}">
      <text>
        <r>
          <rPr>
            <sz val="10"/>
            <rFont val="Arial"/>
            <family val="2"/>
          </rPr>
          <t>Informar o consumo de graxa a cada 1000km</t>
        </r>
      </text>
    </comment>
    <comment ref="D238" authorId="0" shapeId="0" xr:uid="{00000000-0006-0000-0000-000064000000}">
      <text>
        <r>
          <rPr>
            <sz val="10"/>
            <rFont val="Arial"/>
            <family val="2"/>
          </rPr>
          <t xml:space="preserve">Informar o preço unitário do litro da graxa
</t>
        </r>
      </text>
    </comment>
    <comment ref="D245" authorId="0" shapeId="0" xr:uid="{00000000-0006-0000-0000-000065000000}">
      <text>
        <r>
          <rPr>
            <sz val="10"/>
            <rFont val="Arial"/>
            <family val="2"/>
          </rPr>
          <t xml:space="preserve">Informar o custo de manutenção em R$/km rodado
</t>
        </r>
      </text>
    </comment>
    <comment ref="C250" authorId="0" shapeId="0" xr:uid="{00000000-0006-0000-0000-000040000000}">
      <text>
        <r>
          <rPr>
            <sz val="10"/>
            <rFont val="Arial"/>
            <family val="2"/>
          </rPr>
          <t>Informar a quantidade de pneus novos de 1 carro</t>
        </r>
      </text>
    </comment>
    <comment ref="D250" authorId="0" shapeId="0" xr:uid="{00000000-0006-0000-0000-000066000000}">
      <text>
        <r>
          <rPr>
            <sz val="10"/>
            <rFont val="Arial"/>
            <family val="2"/>
          </rPr>
          <t xml:space="preserve">Informar o preço unitário de cada pneu
</t>
        </r>
      </text>
    </comment>
    <comment ref="C251" authorId="0" shapeId="0" xr:uid="{00000000-0006-0000-0000-000041000000}">
      <text>
        <r>
          <rPr>
            <sz val="10"/>
            <rFont val="Arial"/>
            <family val="2"/>
          </rPr>
          <t>Informar o número de recapagens por pneu</t>
        </r>
      </text>
    </comment>
    <comment ref="D252" authorId="0" shapeId="0" xr:uid="{00000000-0006-0000-0000-000067000000}">
      <text>
        <r>
          <rPr>
            <sz val="10"/>
            <rFont val="Arial"/>
            <family val="2"/>
          </rPr>
          <t xml:space="preserve">Informar o preço unitário de cada recapagem
</t>
        </r>
      </text>
    </comment>
    <comment ref="C253" authorId="0" shapeId="0" xr:uid="{00000000-0006-0000-0000-000042000000}">
      <text>
        <r>
          <rPr>
            <sz val="10"/>
            <rFont val="Arial"/>
            <family val="2"/>
          </rPr>
          <t xml:space="preserve">Informar a durabilidade média dos pneus considerando todas as recapagens, em km
</t>
        </r>
      </text>
    </comment>
    <comment ref="C263" authorId="0" shapeId="0" xr:uid="{00000000-0006-0000-0000-000043000000}">
      <text>
        <r>
          <rPr>
            <sz val="10"/>
            <rFont val="Arial"/>
            <family val="2"/>
          </rPr>
          <t xml:space="preserve">Informar a quantidade estimada em meses. Por exemplo, se a durabilidade estimada é de 6 meses, informar 1/6; se a durabilidade estimada é de 3 meses informar 1/3, etc..
</t>
        </r>
      </text>
    </comment>
    <comment ref="D263" authorId="0" shapeId="0" xr:uid="{00000000-0006-0000-0000-000068000000}">
      <text>
        <r>
          <rPr>
            <sz val="10"/>
            <rFont val="Arial"/>
            <family val="2"/>
          </rPr>
          <t>Informar o valor unitário estimado para aquisição de cada material</t>
        </r>
      </text>
    </comment>
    <comment ref="C266" authorId="0" shapeId="0" xr:uid="{00000000-0006-0000-0000-000044000000}">
      <text>
        <r>
          <rPr>
            <sz val="10"/>
            <rFont val="Arial"/>
            <family val="2"/>
          </rPr>
          <t xml:space="preserve">Informar a quantidade estimada em meses. Por exemplo, se a durabilidade estimada é de 6 meses, informar 1/6; se a durabilidade estimada é de 3 meses informar 1/3, etc..
</t>
        </r>
      </text>
    </comment>
    <comment ref="D266" authorId="0" shapeId="0" xr:uid="{00000000-0006-0000-0000-000069000000}">
      <text>
        <r>
          <rPr>
            <sz val="10"/>
            <rFont val="Arial"/>
            <family val="2"/>
          </rPr>
          <t>Informar o valor unitário estimado para aquisição de cada material</t>
        </r>
      </text>
    </comment>
    <comment ref="C273" authorId="0" shapeId="0" xr:uid="{00000000-0006-0000-0000-000045000000}">
      <text>
        <r>
          <rPr>
            <sz val="10"/>
            <rFont val="Arial"/>
            <family val="2"/>
          </rPr>
          <t xml:space="preserve">Informar a quantidade estimada em meses. Por exemplo, se a durabilidade estimada é de 6 meses, informar 1/6; se a durabilidade estimada é de 3 meses informar 1/3, etc..
</t>
        </r>
      </text>
    </comment>
    <comment ref="D273" authorId="0" shapeId="0" xr:uid="{00000000-0006-0000-0000-00006A000000}">
      <text>
        <r>
          <rPr>
            <sz val="10"/>
            <rFont val="Arial"/>
            <family val="2"/>
          </rPr>
          <t>Informar o valor unitário estimado para aquisição de cada material</t>
        </r>
      </text>
    </comment>
    <comment ref="A288" authorId="0" shapeId="0" xr:uid="{00000000-0006-0000-0000-000006000000}">
      <text>
        <r>
          <rPr>
            <sz val="10"/>
            <rFont val="Arial"/>
            <family val="2"/>
          </rPr>
          <t xml:space="preserve">Especificar somente quando for exigido no Projeto Básico
</t>
        </r>
      </text>
    </comment>
    <comment ref="D293" authorId="0" shapeId="0" xr:uid="{00000000-0006-0000-0000-00006B000000}">
      <text>
        <r>
          <rPr>
            <sz val="10"/>
            <rFont val="Arial"/>
            <family val="2"/>
          </rPr>
          <t>Informar o valor unitário mensal para manutenção dos equipamentos de monitoramento</t>
        </r>
      </text>
    </comment>
    <comment ref="C304" authorId="0" shapeId="0" xr:uid="{00000000-0006-0000-0000-000046000000}">
      <text>
        <r>
          <rPr>
            <sz val="10"/>
            <rFont val="Arial"/>
            <family val="2"/>
          </rPr>
          <t>Preencher a aba 4.BDI</t>
        </r>
      </text>
    </comment>
    <comment ref="D313" authorId="0" shapeId="0" xr:uid="{00000000-0006-0000-0000-00006C000000}">
      <text>
        <r>
          <rPr>
            <sz val="10"/>
            <rFont val="Arial"/>
            <family val="2"/>
          </rPr>
          <t xml:space="preserve">Informar a quantidade média coletada nos últimos 12 meses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12" authorId="0" shapeId="0" xr:uid="{00000000-0006-0000-0300-000001000000}">
      <text>
        <r>
          <rPr>
            <sz val="10"/>
            <rFont val="Arial"/>
            <family val="2"/>
          </rPr>
          <t xml:space="preserve">Informar o % de Administração Central estimado
</t>
        </r>
      </text>
    </comment>
    <comment ref="C13" authorId="0" shapeId="0" xr:uid="{00000000-0006-0000-0300-000002000000}">
      <text>
        <r>
          <rPr>
            <sz val="10"/>
            <rFont val="Arial"/>
            <family val="2"/>
          </rPr>
          <t xml:space="preserve">Informar o % de Seguros, Riscos e Garantia estimado
</t>
        </r>
      </text>
    </comment>
    <comment ref="C14" authorId="0" shapeId="0" xr:uid="{00000000-0006-0000-0300-000003000000}">
      <text>
        <r>
          <rPr>
            <sz val="10"/>
            <rFont val="Arial"/>
            <family val="2"/>
          </rPr>
          <t xml:space="preserve">Informar o % de Lucro estimado
</t>
        </r>
      </text>
    </comment>
    <comment ref="E15" authorId="0" shapeId="0" xr:uid="{00000000-0006-0000-0300-000006000000}">
      <text>
        <r>
          <rPr>
            <sz val="10"/>
            <rFont val="Arial"/>
            <family val="2"/>
          </rPr>
          <t>Informar o valor anual da taxa financeira, em percentual. Admite-se utilizar a SELIC</t>
        </r>
      </text>
    </comment>
    <comment ref="C16" authorId="0" shapeId="0" xr:uid="{00000000-0006-0000-0300-000004000000}">
      <text>
        <r>
          <rPr>
            <sz val="10"/>
            <rFont val="Arial"/>
            <family val="2"/>
          </rPr>
          <t xml:space="preserve">Informar o percentual de ISS, de acordo com a legislação tributária do município onde serão prestados os serviços. De 2% até o limite de 5%.
</t>
        </r>
      </text>
    </comment>
    <comment ref="E16" authorId="0" shapeId="0" xr:uid="{00000000-0006-0000-0300-000007000000}">
      <text>
        <r>
          <rPr>
            <sz val="10"/>
            <rFont val="Arial"/>
            <family val="2"/>
          </rPr>
          <t xml:space="preserve">Informar a média de dias úteis entre data de pagamento prevista no contrato e a data final do período de adimplemento da parcela
</t>
        </r>
      </text>
    </comment>
    <comment ref="C17" authorId="0" shapeId="0" xr:uid="{00000000-0006-0000-0300-000005000000}">
      <text>
        <r>
          <rPr>
            <sz val="10"/>
            <rFont val="Arial"/>
            <family val="2"/>
          </rPr>
          <t xml:space="preserve">Informar o valor estimado de PIS/COFINS. 
</t>
        </r>
        <r>
          <rPr>
            <sz val="9"/>
            <color rgb="FF000000"/>
            <rFont val="Tahoma"/>
            <family val="2"/>
            <charset val="1"/>
          </rPr>
          <t>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cbridi</author>
    <author>Clauber Bridi</author>
    <author>Omar</author>
  </authors>
  <commentList>
    <comment ref="C12" authorId="0" shapeId="0" xr:uid="{00000000-0006-0000-0600-000001000000}">
      <text>
        <r>
          <rPr>
            <sz val="10"/>
            <rFont val="Arial"/>
            <family val="2"/>
          </rPr>
          <t>Informar a população do município a ser atendida</t>
        </r>
      </text>
    </comment>
    <comment ref="C13" authorId="1" shapeId="0" xr:uid="{00000000-0006-0000-0600-000002000000}">
      <text>
        <r>
          <rPr>
            <sz val="10"/>
            <rFont val="Arial"/>
            <family val="2"/>
          </rPr>
          <t>Caso o município possua informações de pesagem, ajustar com o valor da geração média per capita realizada nos últimos 12 meses</t>
        </r>
      </text>
    </comment>
    <comment ref="C14" authorId="2" shapeId="0" xr:uid="{00000000-0006-0000-0600-000003000000}">
      <text>
        <r>
          <rPr>
            <sz val="10"/>
            <rFont val="Arial"/>
            <family val="2"/>
          </rPr>
          <t>retorna a geração diária a ser recolhida</t>
        </r>
      </text>
    </comment>
    <comment ref="C16" authorId="0" shapeId="0" xr:uid="{00000000-0006-0000-0600-000004000000}">
      <text>
        <r>
          <rPr>
            <sz val="10"/>
            <rFont val="Arial"/>
            <family val="2"/>
          </rPr>
          <t>Informe o número de dias de coleta por semana</t>
        </r>
      </text>
    </comment>
    <comment ref="C19" authorId="0" shapeId="0" xr:uid="{00000000-0006-0000-0600-000005000000}">
      <text>
        <r>
          <rPr>
            <sz val="10"/>
            <rFont val="Arial"/>
            <family val="2"/>
          </rPr>
          <t>Informar 1 para caminhão toco; Informar 2 para caminhão truck</t>
        </r>
        <r>
          <rPr>
            <b/>
            <sz val="8"/>
            <color rgb="FF000000"/>
            <rFont val="Tahoma"/>
            <family val="2"/>
            <charset val="1"/>
          </rPr>
          <t xml:space="preserve"> </t>
        </r>
      </text>
    </comment>
    <comment ref="C20" authorId="0" shapeId="0" xr:uid="{00000000-0006-0000-0600-000006000000}">
      <text>
        <r>
          <rPr>
            <sz val="10"/>
            <rFont val="Arial"/>
            <family val="2"/>
          </rPr>
          <t>Informar a capacidade do compactador em m³</t>
        </r>
      </text>
    </comment>
    <comment ref="C23" authorId="1" shapeId="0" xr:uid="{00000000-0006-0000-0600-000007000000}">
      <text>
        <r>
          <rPr>
            <sz val="10"/>
            <rFont val="Arial"/>
            <family val="2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sharedStrings.xml><?xml version="1.0" encoding="utf-8"?>
<sst xmlns="http://schemas.openxmlformats.org/spreadsheetml/2006/main" count="631" uniqueCount="349">
  <si>
    <t>Orientações para preenchimento:</t>
  </si>
  <si>
    <t>4. As células azuis deverão ter seus valores preenchidos em outra planilha do arquivo.</t>
  </si>
  <si>
    <t>Anexo  "XXX" do Edital</t>
  </si>
  <si>
    <t>Planilha de Composição de Custos</t>
  </si>
  <si>
    <t>Orçamento Sintético</t>
  </si>
  <si>
    <t>Descrição do Item</t>
  </si>
  <si>
    <t>Custo (R$/mês)</t>
  </si>
  <si>
    <t>%</t>
  </si>
  <si>
    <t xml:space="preserve">PREÇO TOTAL MENSAL </t>
  </si>
  <si>
    <t>Quantitativos</t>
  </si>
  <si>
    <t>Mão-de-obra</t>
  </si>
  <si>
    <t>Quantidade</t>
  </si>
  <si>
    <t>Total de Mão-de-obra (em horas)</t>
  </si>
  <si>
    <t>Total de mão-de-obra (postos de trabalho)</t>
  </si>
  <si>
    <t>Veículos e Equipamentos</t>
  </si>
  <si>
    <t>Fator de utilização (FU)</t>
  </si>
  <si>
    <t>1. Mão-de-obra</t>
  </si>
  <si>
    <t>Discriminação</t>
  </si>
  <si>
    <t>Unidade</t>
  </si>
  <si>
    <t>Custo unitário</t>
  </si>
  <si>
    <t>Subtotal</t>
  </si>
  <si>
    <r>
      <rPr>
        <b/>
        <sz val="9"/>
        <rFont val="Arial"/>
        <family val="2"/>
        <charset val="1"/>
      </rPr>
      <t xml:space="preserve">Total </t>
    </r>
    <r>
      <rPr>
        <b/>
        <u/>
        <sz val="9"/>
        <rFont val="Arial"/>
        <family val="2"/>
        <charset val="1"/>
      </rPr>
      <t>(R$)</t>
    </r>
  </si>
  <si>
    <t>Piso da categoria</t>
  </si>
  <si>
    <t>mês</t>
  </si>
  <si>
    <t>Horas Extras (100%)</t>
  </si>
  <si>
    <t>hora</t>
  </si>
  <si>
    <t>Excluir esta linha caso a contratação não tenha previsão de horas extras 100% explícita no edital</t>
  </si>
  <si>
    <t>Horas Extras (50%)</t>
  </si>
  <si>
    <t>Excluir esta linha caso a contratação não tenha previsão de horas extras 50% explícita no edital</t>
  </si>
  <si>
    <t>Descanso Semanal Remunerado (DSR) - hora extra</t>
  </si>
  <si>
    <t>R$</t>
  </si>
  <si>
    <t>Excluir esta linha caso a contratação não tenha previsão de horas extras explícita no edital</t>
  </si>
  <si>
    <t>Adicional de Insalubridade</t>
  </si>
  <si>
    <t>Prêmio Assiduidade</t>
  </si>
  <si>
    <t>Soma</t>
  </si>
  <si>
    <t>Encargos Sociais</t>
  </si>
  <si>
    <t>Total por Empregado</t>
  </si>
  <si>
    <t>Total do Efetivo</t>
  </si>
  <si>
    <t>homem</t>
  </si>
  <si>
    <t>Fator de utilização</t>
  </si>
  <si>
    <t>Convenção Coletiva Sindasseio 2026/2026 - Registro TEM: RS000042/2026</t>
  </si>
  <si>
    <t>1.2. Coletor Turno Noite</t>
  </si>
  <si>
    <t>Adicional Noturno</t>
  </si>
  <si>
    <t>horas trabalhadas</t>
  </si>
  <si>
    <t>hora contabilizada</t>
  </si>
  <si>
    <t>Horas Extras Noturnas (100%)</t>
  </si>
  <si>
    <t>Excluir esta linha caso a contratação não tenha previsão de horas extras noturnas 100% explícita no edital</t>
  </si>
  <si>
    <t>Horas Extras Noturnas (50%)</t>
  </si>
  <si>
    <t>Excluir esta linha caso a contratação não tenha previsão de horas extras noturnas 50% explícita no edital</t>
  </si>
  <si>
    <t>Total por Coletor</t>
  </si>
  <si>
    <t>1.2. Gratificação Por Coordenação de Equipe</t>
  </si>
  <si>
    <t>Gratificação por Coordenação de Equipe</t>
  </si>
  <si>
    <t>Salário mínimo nacional (1)</t>
  </si>
  <si>
    <t>Base de cálculo da Insalubridade</t>
  </si>
  <si>
    <t>Total por Gratificação de Função</t>
  </si>
  <si>
    <t>1.4. Motorista Turno Noite</t>
  </si>
  <si>
    <t>Piso da categoria (2)</t>
  </si>
  <si>
    <t>Total por Motorista</t>
  </si>
  <si>
    <t>1.5. Vale Transporte</t>
  </si>
  <si>
    <t>Vale Transporte</t>
  </si>
  <si>
    <t>Dias Trabalhados por mês</t>
  </si>
  <si>
    <t>dia</t>
  </si>
  <si>
    <t>Coletor</t>
  </si>
  <si>
    <t>vale</t>
  </si>
  <si>
    <t>Motorista</t>
  </si>
  <si>
    <t>1.3. Vale-refeição (diário)</t>
  </si>
  <si>
    <t>Empregado</t>
  </si>
  <si>
    <t>1.4. Plnao de Benfício Familiar (mensal)</t>
  </si>
  <si>
    <t>unidade</t>
  </si>
  <si>
    <t>Custo Mensal com Mão-de-obra (R$/mês)</t>
  </si>
  <si>
    <t>2. Uniformes e Equipamentos de Proteção Individual</t>
  </si>
  <si>
    <t xml:space="preserve">2.1. Uniformes e EPIs </t>
  </si>
  <si>
    <t>Durabilidade (meses)</t>
  </si>
  <si>
    <t>Jaqueta com reflexivo (NBR 15.292)</t>
  </si>
  <si>
    <t>Calça</t>
  </si>
  <si>
    <t>Camiseta</t>
  </si>
  <si>
    <t>Boné</t>
  </si>
  <si>
    <t>Botina de segurança c/ palmilha aço</t>
  </si>
  <si>
    <t>par</t>
  </si>
  <si>
    <t>Meia de algodão com cano alto</t>
  </si>
  <si>
    <t>Capa de chuva amarela com reflexivo</t>
  </si>
  <si>
    <t>Colete reflexivo</t>
  </si>
  <si>
    <t>Luva de proteção</t>
  </si>
  <si>
    <t>Óculus de Segurança Incolor</t>
  </si>
  <si>
    <t>Protetor Viseira Facial Incolor</t>
  </si>
  <si>
    <t>Protetor Auricular Tipo Concha</t>
  </si>
  <si>
    <t>Avental de De Raspa de Couro - 1m x 60 cm</t>
  </si>
  <si>
    <t>Perneira de Raspa de Couro</t>
  </si>
  <si>
    <t>Capacete de Segurança com Jugular</t>
  </si>
  <si>
    <t>Cinto de Segurança e Talabarte</t>
  </si>
  <si>
    <t>Protetor solar FPS 30</t>
  </si>
  <si>
    <t>frasco 120g</t>
  </si>
  <si>
    <t>Higienização de uniformes e EPIs</t>
  </si>
  <si>
    <t>R$ mensal</t>
  </si>
  <si>
    <t>2.2. Uniformes e EPIs para demais categorias</t>
  </si>
  <si>
    <t>Custo Mensal com Uniformes e EPIs (R$/mês)</t>
  </si>
  <si>
    <t>3. Veículos e Equipamentos</t>
  </si>
  <si>
    <t>3.1. Veículo - Utilitário de Pequeno Porte</t>
  </si>
  <si>
    <t>3.1.1. Depreciação</t>
  </si>
  <si>
    <t>Custo de aquisição do chassis</t>
  </si>
  <si>
    <t>Vida útil do chassis</t>
  </si>
  <si>
    <t>anos</t>
  </si>
  <si>
    <t>Idade do veículo (fiat strada 1,4 - ano 2020)</t>
  </si>
  <si>
    <t>Depreciação do chassis</t>
  </si>
  <si>
    <t>Depreciação mensal veículo</t>
  </si>
  <si>
    <t>Custo de aquisição do compactador</t>
  </si>
  <si>
    <t>Vida útil do compactador</t>
  </si>
  <si>
    <t>Idade do compactador</t>
  </si>
  <si>
    <t>Depreciação do compactador</t>
  </si>
  <si>
    <t>Depreciação mensal do compactador</t>
  </si>
  <si>
    <t>Total por veículo</t>
  </si>
  <si>
    <t>Total da frota</t>
  </si>
  <si>
    <t>3.1.2. Remuneração do Capital</t>
  </si>
  <si>
    <t>Custo do chassis</t>
  </si>
  <si>
    <t>Taxa de juros anual nominal</t>
  </si>
  <si>
    <t>Valor do veículo proposto (V0)</t>
  </si>
  <si>
    <t>Investimento médio total do chassis</t>
  </si>
  <si>
    <t>Remuneração mensal de capital do chassis</t>
  </si>
  <si>
    <t>Custo do compactador</t>
  </si>
  <si>
    <t>Valor do compactador proposto (V0)</t>
  </si>
  <si>
    <t>Investimento médio total do compactador</t>
  </si>
  <si>
    <t>Remuneração mensal de capital do compactador</t>
  </si>
  <si>
    <t>3.1.3. Impostos e Seguros</t>
  </si>
  <si>
    <t>IPVA</t>
  </si>
  <si>
    <t>Licenciamento e Seguro obrigatório</t>
  </si>
  <si>
    <t>Seguro contra terceiros</t>
  </si>
  <si>
    <t>Impostos e seguros mensais</t>
  </si>
  <si>
    <t>3.1.4. Consumos</t>
  </si>
  <si>
    <t>Quilometragem mensal</t>
  </si>
  <si>
    <t>Consumo</t>
  </si>
  <si>
    <t>Custo de gasolina/ km rodado</t>
  </si>
  <si>
    <t>km/l</t>
  </si>
  <si>
    <t>Custo mensal com óleo diesel</t>
  </si>
  <si>
    <t>km</t>
  </si>
  <si>
    <t>Custo de óleo do motor /1.000 km rodados</t>
  </si>
  <si>
    <t>l/6.000 km</t>
  </si>
  <si>
    <t>Custo mensal com óleo do motor</t>
  </si>
  <si>
    <t>Custo de óleo da transmissão /1.000 km</t>
  </si>
  <si>
    <t>l/1.000 km</t>
  </si>
  <si>
    <t>Custo mensal com óleo da transmissão</t>
  </si>
  <si>
    <t>Custo de óleo hidráulico / 1.000 km</t>
  </si>
  <si>
    <t>Custo mensal com óleo hidráulico</t>
  </si>
  <si>
    <t>Custo de graxa /1.000 km rodados</t>
  </si>
  <si>
    <t>kg/1.000 km</t>
  </si>
  <si>
    <t>Custo mensal com graxa</t>
  </si>
  <si>
    <t>Custo com consumos/km rodado</t>
  </si>
  <si>
    <t>R$/km rodado</t>
  </si>
  <si>
    <t>3.1.5. Manutenção</t>
  </si>
  <si>
    <t>Custo de manutenção dos carro</t>
  </si>
  <si>
    <t>3.1.6. Pneus</t>
  </si>
  <si>
    <t>Custo do jogo de pneus xxx/xx Rxx</t>
  </si>
  <si>
    <t>Número de recapagens por pneu</t>
  </si>
  <si>
    <t>Custo de recapagem</t>
  </si>
  <si>
    <t>Custo jg. compl. + s/ recap./ km rodado</t>
  </si>
  <si>
    <t>km/jogo</t>
  </si>
  <si>
    <t>Custo mensal com pneus</t>
  </si>
  <si>
    <t>Custo Mensal com Veículos e Equipamentos (R$/mês)</t>
  </si>
  <si>
    <t>4. Ferramentas e Materiais de Consumo</t>
  </si>
  <si>
    <t>Vida Útil</t>
  </si>
  <si>
    <t>Recipiente térmico para água (5L)</t>
  </si>
  <si>
    <t>Cone de Sinalização - Laranja e Branco 75 cm</t>
  </si>
  <si>
    <t>Protetor de Roçagem - 3,0 m x 1,5 m</t>
  </si>
  <si>
    <t>Pá de Concha</t>
  </si>
  <si>
    <t>Pá Para Lixo Metálica</t>
  </si>
  <si>
    <t>Enxada</t>
  </si>
  <si>
    <t>Foice</t>
  </si>
  <si>
    <t>Facão</t>
  </si>
  <si>
    <t>Ancinho</t>
  </si>
  <si>
    <t>Forcado</t>
  </si>
  <si>
    <t>Vassourão</t>
  </si>
  <si>
    <t>Vassoura de Nylon</t>
  </si>
  <si>
    <t>Carinho de Mão 65 l</t>
  </si>
  <si>
    <t>Carinho de gari</t>
  </si>
  <si>
    <t>Lava Jato Alta Pressão Profissional 320 libras</t>
  </si>
  <si>
    <t>Aparador de Cerca Viva - a gasolina</t>
  </si>
  <si>
    <t>Soprador Sthil BR 600</t>
  </si>
  <si>
    <t>Roçadeira Lateral Sthl BR FS221</t>
  </si>
  <si>
    <t>Motosserra a gasolina 3,1 CV Sthil 250, sabre 40 cm</t>
  </si>
  <si>
    <t>Motopoda com haste telescópica, sthil 75 - 1,3 hp</t>
  </si>
  <si>
    <t>Motocultivador 7HP 3600 rpm</t>
  </si>
  <si>
    <t>Custo Mensal com Ferramentas e Materiais de Consumo (R$/mês)</t>
  </si>
  <si>
    <t>5. Materiais de Consumo para equipamentos</t>
  </si>
  <si>
    <t>Gasolina</t>
  </si>
  <si>
    <t>litros</t>
  </si>
  <si>
    <t>Óleo 2 Tempos – 500 ml</t>
  </si>
  <si>
    <t>Fios ou Navalhas</t>
  </si>
  <si>
    <t>Manutenção Equipamentos</t>
  </si>
  <si>
    <t>Custo Mensal c/ Mat. Consumo para Equipamentos (R$/mês)</t>
  </si>
  <si>
    <t>CUSTO TOTAL MENSAL COM DESPESAS OPERACIONAIS (R$/mês)</t>
  </si>
  <si>
    <t>6. Benefícios e Despesas Indiretas - BDI</t>
  </si>
  <si>
    <t>Benefícios e despesas indiretas</t>
  </si>
  <si>
    <t>CUSTO MENSAL COM BDI (R$/mês)</t>
  </si>
  <si>
    <t>PREÇO MENSAL TOTAL (R$/mês)</t>
  </si>
  <si>
    <t xml:space="preserve">Quantidade de horas trabalhadas por mês: </t>
  </si>
  <si>
    <t>Horas</t>
  </si>
  <si>
    <t>Excluir esta linha caso a contratação seja por preço global mensal</t>
  </si>
  <si>
    <t>PREÇO POR Hora Trabalhada  [A/B]</t>
  </si>
  <si>
    <t>R$/hora</t>
  </si>
  <si>
    <t>1. Preencha previamente os dados de entrada na planilha 3.CAGED</t>
  </si>
  <si>
    <t>O TCE/RS não se responsabiliza pelo uso incorreto desta planilha.</t>
  </si>
  <si>
    <t>O orçamento deve ser realizado por responsável técnico habilitado e é de responsabilidade do seu autor.</t>
  </si>
  <si>
    <t xml:space="preserve">2. 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</si>
  <si>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</si>
  <si>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</si>
  <si>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</si>
  <si>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</si>
  <si>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</si>
  <si>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</si>
  <si>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</si>
  <si>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</si>
  <si>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</si>
  <si>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</si>
  <si>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</si>
  <si>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</si>
  <si>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</si>
  <si>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</si>
  <si>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</si>
  <si>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</si>
  <si>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</si>
  <si>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</si>
  <si>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</si>
  <si>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</si>
  <si>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</si>
  <si>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</si>
  <si>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</si>
  <si>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</si>
  <si>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</si>
  <si>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</si>
  <si>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</si>
  <si>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</si>
  <si>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</si>
  <si>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</si>
  <si>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</si>
  <si>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</si>
  <si>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</si>
  <si>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</si>
  <si>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</si>
  <si>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</si>
  <si>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</si>
  <si>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</si>
  <si>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</si>
  <si>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</si>
  <si>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</si>
  <si>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</si>
  <si>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</si>
  <si>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</si>
  <si>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</si>
  <si>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</si>
  <si>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</si>
  <si>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</si>
  <si>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</si>
  <si>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</si>
  <si>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FGTS sobre aviso prévio indenizado</t>
  </si>
  <si>
    <t>D</t>
  </si>
  <si>
    <t>SOMA GRUPO D</t>
  </si>
  <si>
    <t>SOMA (A+B+C+D)</t>
  </si>
  <si>
    <t>CÁLCULO DAS VERBAS INDENIZATÓRIAS DOS EMPREGADOS NO SETOR DE COLETA DE RSU</t>
  </si>
  <si>
    <t>Tendo em vista que o CAGED foi descontinuado em janeiro de 2020, esta planilha foi atualizada até 31/12/2019.</t>
  </si>
  <si>
    <t>Preencha as células em amarelo</t>
  </si>
  <si>
    <t>3. CAGED</t>
  </si>
  <si>
    <t>Rio Grande do Sul  - Coleta de Resíduos Não-Perigosos - CNAE 38114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</si>
  <si>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</si>
  <si>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</si>
  <si>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</si>
  <si>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</si>
  <si>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</si>
  <si>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</si>
  <si>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</si>
  <si>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</si>
  <si>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</si>
  <si>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</si>
  <si>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>Acordo</t>
  </si>
  <si>
    <t xml:space="preserve"> </t>
  </si>
  <si>
    <t>Indicadores</t>
  </si>
  <si>
    <t>Estoque recuperado início do Período 01-01-2019</t>
  </si>
  <si>
    <t>Estoque recuperado final do Período 31-12-2019</t>
  </si>
  <si>
    <t>Variação Emprego Absoluta de 01-01-2019 a 31-12-2019</t>
  </si>
  <si>
    <t>Estoque Médio</t>
  </si>
  <si>
    <t>% Demitidos s/ Justa Causa em relação ao Estoque Médio</t>
  </si>
  <si>
    <t>Taxa de Rotatividade</t>
  </si>
  <si>
    <t>Rotatividade temporal (meses)</t>
  </si>
  <si>
    <t>Dias ano</t>
  </si>
  <si>
    <t>1/3 de férias (dias)</t>
  </si>
  <si>
    <t>Férias (dias)</t>
  </si>
  <si>
    <t>13º Salário (dias)</t>
  </si>
  <si>
    <t>Dias de Aviso prévio</t>
  </si>
  <si>
    <t>Multa FGTS</t>
  </si>
  <si>
    <t>Ajustado, de acordo com a nova Lei Federal nº 13.932/2019</t>
  </si>
  <si>
    <t>1. Esta planilha é somente um modelo-base e deve ser ajustada conforme cada caso concreto.</t>
  </si>
  <si>
    <t>2. Preencher somente células em amarelo</t>
  </si>
  <si>
    <t>4. Composição do BDI - Benefícios e Despesas Indiretas</t>
  </si>
  <si>
    <t>Referência estudo TCE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</si>
  <si>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</si>
  <si>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</si>
  <si>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</si>
  <si>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</si>
  <si>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</si>
  <si>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</si>
  <si>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</si>
  <si>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</si>
  <si>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</si>
  <si>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</si>
  <si>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</si>
  <si>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</si>
  <si>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</si>
  <si>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</si>
  <si>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</si>
  <si>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</si>
  <si>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</si>
  <si>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</si>
  <si>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</si>
  <si>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5. Depreciação Referencial TCE/RS (%)</t>
  </si>
  <si>
    <t>Idade do veículo (ano)</t>
  </si>
  <si>
    <t>Depreciação Média</t>
  </si>
  <si>
    <t>6. Remuneração de Capital</t>
  </si>
  <si>
    <t>Fórmula de cálculo da remuneração de capital:</t>
  </si>
  <si>
    <r>
      <rPr>
        <sz val="12"/>
        <color theme="1"/>
        <rFont val="Arial"/>
        <family val="2"/>
        <charset val="1"/>
      </rPr>
      <t>J</t>
    </r>
    <r>
      <rPr>
        <vertAlign val="subscript"/>
        <sz val="12"/>
        <color rgb="FF000000"/>
        <rFont val="Arial"/>
        <family val="2"/>
        <charset val="1"/>
      </rPr>
      <t>m</t>
    </r>
    <r>
      <rPr>
        <sz val="12"/>
        <color rgb="FF000000"/>
        <rFont val="Arial"/>
        <family val="2"/>
        <charset val="1"/>
      </rPr>
      <t xml:space="preserve"> = remuneração de capital mensal</t>
    </r>
  </si>
  <si>
    <t>i = taxa de juros do mercado (sugere-se adotar a taxa SELIC)</t>
  </si>
  <si>
    <t>Im = investimento médio</t>
  </si>
  <si>
    <r>
      <rPr>
        <sz val="12"/>
        <color theme="1"/>
        <rFont val="Arial"/>
        <family val="2"/>
        <charset val="1"/>
      </rPr>
      <t>V</t>
    </r>
    <r>
      <rPr>
        <vertAlign val="subscript"/>
        <sz val="12"/>
        <color rgb="FF000000"/>
        <rFont val="Arial"/>
        <family val="2"/>
        <charset val="1"/>
      </rPr>
      <t>0</t>
    </r>
    <r>
      <rPr>
        <sz val="12"/>
        <color rgb="FF000000"/>
        <rFont val="Arial"/>
        <family val="2"/>
        <charset val="1"/>
      </rPr>
      <t xml:space="preserve"> = valor inicial do bem</t>
    </r>
  </si>
  <si>
    <r>
      <rPr>
        <sz val="12"/>
        <color theme="1"/>
        <rFont val="Arial"/>
        <family val="2"/>
        <charset val="1"/>
      </rPr>
      <t>V</t>
    </r>
    <r>
      <rPr>
        <vertAlign val="subscript"/>
        <sz val="12"/>
        <color rgb="FF000000"/>
        <rFont val="Arial"/>
        <family val="2"/>
        <charset val="1"/>
      </rPr>
      <t>r</t>
    </r>
    <r>
      <rPr>
        <sz val="12"/>
        <color rgb="FF000000"/>
        <rFont val="Arial"/>
        <family val="2"/>
        <charset val="1"/>
      </rPr>
      <t xml:space="preserve"> = valor residual do bem</t>
    </r>
  </si>
  <si>
    <t>n = vida útil do bem em anos</t>
  </si>
  <si>
    <t>1. Esta planilha é somente um modelo de cálculo expedito e deve ser ajustada conforme cada caso concreto.</t>
  </si>
  <si>
    <t>2. Dimensionar separadamente setores atendidos por veículos de capacidade de carga diferentes.</t>
  </si>
  <si>
    <t>3. Preencher somente células em amarelo</t>
  </si>
  <si>
    <t>7. Dimensionamento da frota</t>
  </si>
  <si>
    <t>Indicador</t>
  </si>
  <si>
    <t>Unid</t>
  </si>
  <si>
    <t>População (H)</t>
  </si>
  <si>
    <t>hab</t>
  </si>
  <si>
    <t>Geração per capita (G)</t>
  </si>
  <si>
    <t>Kg/hab.dia</t>
  </si>
  <si>
    <t>Geração total diária (Qd)</t>
  </si>
  <si>
    <t>ton/dia</t>
  </si>
  <si>
    <t>Geração Mensal</t>
  </si>
  <si>
    <t>ton</t>
  </si>
  <si>
    <t>Número de dias de coleta por semana (Dc)</t>
  </si>
  <si>
    <t>Quantitativo diário de coleta (Qc)</t>
  </si>
  <si>
    <t>Densidade RSU compactado</t>
  </si>
  <si>
    <t>Kg/m³</t>
  </si>
  <si>
    <t>Tipo de Veículo (1 = toco, 2 = truck)</t>
  </si>
  <si>
    <t>Capacidade do Compactador</t>
  </si>
  <si>
    <t>m³</t>
  </si>
  <si>
    <t>Capacidade nominal de carga (Cc)</t>
  </si>
  <si>
    <t>Número de Cargas por dia (Nc)</t>
  </si>
  <si>
    <t>Número total de percursos de coleta por veículo, por dia (Np)</t>
  </si>
  <si>
    <t>Número de veículos da Frota (F)</t>
  </si>
  <si>
    <t>1.1. Jardineiro, Faxineiro, limpador, Serviços Gerais, auxiliar de limpeza (Ins. 20%; 220 horas Mensal)</t>
  </si>
  <si>
    <t>CBO: 6220; 5143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</si>
</sst>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\-??_);_(@_)"/>
    <numFmt numFmtId="165" formatCode="&quot;R$ &quot;#,##0.00"/>
    <numFmt numFmtId="166" formatCode="&quot;R$ &quot;#,##0.00_);&quot;(R$ &quot;#,##0.00\)"/>
    <numFmt numFmtId="167" formatCode="_(* #,##0_);_(* \(#,##0\);_(* \-??_);_(@_)"/>
    <numFmt numFmtId="168" formatCode="_-* #,##0.00_-;\-* #,##0.00_-;_-* \-??_-;_-@_-"/>
    <numFmt numFmtId="169" formatCode="_(* #,##0.000_);_(* \(#,##0.000\);_(* \-??_);_(@_)"/>
    <numFmt numFmtId="170" formatCode="0.0000"/>
    <numFmt numFmtId="171" formatCode="_-* #,##0.000_-;\-* #,##0.000_-;_-* \-??_-;_-@_-"/>
    <numFmt numFmtId="172" formatCode="_-* #,##0.00_-;\-* #,##0.00_-;_-* \-?_-;_-@_-"/>
    <numFmt numFmtId="173" formatCode="_-* #,##0_-;\-* #,##0_-;_-* \-?_-;_-@_-"/>
  </numFmts>
  <fonts count="33" x14ac:knownFonts="1">
    <font>
      <sz val="10"/>
      <name val="Arial"/>
      <charset val="1"/>
    </font>
    <font>
      <sz val="10"/>
      <name val="Arial"/>
      <family val="2"/>
      <charset val="1"/>
    </font>
    <font>
      <b/>
      <sz val="12"/>
      <name val="Arial"/>
      <family val="2"/>
      <charset val="1"/>
    </font>
    <font>
      <sz val="12"/>
      <name val="Arial"/>
      <family val="2"/>
      <charset val="1"/>
    </font>
    <font>
      <b/>
      <sz val="14"/>
      <name val="Arial"/>
      <family val="2"/>
      <charset val="1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b/>
      <sz val="10"/>
      <name val="Arial"/>
      <family val="2"/>
      <charset val="1"/>
    </font>
    <font>
      <b/>
      <sz val="9"/>
      <name val="Arial"/>
      <family val="2"/>
      <charset val="1"/>
    </font>
    <font>
      <b/>
      <u/>
      <sz val="9"/>
      <name val="Arial"/>
      <family val="2"/>
      <charset val="1"/>
    </font>
    <font>
      <i/>
      <sz val="10"/>
      <name val="Arial"/>
      <family val="2"/>
      <charset val="1"/>
    </font>
    <font>
      <sz val="8"/>
      <name val="Arial"/>
      <family val="2"/>
      <charset val="1"/>
    </font>
    <font>
      <u/>
      <sz val="10"/>
      <color rgb="FF0000FF"/>
      <name val="Arial"/>
      <family val="2"/>
      <charset val="1"/>
    </font>
    <font>
      <sz val="9"/>
      <name val="Arial"/>
      <family val="2"/>
      <charset val="1"/>
    </font>
    <font>
      <sz val="10"/>
      <color rgb="FFFF0000"/>
      <name val="Arial"/>
      <family val="2"/>
      <charset val="1"/>
    </font>
    <font>
      <sz val="10"/>
      <name val="Arial"/>
      <family val="2"/>
    </font>
    <font>
      <sz val="9"/>
      <color rgb="FF000000"/>
      <name val="Tahoma"/>
      <family val="2"/>
      <charset val="1"/>
    </font>
    <font>
      <b/>
      <sz val="12"/>
      <color rgb="FFFF0000"/>
      <name val="Arial"/>
      <family val="2"/>
      <charset val="1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1"/>
      <color theme="1"/>
      <name val="Arial"/>
      <family val="2"/>
      <charset val="1"/>
    </font>
    <font>
      <sz val="10"/>
      <color rgb="FF000000"/>
      <name val="Arial"/>
      <family val="2"/>
      <charset val="1"/>
    </font>
    <font>
      <sz val="13"/>
      <color theme="1"/>
      <name val="Arial"/>
      <family val="2"/>
      <charset val="1"/>
    </font>
    <font>
      <sz val="10"/>
      <color theme="1"/>
      <name val="Arial"/>
      <family val="2"/>
      <charset val="1"/>
    </font>
    <font>
      <b/>
      <sz val="10"/>
      <color rgb="FFFF0000"/>
      <name val="Arial"/>
      <family val="2"/>
      <charset val="1"/>
    </font>
    <font>
      <b/>
      <sz val="11"/>
      <color theme="1"/>
      <name val="Arial"/>
      <family val="2"/>
      <charset val="1"/>
    </font>
    <font>
      <b/>
      <sz val="11"/>
      <color theme="0"/>
      <name val="Arial"/>
      <family val="2"/>
      <charset val="1"/>
    </font>
    <font>
      <sz val="11"/>
      <color theme="0"/>
      <name val="Arial"/>
      <family val="2"/>
      <charset val="1"/>
    </font>
    <font>
      <sz val="12"/>
      <color theme="1"/>
      <name val="Arial"/>
      <family val="2"/>
      <charset val="1"/>
    </font>
    <font>
      <vertAlign val="subscript"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b/>
      <sz val="8"/>
      <color rgb="FF000000"/>
      <name val="Tahoma"/>
      <family val="2"/>
      <charset val="1"/>
    </font>
    <font>
      <sz val="10"/>
      <name val="Arial"/>
      <charset val="1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rgb="FFC0C0C0"/>
      </patternFill>
    </fill>
    <fill>
      <patternFill patternType="solid">
        <fgColor theme="9" tint="0.39988402966399123"/>
        <bgColor rgb="FFDDD9C3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BFBFBF"/>
      </patternFill>
    </fill>
    <fill>
      <patternFill patternType="solid">
        <fgColor theme="3" tint="0.79989013336588644"/>
        <bgColor rgb="FFD9D9D9"/>
      </patternFill>
    </fill>
    <fill>
      <patternFill patternType="solid">
        <fgColor theme="0" tint="-0.14999847407452621"/>
        <bgColor rgb="FFDDD9C3"/>
      </patternFill>
    </fill>
    <fill>
      <patternFill patternType="solid">
        <fgColor theme="0" tint="-0.34998626667073579"/>
        <bgColor rgb="FFBFBFBF"/>
      </patternFill>
    </fill>
    <fill>
      <patternFill patternType="solid">
        <fgColor theme="0"/>
        <bgColor rgb="FFEEECE1"/>
      </patternFill>
    </fill>
    <fill>
      <patternFill patternType="solid">
        <fgColor theme="2" tint="-9.9978637043366805E-2"/>
        <bgColor rgb="FFD9D9D9"/>
      </patternFill>
    </fill>
    <fill>
      <patternFill patternType="solid">
        <fgColor theme="2"/>
        <bgColor rgb="FFD9D9D9"/>
      </patternFill>
    </fill>
  </fills>
  <borders count="5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164" fontId="32" fillId="0" borderId="0" applyBorder="0" applyProtection="0"/>
    <xf numFmtId="9" fontId="32" fillId="0" borderId="0" applyBorder="0" applyProtection="0"/>
    <xf numFmtId="0" fontId="12" fillId="0" borderId="0" applyBorder="0" applyProtection="0"/>
  </cellStyleXfs>
  <cellXfs count="337">
    <xf numFmtId="0" fontId="0" fillId="0" borderId="0" xfId="0"/>
    <xf numFmtId="0" fontId="2" fillId="10" borderId="15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10" borderId="41" xfId="0" applyFont="1" applyFill="1" applyBorder="1" applyAlignment="1">
      <alignment horizontal="center"/>
    </xf>
    <xf numFmtId="0" fontId="4" fillId="2" borderId="41" xfId="0" applyFont="1" applyFill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164" fontId="7" fillId="0" borderId="20" xfId="1" applyFont="1" applyBorder="1" applyAlignment="1" applyProtection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164" fontId="7" fillId="0" borderId="10" xfId="1" applyFont="1" applyBorder="1" applyAlignment="1" applyProtection="1">
      <alignment horizontal="left" vertical="center"/>
    </xf>
    <xf numFmtId="164" fontId="2" fillId="2" borderId="5" xfId="1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64" fontId="1" fillId="0" borderId="0" xfId="1" applyFont="1" applyBorder="1" applyAlignment="1" applyProtection="1">
      <alignment vertical="center"/>
    </xf>
    <xf numFmtId="0" fontId="2" fillId="0" borderId="0" xfId="0" applyFont="1" applyAlignment="1">
      <alignment vertical="center"/>
    </xf>
    <xf numFmtId="4" fontId="3" fillId="0" borderId="0" xfId="0" applyNumberFormat="1" applyFont="1" applyBorder="1" applyAlignment="1">
      <alignment vertical="center"/>
    </xf>
    <xf numFmtId="4" fontId="0" fillId="0" borderId="0" xfId="0" applyNumberFormat="1" applyBorder="1" applyAlignment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Alignment="1">
      <alignment vertical="center"/>
    </xf>
    <xf numFmtId="0" fontId="1" fillId="0" borderId="0" xfId="0" applyFont="1" applyBorder="1" applyAlignment="1">
      <alignment vertical="center"/>
    </xf>
    <xf numFmtId="164" fontId="5" fillId="0" borderId="0" xfId="1" applyFont="1" applyBorder="1" applyAlignment="1" applyProtection="1">
      <alignment vertical="center"/>
    </xf>
    <xf numFmtId="0" fontId="5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4" fontId="0" fillId="0" borderId="0" xfId="0" applyNumberFormat="1" applyBorder="1" applyAlignment="1">
      <alignment vertical="center"/>
    </xf>
    <xf numFmtId="164" fontId="0" fillId="0" borderId="4" xfId="1" applyFont="1" applyBorder="1" applyAlignment="1" applyProtection="1">
      <alignment vertical="center"/>
    </xf>
    <xf numFmtId="164" fontId="7" fillId="0" borderId="6" xfId="1" applyFont="1" applyBorder="1" applyAlignment="1" applyProtection="1">
      <alignment horizontal="center" vertical="center"/>
    </xf>
    <xf numFmtId="164" fontId="0" fillId="0" borderId="7" xfId="1" applyFont="1" applyBorder="1" applyAlignment="1" applyProtection="1">
      <alignment vertical="center"/>
    </xf>
    <xf numFmtId="164" fontId="7" fillId="0" borderId="7" xfId="1" applyFont="1" applyBorder="1" applyAlignment="1" applyProtection="1">
      <alignment vertical="center"/>
    </xf>
    <xf numFmtId="164" fontId="7" fillId="0" borderId="8" xfId="1" applyFont="1" applyBorder="1" applyAlignment="1" applyProtection="1">
      <alignment vertical="center"/>
    </xf>
    <xf numFmtId="164" fontId="7" fillId="0" borderId="9" xfId="1" applyFont="1" applyBorder="1" applyAlignment="1" applyProtection="1">
      <alignment horizontal="center" vertical="center"/>
    </xf>
    <xf numFmtId="164" fontId="7" fillId="0" borderId="10" xfId="1" applyFont="1" applyBorder="1" applyAlignment="1" applyProtection="1">
      <alignment vertical="center"/>
    </xf>
    <xf numFmtId="164" fontId="7" fillId="0" borderId="11" xfId="0" applyNumberFormat="1" applyFont="1" applyBorder="1" applyAlignment="1">
      <alignment vertical="center"/>
    </xf>
    <xf numFmtId="164" fontId="7" fillId="0" borderId="11" xfId="1" applyFont="1" applyBorder="1" applyAlignment="1" applyProtection="1">
      <alignment vertical="center"/>
    </xf>
    <xf numFmtId="165" fontId="7" fillId="0" borderId="12" xfId="0" applyNumberFormat="1" applyFont="1" applyBorder="1" applyAlignment="1">
      <alignment vertical="center"/>
    </xf>
    <xf numFmtId="10" fontId="7" fillId="0" borderId="13" xfId="2" applyNumberFormat="1" applyFont="1" applyBorder="1" applyAlignment="1" applyProtection="1">
      <alignment vertical="center"/>
    </xf>
    <xf numFmtId="164" fontId="7" fillId="0" borderId="0" xfId="1" applyFont="1" applyBorder="1" applyAlignment="1" applyProtection="1">
      <alignment vertical="center"/>
    </xf>
    <xf numFmtId="0" fontId="7" fillId="0" borderId="0" xfId="0" applyFont="1" applyAlignment="1">
      <alignment vertical="center"/>
    </xf>
    <xf numFmtId="164" fontId="0" fillId="0" borderId="10" xfId="1" applyFont="1" applyBorder="1" applyAlignment="1" applyProtection="1">
      <alignment vertical="center"/>
    </xf>
    <xf numFmtId="164" fontId="0" fillId="0" borderId="11" xfId="0" applyNumberFormat="1" applyBorder="1" applyAlignment="1">
      <alignment vertical="center"/>
    </xf>
    <xf numFmtId="164" fontId="0" fillId="0" borderId="11" xfId="1" applyFont="1" applyBorder="1" applyAlignment="1" applyProtection="1">
      <alignment vertical="center"/>
    </xf>
    <xf numFmtId="165" fontId="0" fillId="0" borderId="12" xfId="0" applyNumberFormat="1" applyBorder="1" applyAlignment="1">
      <alignment vertical="center"/>
    </xf>
    <xf numFmtId="10" fontId="0" fillId="0" borderId="13" xfId="2" applyNumberFormat="1" applyFont="1" applyBorder="1" applyAlignment="1" applyProtection="1">
      <alignment vertical="center"/>
    </xf>
    <xf numFmtId="164" fontId="0" fillId="3" borderId="10" xfId="1" applyFont="1" applyFill="1" applyBorder="1" applyAlignment="1" applyProtection="1">
      <alignment vertical="center"/>
    </xf>
    <xf numFmtId="164" fontId="0" fillId="3" borderId="11" xfId="0" applyNumberFormat="1" applyFill="1" applyBorder="1" applyAlignment="1">
      <alignment vertical="center"/>
    </xf>
    <xf numFmtId="164" fontId="0" fillId="3" borderId="11" xfId="1" applyFont="1" applyFill="1" applyBorder="1" applyAlignment="1" applyProtection="1">
      <alignment vertical="center"/>
    </xf>
    <xf numFmtId="165" fontId="0" fillId="3" borderId="12" xfId="0" applyNumberFormat="1" applyFill="1" applyBorder="1" applyAlignment="1">
      <alignment vertical="center"/>
    </xf>
    <xf numFmtId="10" fontId="0" fillId="3" borderId="13" xfId="2" applyNumberFormat="1" applyFont="1" applyFill="1" applyBorder="1" applyAlignment="1" applyProtection="1">
      <alignment vertical="center"/>
    </xf>
    <xf numFmtId="164" fontId="0" fillId="3" borderId="0" xfId="1" applyFont="1" applyFill="1" applyBorder="1" applyAlignment="1" applyProtection="1">
      <alignment vertical="center"/>
    </xf>
    <xf numFmtId="0" fontId="0" fillId="3" borderId="0" xfId="0" applyFill="1" applyAlignment="1">
      <alignment vertical="center"/>
    </xf>
    <xf numFmtId="164" fontId="7" fillId="0" borderId="10" xfId="1" applyFont="1" applyBorder="1" applyAlignment="1" applyProtection="1">
      <alignment horizontal="left" vertical="center"/>
    </xf>
    <xf numFmtId="4" fontId="7" fillId="0" borderId="11" xfId="0" applyNumberFormat="1" applyFont="1" applyBorder="1" applyAlignment="1">
      <alignment horizontal="center" vertical="center"/>
    </xf>
    <xf numFmtId="164" fontId="1" fillId="0" borderId="10" xfId="1" applyFont="1" applyBorder="1" applyAlignment="1" applyProtection="1">
      <alignment horizontal="left" vertical="center"/>
    </xf>
    <xf numFmtId="4" fontId="0" fillId="0" borderId="11" xfId="0" applyNumberFormat="1" applyBorder="1" applyAlignment="1">
      <alignment horizontal="center" vertical="center"/>
    </xf>
    <xf numFmtId="10" fontId="1" fillId="0" borderId="13" xfId="2" applyNumberFormat="1" applyFont="1" applyBorder="1" applyAlignment="1" applyProtection="1">
      <alignment vertical="center"/>
    </xf>
    <xf numFmtId="165" fontId="7" fillId="0" borderId="14" xfId="0" applyNumberFormat="1" applyFont="1" applyBorder="1" applyAlignment="1">
      <alignment vertical="center"/>
    </xf>
    <xf numFmtId="164" fontId="7" fillId="0" borderId="15" xfId="1" applyFont="1" applyBorder="1" applyAlignment="1" applyProtection="1">
      <alignment horizontal="left" vertical="center"/>
    </xf>
    <xf numFmtId="4" fontId="7" fillId="0" borderId="16" xfId="0" applyNumberFormat="1" applyFont="1" applyBorder="1" applyAlignment="1">
      <alignment horizontal="center" vertical="center"/>
    </xf>
    <xf numFmtId="164" fontId="7" fillId="0" borderId="16" xfId="1" applyFont="1" applyBorder="1" applyAlignment="1" applyProtection="1">
      <alignment vertical="center"/>
    </xf>
    <xf numFmtId="166" fontId="7" fillId="0" borderId="17" xfId="0" applyNumberFormat="1" applyFont="1" applyBorder="1" applyAlignment="1">
      <alignment vertical="center"/>
    </xf>
    <xf numFmtId="9" fontId="7" fillId="0" borderId="18" xfId="2" applyFont="1" applyBorder="1" applyAlignment="1" applyProtection="1">
      <alignment vertical="center"/>
    </xf>
    <xf numFmtId="164" fontId="1" fillId="3" borderId="16" xfId="1" applyFont="1" applyFill="1" applyBorder="1" applyAlignment="1" applyProtection="1">
      <alignment vertical="center"/>
    </xf>
    <xf numFmtId="164" fontId="7" fillId="3" borderId="16" xfId="1" applyFont="1" applyFill="1" applyBorder="1" applyAlignment="1" applyProtection="1">
      <alignment vertical="center"/>
    </xf>
    <xf numFmtId="164" fontId="1" fillId="0" borderId="19" xfId="1" applyFont="1" applyBorder="1" applyAlignment="1" applyProtection="1">
      <alignment vertical="center"/>
    </xf>
    <xf numFmtId="164" fontId="7" fillId="0" borderId="21" xfId="1" applyFont="1" applyBorder="1" applyAlignment="1" applyProtection="1">
      <alignment horizontal="right" vertical="center"/>
    </xf>
    <xf numFmtId="164" fontId="1" fillId="0" borderId="6" xfId="1" applyFont="1" applyBorder="1" applyAlignment="1" applyProtection="1">
      <alignment vertical="center"/>
    </xf>
    <xf numFmtId="164" fontId="1" fillId="0" borderId="7" xfId="1" applyFont="1" applyBorder="1" applyAlignment="1" applyProtection="1">
      <alignment vertical="center"/>
    </xf>
    <xf numFmtId="0" fontId="0" fillId="0" borderId="7" xfId="0" applyBorder="1" applyAlignment="1">
      <alignment vertical="center"/>
    </xf>
    <xf numFmtId="1" fontId="1" fillId="0" borderId="9" xfId="1" applyNumberFormat="1" applyFont="1" applyBorder="1" applyAlignment="1" applyProtection="1">
      <alignment horizontal="right" vertical="center"/>
    </xf>
    <xf numFmtId="164" fontId="1" fillId="3" borderId="10" xfId="1" applyFont="1" applyFill="1" applyBorder="1" applyAlignment="1" applyProtection="1">
      <alignment vertical="center"/>
    </xf>
    <xf numFmtId="164" fontId="1" fillId="3" borderId="11" xfId="1" applyFont="1" applyFill="1" applyBorder="1" applyAlignment="1" applyProtection="1">
      <alignment vertical="center"/>
    </xf>
    <xf numFmtId="0" fontId="0" fillId="3" borderId="11" xfId="0" applyFill="1" applyBorder="1" applyAlignment="1">
      <alignment vertical="center"/>
    </xf>
    <xf numFmtId="1" fontId="1" fillId="3" borderId="22" xfId="1" applyNumberFormat="1" applyFont="1" applyFill="1" applyBorder="1" applyAlignment="1" applyProtection="1">
      <alignment horizontal="right" vertical="center"/>
    </xf>
    <xf numFmtId="164" fontId="1" fillId="3" borderId="0" xfId="1" applyFont="1" applyFill="1" applyBorder="1" applyAlignment="1" applyProtection="1">
      <alignment vertical="center"/>
    </xf>
    <xf numFmtId="164" fontId="1" fillId="0" borderId="10" xfId="1" applyFont="1" applyBorder="1" applyAlignment="1" applyProtection="1">
      <alignment vertical="center"/>
    </xf>
    <xf numFmtId="164" fontId="1" fillId="0" borderId="11" xfId="1" applyFont="1" applyBorder="1" applyAlignment="1" applyProtection="1">
      <alignment vertical="center"/>
    </xf>
    <xf numFmtId="0" fontId="0" fillId="0" borderId="11" xfId="0" applyBorder="1" applyAlignment="1">
      <alignment vertical="center"/>
    </xf>
    <xf numFmtId="1" fontId="1" fillId="0" borderId="22" xfId="1" applyNumberFormat="1" applyFont="1" applyBorder="1" applyAlignment="1" applyProtection="1">
      <alignment horizontal="right" vertical="center"/>
    </xf>
    <xf numFmtId="164" fontId="7" fillId="0" borderId="3" xfId="1" applyFont="1" applyBorder="1" applyAlignment="1" applyProtection="1">
      <alignment vertical="center"/>
    </xf>
    <xf numFmtId="0" fontId="0" fillId="0" borderId="0" xfId="0" applyBorder="1" applyAlignment="1">
      <alignment vertical="center"/>
    </xf>
    <xf numFmtId="3" fontId="7" fillId="0" borderId="23" xfId="1" applyNumberFormat="1" applyFont="1" applyBorder="1" applyAlignment="1" applyProtection="1">
      <alignment horizontal="right" vertical="center"/>
    </xf>
    <xf numFmtId="164" fontId="7" fillId="0" borderId="24" xfId="1" applyFont="1" applyBorder="1" applyAlignment="1" applyProtection="1">
      <alignment vertical="center"/>
    </xf>
    <xf numFmtId="4" fontId="7" fillId="0" borderId="25" xfId="0" applyNumberFormat="1" applyFont="1" applyBorder="1" applyAlignment="1">
      <alignment vertical="center"/>
    </xf>
    <xf numFmtId="0" fontId="0" fillId="0" borderId="25" xfId="0" applyBorder="1" applyAlignment="1">
      <alignment vertical="center"/>
    </xf>
    <xf numFmtId="1" fontId="7" fillId="0" borderId="26" xfId="1" applyNumberFormat="1" applyFont="1" applyBorder="1" applyAlignment="1" applyProtection="1">
      <alignment horizontal="center" vertical="center"/>
    </xf>
    <xf numFmtId="4" fontId="7" fillId="0" borderId="0" xfId="0" applyNumberFormat="1" applyFont="1" applyBorder="1" applyAlignment="1">
      <alignment vertical="center"/>
    </xf>
    <xf numFmtId="164" fontId="1" fillId="0" borderId="4" xfId="1" applyFont="1" applyBorder="1" applyAlignment="1" applyProtection="1">
      <alignment vertical="center"/>
    </xf>
    <xf numFmtId="164" fontId="1" fillId="0" borderId="28" xfId="1" applyFont="1" applyBorder="1" applyAlignment="1" applyProtection="1">
      <alignment vertical="center"/>
    </xf>
    <xf numFmtId="164" fontId="1" fillId="0" borderId="29" xfId="1" applyFont="1" applyBorder="1" applyAlignment="1" applyProtection="1">
      <alignment vertical="center"/>
    </xf>
    <xf numFmtId="0" fontId="1" fillId="0" borderId="29" xfId="0" applyFont="1" applyBorder="1" applyAlignment="1">
      <alignment vertical="center"/>
    </xf>
    <xf numFmtId="1" fontId="1" fillId="0" borderId="30" xfId="1" applyNumberFormat="1" applyFont="1" applyBorder="1" applyAlignment="1" applyProtection="1">
      <alignment horizontal="center" vertical="center"/>
    </xf>
    <xf numFmtId="1" fontId="1" fillId="0" borderId="0" xfId="1" applyNumberFormat="1" applyFont="1" applyBorder="1" applyAlignment="1" applyProtection="1">
      <alignment horizontal="center" vertical="center"/>
    </xf>
    <xf numFmtId="167" fontId="1" fillId="0" borderId="0" xfId="1" applyNumberFormat="1" applyFont="1" applyBorder="1" applyAlignment="1" applyProtection="1">
      <alignment horizontal="center" vertical="center"/>
    </xf>
    <xf numFmtId="164" fontId="7" fillId="0" borderId="15" xfId="1" applyFont="1" applyBorder="1" applyAlignment="1" applyProtection="1">
      <alignment vertical="center"/>
    </xf>
    <xf numFmtId="9" fontId="7" fillId="4" borderId="19" xfId="2" applyFont="1" applyFill="1" applyBorder="1" applyAlignment="1" applyProtection="1">
      <alignment vertical="center"/>
    </xf>
    <xf numFmtId="0" fontId="7" fillId="0" borderId="0" xfId="0" applyFont="1" applyBorder="1" applyAlignment="1">
      <alignment vertical="center"/>
    </xf>
    <xf numFmtId="167" fontId="7" fillId="0" borderId="0" xfId="1" applyNumberFormat="1" applyFont="1" applyBorder="1" applyAlignment="1" applyProtection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horizontal="center" vertical="center"/>
    </xf>
    <xf numFmtId="164" fontId="8" fillId="5" borderId="31" xfId="1" applyFont="1" applyFill="1" applyBorder="1" applyAlignment="1" applyProtection="1">
      <alignment horizontal="center" vertical="center"/>
    </xf>
    <xf numFmtId="164" fontId="8" fillId="5" borderId="18" xfId="1" applyFont="1" applyFill="1" applyBorder="1" applyAlignment="1" applyProtection="1">
      <alignment horizontal="center" vertical="center"/>
    </xf>
    <xf numFmtId="0" fontId="1" fillId="0" borderId="32" xfId="0" applyFont="1" applyBorder="1" applyAlignment="1">
      <alignment vertical="center"/>
    </xf>
    <xf numFmtId="0" fontId="1" fillId="0" borderId="33" xfId="0" applyFont="1" applyBorder="1" applyAlignment="1">
      <alignment horizontal="center" vertical="center"/>
    </xf>
    <xf numFmtId="164" fontId="1" fillId="4" borderId="33" xfId="1" applyFont="1" applyFill="1" applyBorder="1" applyAlignment="1" applyProtection="1">
      <alignment horizontal="center" vertical="center"/>
    </xf>
    <xf numFmtId="164" fontId="1" fillId="0" borderId="33" xfId="1" applyFont="1" applyBorder="1" applyAlignment="1" applyProtection="1">
      <alignment horizontal="center" vertical="center"/>
    </xf>
    <xf numFmtId="0" fontId="1" fillId="0" borderId="34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2" fontId="1" fillId="4" borderId="12" xfId="0" applyNumberFormat="1" applyFont="1" applyFill="1" applyBorder="1" applyAlignment="1">
      <alignment horizontal="center" vertical="center"/>
    </xf>
    <xf numFmtId="164" fontId="1" fillId="0" borderId="12" xfId="1" applyFont="1" applyBorder="1" applyAlignment="1" applyProtection="1">
      <alignment horizontal="center" vertical="center"/>
    </xf>
    <xf numFmtId="164" fontId="1" fillId="4" borderId="12" xfId="1" applyFont="1" applyFill="1" applyBorder="1" applyAlignment="1" applyProtection="1">
      <alignment horizontal="center" vertical="center"/>
    </xf>
    <xf numFmtId="0" fontId="7" fillId="0" borderId="35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164" fontId="7" fillId="0" borderId="0" xfId="1" applyFont="1" applyBorder="1" applyAlignment="1" applyProtection="1">
      <alignment horizontal="center" vertical="center"/>
    </xf>
    <xf numFmtId="164" fontId="7" fillId="0" borderId="36" xfId="1" applyFont="1" applyBorder="1" applyAlignment="1" applyProtection="1">
      <alignment horizontal="center" vertical="center"/>
    </xf>
    <xf numFmtId="164" fontId="1" fillId="6" borderId="12" xfId="1" applyFont="1" applyFill="1" applyBorder="1" applyAlignment="1" applyProtection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164" fontId="1" fillId="0" borderId="25" xfId="1" applyFont="1" applyBorder="1" applyAlignment="1" applyProtection="1">
      <alignment horizontal="right" vertical="center"/>
    </xf>
    <xf numFmtId="164" fontId="1" fillId="0" borderId="14" xfId="1" applyFont="1" applyBorder="1" applyAlignment="1" applyProtection="1">
      <alignment vertical="center"/>
    </xf>
    <xf numFmtId="164" fontId="7" fillId="5" borderId="19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center"/>
    </xf>
    <xf numFmtId="0" fontId="1" fillId="0" borderId="33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2" fontId="1" fillId="0" borderId="12" xfId="1" applyNumberFormat="1" applyFont="1" applyBorder="1" applyAlignment="1" applyProtection="1">
      <alignment horizontal="center" vertical="center"/>
    </xf>
    <xf numFmtId="0" fontId="7" fillId="0" borderId="36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164" fontId="1" fillId="0" borderId="0" xfId="1" applyFont="1" applyBorder="1" applyAlignment="1" applyProtection="1">
      <alignment horizontal="right" vertical="center"/>
    </xf>
    <xf numFmtId="164" fontId="1" fillId="0" borderId="12" xfId="1" applyFont="1" applyBorder="1" applyAlignment="1" applyProtection="1">
      <alignment vertical="center"/>
    </xf>
    <xf numFmtId="0" fontId="11" fillId="0" borderId="0" xfId="0" applyFont="1" applyAlignment="1">
      <alignment vertical="center"/>
    </xf>
    <xf numFmtId="1" fontId="1" fillId="4" borderId="12" xfId="0" applyNumberFormat="1" applyFont="1" applyFill="1" applyBorder="1" applyAlignment="1">
      <alignment horizontal="center" vertical="center"/>
    </xf>
    <xf numFmtId="0" fontId="7" fillId="0" borderId="12" xfId="0" applyFont="1" applyBorder="1" applyAlignment="1">
      <alignment vertical="center"/>
    </xf>
    <xf numFmtId="164" fontId="7" fillId="0" borderId="12" xfId="1" applyFont="1" applyBorder="1" applyAlignment="1" applyProtection="1">
      <alignment horizontal="center" vertical="center"/>
    </xf>
    <xf numFmtId="0" fontId="7" fillId="0" borderId="11" xfId="0" applyFont="1" applyBorder="1" applyAlignment="1">
      <alignment horizontal="center" vertical="center"/>
    </xf>
    <xf numFmtId="164" fontId="7" fillId="0" borderId="11" xfId="1" applyFont="1" applyBorder="1" applyAlignment="1" applyProtection="1">
      <alignment horizontal="center" vertical="center"/>
    </xf>
    <xf numFmtId="0" fontId="1" fillId="0" borderId="0" xfId="0" applyFont="1" applyAlignment="1">
      <alignment horizontal="right" vertical="center"/>
    </xf>
    <xf numFmtId="167" fontId="1" fillId="0" borderId="12" xfId="1" applyNumberFormat="1" applyFont="1" applyBorder="1" applyAlignment="1" applyProtection="1">
      <alignment horizontal="center" vertical="center"/>
    </xf>
    <xf numFmtId="164" fontId="1" fillId="4" borderId="0" xfId="1" applyFont="1" applyFill="1" applyBorder="1" applyAlignment="1" applyProtection="1">
      <alignment vertical="center"/>
    </xf>
    <xf numFmtId="0" fontId="1" fillId="4" borderId="0" xfId="0" applyFont="1" applyFill="1" applyAlignment="1">
      <alignment vertical="center"/>
    </xf>
    <xf numFmtId="167" fontId="1" fillId="0" borderId="12" xfId="1" applyNumberFormat="1" applyFont="1" applyBorder="1" applyAlignment="1" applyProtection="1">
      <alignment vertical="center"/>
    </xf>
    <xf numFmtId="164" fontId="7" fillId="5" borderId="5" xfId="1" applyFont="1" applyFill="1" applyBorder="1" applyAlignment="1" applyProtection="1">
      <alignment vertical="center"/>
    </xf>
    <xf numFmtId="0" fontId="7" fillId="0" borderId="15" xfId="0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164" fontId="7" fillId="0" borderId="19" xfId="1" applyFont="1" applyBorder="1" applyAlignment="1" applyProtection="1">
      <alignment vertical="center"/>
    </xf>
    <xf numFmtId="0" fontId="8" fillId="5" borderId="31" xfId="0" applyFont="1" applyFill="1" applyBorder="1" applyAlignment="1">
      <alignment horizontal="center" vertical="center" wrapText="1"/>
    </xf>
    <xf numFmtId="13" fontId="1" fillId="4" borderId="12" xfId="0" applyNumberFormat="1" applyFont="1" applyFill="1" applyBorder="1" applyAlignment="1">
      <alignment horizontal="center" vertical="center"/>
    </xf>
    <xf numFmtId="0" fontId="1" fillId="0" borderId="12" xfId="0" applyFont="1" applyBorder="1"/>
    <xf numFmtId="0" fontId="1" fillId="0" borderId="12" xfId="0" applyFont="1" applyBorder="1" applyAlignment="1">
      <alignment horizontal="center"/>
    </xf>
    <xf numFmtId="164" fontId="1" fillId="0" borderId="0" xfId="1" applyFont="1" applyBorder="1" applyAlignment="1" applyProtection="1"/>
    <xf numFmtId="0" fontId="1" fillId="0" borderId="0" xfId="0" applyFont="1"/>
    <xf numFmtId="0" fontId="1" fillId="0" borderId="12" xfId="0" applyFont="1" applyBorder="1" applyAlignment="1">
      <alignment vertical="center"/>
    </xf>
    <xf numFmtId="1" fontId="1" fillId="0" borderId="12" xfId="0" applyNumberFormat="1" applyFont="1" applyBorder="1" applyAlignment="1">
      <alignment horizontal="center" vertical="center"/>
    </xf>
    <xf numFmtId="1" fontId="1" fillId="0" borderId="12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164" fontId="1" fillId="0" borderId="16" xfId="1" applyFont="1" applyBorder="1" applyAlignment="1" applyProtection="1">
      <alignment vertical="center"/>
    </xf>
    <xf numFmtId="164" fontId="7" fillId="5" borderId="5" xfId="1" applyFont="1" applyFill="1" applyBorder="1" applyAlignment="1" applyProtection="1">
      <alignment horizontal="center" vertical="center"/>
    </xf>
    <xf numFmtId="0" fontId="12" fillId="0" borderId="0" xfId="3" applyFont="1" applyBorder="1" applyAlignment="1" applyProtection="1">
      <alignment vertical="center"/>
    </xf>
    <xf numFmtId="0" fontId="1" fillId="0" borderId="0" xfId="0" applyFont="1" applyAlignment="1">
      <alignment vertical="center"/>
    </xf>
    <xf numFmtId="0" fontId="1" fillId="0" borderId="33" xfId="0" applyFont="1" applyBorder="1" applyAlignment="1">
      <alignment horizontal="center" vertical="center"/>
    </xf>
    <xf numFmtId="164" fontId="1" fillId="0" borderId="0" xfId="1" applyFont="1" applyBorder="1" applyAlignment="1" applyProtection="1">
      <alignment horizontal="center" vertical="center"/>
    </xf>
    <xf numFmtId="168" fontId="1" fillId="0" borderId="0" xfId="0" applyNumberFormat="1" applyFont="1" applyAlignment="1">
      <alignment vertical="center"/>
    </xf>
    <xf numFmtId="0" fontId="7" fillId="0" borderId="37" xfId="0" applyFont="1" applyBorder="1" applyAlignment="1">
      <alignment vertical="center"/>
    </xf>
    <xf numFmtId="0" fontId="7" fillId="0" borderId="37" xfId="0" applyFont="1" applyBorder="1" applyAlignment="1">
      <alignment horizontal="center" vertical="center"/>
    </xf>
    <xf numFmtId="164" fontId="7" fillId="0" borderId="37" xfId="1" applyFont="1" applyBorder="1" applyAlignment="1" applyProtection="1">
      <alignment horizontal="center" vertical="center"/>
    </xf>
    <xf numFmtId="164" fontId="1" fillId="6" borderId="12" xfId="1" applyFont="1" applyFill="1" applyBorder="1" applyAlignment="1" applyProtection="1">
      <alignment vertical="center"/>
    </xf>
    <xf numFmtId="0" fontId="7" fillId="0" borderId="12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0" fontId="8" fillId="5" borderId="27" xfId="0" applyFont="1" applyFill="1" applyBorder="1" applyAlignment="1">
      <alignment horizontal="center" vertical="center"/>
    </xf>
    <xf numFmtId="0" fontId="8" fillId="5" borderId="38" xfId="0" applyFont="1" applyFill="1" applyBorder="1" applyAlignment="1">
      <alignment horizontal="center" vertical="center"/>
    </xf>
    <xf numFmtId="164" fontId="8" fillId="5" borderId="38" xfId="1" applyFont="1" applyFill="1" applyBorder="1" applyAlignment="1" applyProtection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vertical="center"/>
    </xf>
    <xf numFmtId="3" fontId="1" fillId="4" borderId="12" xfId="0" applyNumberFormat="1" applyFont="1" applyFill="1" applyBorder="1" applyAlignment="1">
      <alignment vertical="center"/>
    </xf>
    <xf numFmtId="4" fontId="1" fillId="4" borderId="33" xfId="0" applyNumberFormat="1" applyFont="1" applyFill="1" applyBorder="1" applyAlignment="1">
      <alignment horizontal="center" vertical="center"/>
    </xf>
    <xf numFmtId="169" fontId="1" fillId="4" borderId="33" xfId="1" applyNumberFormat="1" applyFont="1" applyFill="1" applyBorder="1" applyAlignment="1" applyProtection="1">
      <alignment horizontal="center" vertical="center"/>
    </xf>
    <xf numFmtId="169" fontId="1" fillId="0" borderId="33" xfId="1" applyNumberFormat="1" applyFont="1" applyBorder="1" applyAlignment="1" applyProtection="1">
      <alignment horizontal="center" vertical="center"/>
    </xf>
    <xf numFmtId="4" fontId="1" fillId="4" borderId="12" xfId="0" applyNumberFormat="1" applyFont="1" applyFill="1" applyBorder="1" applyAlignment="1">
      <alignment horizontal="center" vertical="center"/>
    </xf>
    <xf numFmtId="169" fontId="1" fillId="0" borderId="12" xfId="1" applyNumberFormat="1" applyFont="1" applyBorder="1" applyAlignment="1" applyProtection="1">
      <alignment horizontal="center" vertical="center"/>
    </xf>
    <xf numFmtId="167" fontId="7" fillId="0" borderId="12" xfId="1" applyNumberFormat="1" applyFont="1" applyBorder="1" applyAlignment="1" applyProtection="1">
      <alignment horizontal="center" vertical="center"/>
    </xf>
    <xf numFmtId="169" fontId="7" fillId="0" borderId="12" xfId="1" applyNumberFormat="1" applyFont="1" applyBorder="1" applyAlignment="1" applyProtection="1">
      <alignment horizontal="center" vertical="center"/>
    </xf>
    <xf numFmtId="0" fontId="1" fillId="4" borderId="33" xfId="0" applyFont="1" applyFill="1" applyBorder="1" applyAlignment="1">
      <alignment horizontal="center" vertical="center"/>
    </xf>
    <xf numFmtId="3" fontId="1" fillId="4" borderId="12" xfId="0" applyNumberFormat="1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164" fontId="10" fillId="4" borderId="12" xfId="1" applyFont="1" applyFill="1" applyBorder="1" applyAlignment="1" applyProtection="1">
      <alignment horizontal="center" vertical="center"/>
    </xf>
    <xf numFmtId="0" fontId="11" fillId="0" borderId="0" xfId="0" applyFont="1" applyBorder="1" applyAlignment="1">
      <alignment vertical="center"/>
    </xf>
    <xf numFmtId="164" fontId="14" fillId="0" borderId="0" xfId="1" applyFont="1" applyBorder="1" applyAlignment="1" applyProtection="1">
      <alignment vertical="center"/>
    </xf>
    <xf numFmtId="0" fontId="14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64" fontId="2" fillId="0" borderId="0" xfId="1" applyFont="1" applyBorder="1" applyAlignment="1" applyProtection="1">
      <alignment vertical="center"/>
    </xf>
    <xf numFmtId="0" fontId="1" fillId="0" borderId="39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164" fontId="1" fillId="0" borderId="40" xfId="1" applyFont="1" applyBorder="1" applyAlignment="1" applyProtection="1">
      <alignment vertical="center"/>
    </xf>
    <xf numFmtId="164" fontId="7" fillId="0" borderId="19" xfId="1" applyFont="1" applyBorder="1" applyAlignment="1" applyProtection="1">
      <alignment horizontal="right" vertical="center"/>
    </xf>
    <xf numFmtId="164" fontId="7" fillId="5" borderId="5" xfId="1" applyFont="1" applyFill="1" applyBorder="1" applyAlignment="1" applyProtection="1">
      <alignment horizontal="right" vertical="center"/>
    </xf>
    <xf numFmtId="0" fontId="1" fillId="0" borderId="0" xfId="0" applyFont="1" applyBorder="1"/>
    <xf numFmtId="4" fontId="1" fillId="0" borderId="0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4" fontId="0" fillId="0" borderId="0" xfId="0" applyNumberFormat="1" applyAlignment="1">
      <alignment vertical="center"/>
    </xf>
    <xf numFmtId="0" fontId="4" fillId="0" borderId="0" xfId="0" applyFont="1" applyAlignment="1">
      <alignment vertical="center"/>
    </xf>
    <xf numFmtId="0" fontId="18" fillId="0" borderId="34" xfId="0" applyFont="1" applyBorder="1" applyAlignment="1">
      <alignment horizontal="left" vertical="center"/>
    </xf>
    <xf numFmtId="0" fontId="18" fillId="0" borderId="12" xfId="0" applyFont="1" applyBorder="1" applyAlignment="1">
      <alignment horizontal="left" vertical="center"/>
    </xf>
    <xf numFmtId="0" fontId="18" fillId="0" borderId="22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10" fontId="18" fillId="0" borderId="22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10" fontId="19" fillId="0" borderId="22" xfId="0" applyNumberFormat="1" applyFont="1" applyBorder="1" applyAlignment="1">
      <alignment horizontal="right" vertical="center"/>
    </xf>
    <xf numFmtId="0" fontId="18" fillId="7" borderId="34" xfId="0" applyFont="1" applyFill="1" applyBorder="1" applyAlignment="1">
      <alignment horizontal="left" vertical="center"/>
    </xf>
    <xf numFmtId="0" fontId="19" fillId="7" borderId="12" xfId="0" applyFont="1" applyFill="1" applyBorder="1" applyAlignment="1">
      <alignment horizontal="left" vertical="center"/>
    </xf>
    <xf numFmtId="10" fontId="19" fillId="7" borderId="22" xfId="0" applyNumberFormat="1" applyFont="1" applyFill="1" applyBorder="1" applyAlignment="1">
      <alignment horizontal="right" vertical="center"/>
    </xf>
    <xf numFmtId="0" fontId="20" fillId="0" borderId="12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10" fontId="1" fillId="0" borderId="0" xfId="0" applyNumberFormat="1" applyFont="1"/>
    <xf numFmtId="9" fontId="18" fillId="0" borderId="0" xfId="2" applyFont="1" applyBorder="1" applyAlignment="1" applyProtection="1">
      <alignment horizontal="right" vertical="center"/>
    </xf>
    <xf numFmtId="10" fontId="1" fillId="0" borderId="0" xfId="0" applyNumberFormat="1" applyFont="1" applyBorder="1"/>
    <xf numFmtId="0" fontId="18" fillId="0" borderId="12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left" vertical="center"/>
    </xf>
    <xf numFmtId="0" fontId="18" fillId="8" borderId="42" xfId="0" applyFont="1" applyFill="1" applyBorder="1" applyAlignment="1">
      <alignment horizontal="left" vertical="center"/>
    </xf>
    <xf numFmtId="0" fontId="19" fillId="8" borderId="14" xfId="0" applyFont="1" applyFill="1" applyBorder="1" applyAlignment="1">
      <alignment horizontal="left" vertical="center"/>
    </xf>
    <xf numFmtId="10" fontId="19" fillId="8" borderId="30" xfId="0" applyNumberFormat="1" applyFont="1" applyFill="1" applyBorder="1" applyAlignment="1">
      <alignment horizontal="right" vertical="center"/>
    </xf>
    <xf numFmtId="0" fontId="19" fillId="0" borderId="0" xfId="0" applyFont="1" applyBorder="1" applyAlignment="1">
      <alignment horizontal="left" vertical="center"/>
    </xf>
    <xf numFmtId="10" fontId="19" fillId="0" borderId="0" xfId="0" applyNumberFormat="1" applyFont="1" applyBorder="1" applyAlignment="1">
      <alignment horizontal="right" vertical="center"/>
    </xf>
    <xf numFmtId="0" fontId="21" fillId="9" borderId="0" xfId="0" applyFont="1" applyFill="1" applyBorder="1" applyAlignment="1">
      <alignment horizontal="left" vertical="center"/>
    </xf>
    <xf numFmtId="10" fontId="18" fillId="0" borderId="0" xfId="0" applyNumberFormat="1" applyFont="1" applyBorder="1" applyAlignment="1">
      <alignment horizontal="right" vertical="center"/>
    </xf>
    <xf numFmtId="0" fontId="18" fillId="9" borderId="0" xfId="0" applyFont="1" applyFill="1" applyBorder="1" applyAlignment="1">
      <alignment horizontal="left" vertical="center"/>
    </xf>
    <xf numFmtId="10" fontId="18" fillId="0" borderId="0" xfId="0" applyNumberFormat="1" applyFont="1" applyBorder="1" applyAlignment="1">
      <alignment horizontal="right" vertical="center"/>
    </xf>
    <xf numFmtId="0" fontId="19" fillId="0" borderId="0" xfId="0" applyFont="1" applyBorder="1" applyAlignment="1">
      <alignment horizontal="left" vertical="center"/>
    </xf>
    <xf numFmtId="10" fontId="19" fillId="0" borderId="0" xfId="0" applyNumberFormat="1" applyFont="1" applyBorder="1" applyAlignment="1">
      <alignment horizontal="right" vertical="center"/>
    </xf>
    <xf numFmtId="0" fontId="22" fillId="0" borderId="0" xfId="0" applyFont="1" applyBorder="1" applyAlignment="1">
      <alignment horizontal="justify" vertical="center"/>
    </xf>
    <xf numFmtId="0" fontId="12" fillId="0" borderId="0" xfId="3" applyFont="1" applyBorder="1" applyAlignment="1" applyProtection="1">
      <alignment horizontal="left" vertical="center"/>
    </xf>
    <xf numFmtId="0" fontId="23" fillId="0" borderId="0" xfId="0" applyFont="1" applyBorder="1"/>
    <xf numFmtId="0" fontId="18" fillId="0" borderId="0" xfId="0" applyFont="1" applyBorder="1" applyAlignment="1">
      <alignment horizontal="right" vertical="center"/>
    </xf>
    <xf numFmtId="0" fontId="7" fillId="0" borderId="0" xfId="0" applyFont="1"/>
    <xf numFmtId="0" fontId="24" fillId="0" borderId="0" xfId="0" applyFont="1"/>
    <xf numFmtId="0" fontId="25" fillId="0" borderId="10" xfId="0" applyFont="1" applyBorder="1"/>
    <xf numFmtId="0" fontId="5" fillId="0" borderId="13" xfId="0" applyFont="1" applyBorder="1"/>
    <xf numFmtId="0" fontId="25" fillId="0" borderId="35" xfId="0" applyFont="1" applyBorder="1"/>
    <xf numFmtId="0" fontId="25" fillId="4" borderId="22" xfId="0" applyFont="1" applyFill="1" applyBorder="1"/>
    <xf numFmtId="0" fontId="25" fillId="0" borderId="34" xfId="0" applyFont="1" applyBorder="1"/>
    <xf numFmtId="0" fontId="5" fillId="0" borderId="34" xfId="0" applyFont="1" applyBorder="1"/>
    <xf numFmtId="0" fontId="5" fillId="4" borderId="22" xfId="0" applyFont="1" applyFill="1" applyBorder="1"/>
    <xf numFmtId="0" fontId="5" fillId="0" borderId="35" xfId="0" applyFont="1" applyBorder="1"/>
    <xf numFmtId="0" fontId="5" fillId="4" borderId="43" xfId="0" applyFont="1" applyFill="1" applyBorder="1"/>
    <xf numFmtId="0" fontId="5" fillId="0" borderId="44" xfId="0" applyFont="1" applyBorder="1"/>
    <xf numFmtId="0" fontId="5" fillId="0" borderId="32" xfId="0" applyFont="1" applyBorder="1"/>
    <xf numFmtId="0" fontId="5" fillId="4" borderId="45" xfId="0" applyFont="1" applyFill="1" applyBorder="1"/>
    <xf numFmtId="0" fontId="5" fillId="0" borderId="22" xfId="0" applyFont="1" applyBorder="1"/>
    <xf numFmtId="0" fontId="5" fillId="0" borderId="3" xfId="0" applyFont="1" applyBorder="1"/>
    <xf numFmtId="0" fontId="5" fillId="0" borderId="4" xfId="0" applyFont="1" applyBorder="1"/>
    <xf numFmtId="0" fontId="6" fillId="0" borderId="43" xfId="0" applyFont="1" applyBorder="1"/>
    <xf numFmtId="10" fontId="25" fillId="0" borderId="22" xfId="2" applyNumberFormat="1" applyFont="1" applyBorder="1" applyAlignment="1" applyProtection="1"/>
    <xf numFmtId="170" fontId="6" fillId="0" borderId="22" xfId="0" applyNumberFormat="1" applyFont="1" applyBorder="1"/>
    <xf numFmtId="0" fontId="25" fillId="0" borderId="22" xfId="0" applyFont="1" applyBorder="1"/>
    <xf numFmtId="0" fontId="25" fillId="0" borderId="43" xfId="0" applyFont="1" applyBorder="1"/>
    <xf numFmtId="9" fontId="25" fillId="0" borderId="22" xfId="2" applyFont="1" applyBorder="1" applyAlignment="1" applyProtection="1"/>
    <xf numFmtId="0" fontId="25" fillId="0" borderId="24" xfId="0" applyFont="1" applyBorder="1"/>
    <xf numFmtId="9" fontId="6" fillId="0" borderId="26" xfId="2" applyFont="1" applyBorder="1" applyAlignment="1" applyProtection="1"/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10" borderId="46" xfId="0" applyFont="1" applyFill="1" applyBorder="1" applyAlignment="1">
      <alignment vertical="center"/>
    </xf>
    <xf numFmtId="0" fontId="2" fillId="10" borderId="47" xfId="0" applyFont="1" applyFill="1" applyBorder="1" applyAlignment="1">
      <alignment vertical="center"/>
    </xf>
    <xf numFmtId="0" fontId="2" fillId="10" borderId="48" xfId="0" applyFont="1" applyFill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9" fontId="26" fillId="0" borderId="49" xfId="2" applyFont="1" applyBorder="1" applyAlignment="1" applyProtection="1"/>
    <xf numFmtId="9" fontId="26" fillId="0" borderId="9" xfId="2" applyFont="1" applyBorder="1" applyAlignment="1" applyProtection="1"/>
    <xf numFmtId="9" fontId="26" fillId="0" borderId="50" xfId="2" applyFont="1" applyBorder="1" applyAlignment="1" applyProtection="1"/>
    <xf numFmtId="0" fontId="5" fillId="0" borderId="0" xfId="0" applyFont="1" applyBorder="1"/>
    <xf numFmtId="9" fontId="27" fillId="0" borderId="34" xfId="2" applyFont="1" applyBorder="1" applyAlignment="1" applyProtection="1"/>
    <xf numFmtId="9" fontId="27" fillId="0" borderId="22" xfId="2" applyFont="1" applyBorder="1" applyAlignment="1" applyProtection="1">
      <alignment horizontal="center"/>
    </xf>
    <xf numFmtId="9" fontId="27" fillId="0" borderId="13" xfId="2" applyFont="1" applyBorder="1" applyAlignment="1" applyProtection="1"/>
    <xf numFmtId="0" fontId="5" fillId="0" borderId="49" xfId="0" applyFont="1" applyBorder="1" applyAlignment="1">
      <alignment horizontal="left" vertical="center"/>
    </xf>
    <xf numFmtId="0" fontId="5" fillId="0" borderId="51" xfId="0" applyFont="1" applyBorder="1" applyAlignment="1">
      <alignment horizontal="center" vertical="center"/>
    </xf>
    <xf numFmtId="10" fontId="5" fillId="4" borderId="9" xfId="0" applyNumberFormat="1" applyFont="1" applyFill="1" applyBorder="1" applyAlignment="1">
      <alignment horizontal="center" vertical="center"/>
    </xf>
    <xf numFmtId="10" fontId="27" fillId="0" borderId="34" xfId="2" applyNumberFormat="1" applyFont="1" applyBorder="1" applyAlignment="1" applyProtection="1">
      <alignment horizontal="right"/>
    </xf>
    <xf numFmtId="10" fontId="27" fillId="0" borderId="22" xfId="2" applyNumberFormat="1" applyFont="1" applyBorder="1" applyAlignment="1" applyProtection="1">
      <alignment horizontal="right"/>
    </xf>
    <xf numFmtId="10" fontId="27" fillId="0" borderId="13" xfId="2" applyNumberFormat="1" applyFont="1" applyBorder="1" applyAlignment="1" applyProtection="1">
      <alignment horizontal="right"/>
    </xf>
    <xf numFmtId="0" fontId="5" fillId="0" borderId="34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10" fontId="5" fillId="4" borderId="22" xfId="0" applyNumberFormat="1" applyFont="1" applyFill="1" applyBorder="1" applyAlignment="1">
      <alignment horizontal="center" vertical="center"/>
    </xf>
    <xf numFmtId="10" fontId="5" fillId="0" borderId="22" xfId="0" applyNumberFormat="1" applyFont="1" applyBorder="1" applyAlignment="1">
      <alignment horizontal="center" vertical="center"/>
    </xf>
    <xf numFmtId="10" fontId="5" fillId="0" borderId="34" xfId="2" applyNumberFormat="1" applyFont="1" applyBorder="1" applyAlignment="1" applyProtection="1">
      <alignment horizontal="right"/>
    </xf>
    <xf numFmtId="10" fontId="5" fillId="4" borderId="22" xfId="2" applyNumberFormat="1" applyFont="1" applyFill="1" applyBorder="1" applyAlignment="1" applyProtection="1">
      <alignment horizontal="center"/>
    </xf>
    <xf numFmtId="10" fontId="5" fillId="0" borderId="13" xfId="2" applyNumberFormat="1" applyFont="1" applyBorder="1" applyAlignment="1" applyProtection="1"/>
    <xf numFmtId="0" fontId="5" fillId="0" borderId="34" xfId="0" applyFont="1" applyBorder="1" applyAlignment="1">
      <alignment horizontal="right"/>
    </xf>
    <xf numFmtId="0" fontId="5" fillId="4" borderId="22" xfId="0" applyFont="1" applyFill="1" applyBorder="1" applyAlignment="1">
      <alignment horizontal="center"/>
    </xf>
    <xf numFmtId="0" fontId="5" fillId="0" borderId="42" xfId="0" applyFont="1" applyBorder="1" applyAlignment="1">
      <alignment horizontal="left" vertical="center"/>
    </xf>
    <xf numFmtId="10" fontId="5" fillId="4" borderId="30" xfId="0" applyNumberFormat="1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/>
    </xf>
    <xf numFmtId="0" fontId="5" fillId="0" borderId="46" xfId="0" applyFont="1" applyBorder="1" applyAlignment="1">
      <alignment vertical="center"/>
    </xf>
    <xf numFmtId="0" fontId="5" fillId="0" borderId="47" xfId="0" applyFont="1" applyBorder="1" applyAlignment="1">
      <alignment vertical="center"/>
    </xf>
    <xf numFmtId="10" fontId="5" fillId="0" borderId="48" xfId="0" applyNumberFormat="1" applyFont="1" applyBorder="1" applyAlignment="1">
      <alignment vertical="center"/>
    </xf>
    <xf numFmtId="0" fontId="5" fillId="0" borderId="24" xfId="0" applyFont="1" applyBorder="1" applyAlignment="1">
      <alignment horizontal="left" vertical="center"/>
    </xf>
    <xf numFmtId="0" fontId="5" fillId="0" borderId="25" xfId="0" applyFont="1" applyBorder="1" applyAlignment="1">
      <alignment horizontal="left" vertical="center"/>
    </xf>
    <xf numFmtId="0" fontId="5" fillId="0" borderId="52" xfId="0" applyFont="1" applyBorder="1" applyAlignment="1">
      <alignment vertical="center"/>
    </xf>
    <xf numFmtId="0" fontId="6" fillId="7" borderId="15" xfId="0" applyFont="1" applyFill="1" applyBorder="1" applyAlignment="1">
      <alignment vertical="center" wrapText="1"/>
    </xf>
    <xf numFmtId="0" fontId="5" fillId="7" borderId="16" xfId="0" applyFont="1" applyFill="1" applyBorder="1" applyAlignment="1">
      <alignment vertical="center"/>
    </xf>
    <xf numFmtId="10" fontId="6" fillId="7" borderId="19" xfId="0" applyNumberFormat="1" applyFont="1" applyFill="1" applyBorder="1" applyAlignment="1">
      <alignment horizontal="center" vertical="center" wrapText="1"/>
    </xf>
    <xf numFmtId="10" fontId="27" fillId="0" borderId="42" xfId="2" applyNumberFormat="1" applyFont="1" applyBorder="1" applyAlignment="1" applyProtection="1">
      <alignment horizontal="right"/>
    </xf>
    <xf numFmtId="10" fontId="27" fillId="0" borderId="30" xfId="2" applyNumberFormat="1" applyFont="1" applyBorder="1" applyAlignment="1" applyProtection="1">
      <alignment horizontal="right"/>
    </xf>
    <xf numFmtId="10" fontId="27" fillId="0" borderId="53" xfId="2" applyNumberFormat="1" applyFont="1" applyBorder="1" applyAlignment="1" applyProtection="1">
      <alignment horizontal="right"/>
    </xf>
    <xf numFmtId="0" fontId="19" fillId="0" borderId="34" xfId="0" applyFont="1" applyBorder="1" applyAlignment="1">
      <alignment horizontal="center" vertical="center"/>
    </xf>
    <xf numFmtId="0" fontId="19" fillId="11" borderId="12" xfId="0" applyFont="1" applyFill="1" applyBorder="1" applyAlignment="1">
      <alignment horizontal="center" vertical="center"/>
    </xf>
    <xf numFmtId="0" fontId="18" fillId="0" borderId="34" xfId="0" applyFont="1" applyBorder="1" applyAlignment="1">
      <alignment horizontal="center" vertical="center"/>
    </xf>
    <xf numFmtId="2" fontId="18" fillId="11" borderId="12" xfId="0" applyNumberFormat="1" applyFont="1" applyFill="1" applyBorder="1" applyAlignment="1">
      <alignment horizontal="right" vertical="center"/>
    </xf>
    <xf numFmtId="0" fontId="18" fillId="0" borderId="42" xfId="0" applyFont="1" applyBorder="1" applyAlignment="1">
      <alignment horizontal="center" vertical="center"/>
    </xf>
    <xf numFmtId="2" fontId="18" fillId="11" borderId="14" xfId="0" applyNumberFormat="1" applyFont="1" applyFill="1" applyBorder="1" applyAlignment="1">
      <alignment horizontal="right" vertical="center"/>
    </xf>
    <xf numFmtId="0" fontId="4" fillId="10" borderId="1" xfId="0" applyFont="1" applyFill="1" applyBorder="1" applyAlignment="1">
      <alignment horizontal="center"/>
    </xf>
    <xf numFmtId="0" fontId="1" fillId="0" borderId="54" xfId="0" applyFont="1" applyBorder="1"/>
    <xf numFmtId="0" fontId="28" fillId="0" borderId="54" xfId="0" applyFont="1" applyBorder="1" applyAlignment="1">
      <alignment horizontal="justify"/>
    </xf>
    <xf numFmtId="0" fontId="28" fillId="0" borderId="55" xfId="0" applyFont="1" applyBorder="1" applyAlignment="1">
      <alignment horizontal="justify"/>
    </xf>
    <xf numFmtId="0" fontId="4" fillId="0" borderId="34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" fillId="0" borderId="0" xfId="0" applyFont="1"/>
    <xf numFmtId="0" fontId="6" fillId="0" borderId="34" xfId="0" applyFont="1" applyBorder="1"/>
    <xf numFmtId="0" fontId="6" fillId="0" borderId="12" xfId="0" applyFont="1" applyBorder="1"/>
    <xf numFmtId="0" fontId="6" fillId="0" borderId="22" xfId="0" applyFont="1" applyBorder="1"/>
    <xf numFmtId="0" fontId="5" fillId="0" borderId="34" xfId="0" applyFont="1" applyBorder="1"/>
    <xf numFmtId="0" fontId="5" fillId="0" borderId="12" xfId="0" applyFont="1" applyBorder="1"/>
    <xf numFmtId="0" fontId="5" fillId="0" borderId="12" xfId="0" applyFont="1" applyBorder="1"/>
    <xf numFmtId="171" fontId="20" fillId="0" borderId="22" xfId="1" applyNumberFormat="1" applyFont="1" applyBorder="1" applyAlignment="1" applyProtection="1">
      <alignment horizontal="center" vertical="center" wrapText="1"/>
    </xf>
    <xf numFmtId="172" fontId="5" fillId="0" borderId="22" xfId="0" applyNumberFormat="1" applyFont="1" applyBorder="1"/>
    <xf numFmtId="2" fontId="5" fillId="0" borderId="22" xfId="0" applyNumberFormat="1" applyFont="1" applyBorder="1"/>
    <xf numFmtId="172" fontId="5" fillId="4" borderId="22" xfId="0" applyNumberFormat="1" applyFont="1" applyFill="1" applyBorder="1"/>
    <xf numFmtId="0" fontId="5" fillId="0" borderId="22" xfId="0" applyFont="1" applyBorder="1"/>
    <xf numFmtId="173" fontId="5" fillId="4" borderId="22" xfId="0" applyNumberFormat="1" applyFont="1" applyFill="1" applyBorder="1"/>
    <xf numFmtId="0" fontId="5" fillId="0" borderId="42" xfId="0" applyFont="1" applyBorder="1"/>
    <xf numFmtId="0" fontId="5" fillId="0" borderId="14" xfId="0" applyFont="1" applyBorder="1"/>
    <xf numFmtId="172" fontId="5" fillId="0" borderId="30" xfId="0" applyNumberFormat="1" applyFont="1" applyBorder="1"/>
  </cellXfs>
  <cellStyles count="4">
    <cellStyle name="Hiperlink" xfId="3" builtinId="8"/>
    <cellStyle name="Normal" xfId="0" builtinId="0"/>
    <cellStyle name="Porcentagem" xfId="2" builtinId="5"/>
    <cellStyle name="Vírgula" xfId="1" builtinId="3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EECE1"/>
      <rgbColor rgb="FFDDD9C3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BFBFBF"/>
      <rgbColor rgb="FFFF99CC"/>
      <rgbColor rgb="FFCC99FF"/>
      <rgbColor rgb="FFFAC090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133200</xdr:colOff>
      <xdr:row>4</xdr:row>
      <xdr:rowOff>28440</xdr:rowOff>
    </xdr:from>
    <xdr:to>
      <xdr:col>0</xdr:col>
      <xdr:colOff>1418760</xdr:colOff>
      <xdr:row>6</xdr:row>
      <xdr:rowOff>66240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33200" y="734400"/>
          <a:ext cx="1285560" cy="361800"/>
        </a:xfrm>
        <a:prstGeom prst="rect">
          <a:avLst/>
        </a:prstGeom>
        <a:noFill/>
        <a:ln w="0">
          <a:noFill/>
        </a:ln>
      </xdr:spPr>
    </xdr:pic>
    <xdr:clientData/>
  </xdr:twoCellAnchor>
  <xdr:twoCellAnchor>
    <xdr:from>
      <xdr:col>0</xdr:col>
      <xdr:colOff>85680</xdr:colOff>
      <xdr:row>7</xdr:row>
      <xdr:rowOff>9360</xdr:rowOff>
    </xdr:from>
    <xdr:to>
      <xdr:col>0</xdr:col>
      <xdr:colOff>2123640</xdr:colOff>
      <xdr:row>9</xdr:row>
      <xdr:rowOff>56520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5680" y="1201320"/>
          <a:ext cx="2037960" cy="3708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49"/>
  <sheetViews>
    <sheetView view="pageBreakPreview" topLeftCell="A16" zoomScaleNormal="100" workbookViewId="0">
      <selection activeCell="A34" sqref="A34:D34"/>
    </sheetView>
  </sheetViews>
  <sheetFormatPr defaultColWidth="9.140625" defaultRowHeight="12.75" x14ac:dyDescent="0.2"/>
  <cols>
    <col min="1" max="1" width="44.5703125" style="12" customWidth="1"/>
    <col min="2" max="2" width="16" style="12" customWidth="1"/>
    <col min="3" max="3" width="11.85546875" style="12" customWidth="1"/>
    <col min="4" max="4" width="14.7109375" style="13" customWidth="1"/>
    <col min="5" max="5" width="15.42578125" style="13" customWidth="1"/>
    <col min="6" max="6" width="13.28515625" style="13" customWidth="1"/>
    <col min="7" max="7" width="28.140625" style="13" customWidth="1"/>
    <col min="8" max="8" width="9.140625" style="12"/>
    <col min="9" max="9" width="14.5703125" style="12" customWidth="1"/>
    <col min="10" max="10" width="13.42578125" style="12" customWidth="1"/>
    <col min="11" max="16384" width="9.140625" style="12"/>
  </cols>
  <sheetData>
    <row r="1" spans="1:7" ht="15.75" hidden="1" x14ac:dyDescent="0.2">
      <c r="A1" s="14" t="s">
        <v>0</v>
      </c>
    </row>
    <row r="2" spans="1:7" s="18" customFormat="1" ht="15" hidden="1" customHeight="1" x14ac:dyDescent="0.2">
      <c r="A2" s="15" t="s">
        <v>1</v>
      </c>
      <c r="B2" s="16"/>
      <c r="C2" s="16"/>
      <c r="D2" s="16"/>
      <c r="E2" s="16"/>
      <c r="F2" s="16"/>
      <c r="G2" s="17"/>
    </row>
    <row r="3" spans="1:7" s="18" customFormat="1" ht="15" customHeight="1" x14ac:dyDescent="0.2">
      <c r="A3" s="19"/>
      <c r="B3" s="16"/>
      <c r="C3" s="16"/>
      <c r="D3" s="16"/>
      <c r="E3" s="16"/>
      <c r="F3" s="16"/>
      <c r="G3" s="17"/>
    </row>
    <row r="4" spans="1:7" s="21" customFormat="1" ht="18" x14ac:dyDescent="0.2">
      <c r="A4" s="11" t="s">
        <v>2</v>
      </c>
      <c r="B4" s="11"/>
      <c r="C4" s="11"/>
      <c r="D4" s="11"/>
      <c r="E4" s="11"/>
      <c r="F4" s="11"/>
      <c r="G4" s="20"/>
    </row>
    <row r="5" spans="1:7" s="21" customFormat="1" ht="21.75" customHeight="1" x14ac:dyDescent="0.2">
      <c r="A5" s="10" t="s">
        <v>3</v>
      </c>
      <c r="B5" s="10"/>
      <c r="C5" s="10"/>
      <c r="D5" s="10"/>
      <c r="E5" s="10"/>
      <c r="F5" s="10"/>
      <c r="G5" s="20"/>
    </row>
    <row r="6" spans="1:7" s="18" customFormat="1" ht="10.5" customHeight="1" x14ac:dyDescent="0.2">
      <c r="A6" s="22"/>
      <c r="B6" s="23"/>
      <c r="C6" s="23"/>
      <c r="D6" s="17"/>
      <c r="E6" s="17"/>
      <c r="F6" s="24"/>
      <c r="G6" s="17"/>
    </row>
    <row r="7" spans="1:7" s="18" customFormat="1" ht="15.75" customHeight="1" x14ac:dyDescent="0.2">
      <c r="A7" s="9" t="s">
        <v>4</v>
      </c>
      <c r="B7" s="9"/>
      <c r="C7" s="9"/>
      <c r="D7" s="9"/>
      <c r="E7" s="9"/>
      <c r="F7" s="9"/>
      <c r="G7" s="17"/>
    </row>
    <row r="8" spans="1:7" s="18" customFormat="1" ht="15.75" customHeight="1" x14ac:dyDescent="0.2">
      <c r="A8" s="25" t="s">
        <v>5</v>
      </c>
      <c r="B8" s="26"/>
      <c r="C8" s="26"/>
      <c r="D8" s="27"/>
      <c r="E8" s="28" t="s">
        <v>6</v>
      </c>
      <c r="F8" s="29" t="s">
        <v>7</v>
      </c>
      <c r="G8" s="17"/>
    </row>
    <row r="9" spans="1:7" s="36" customFormat="1" ht="15.75" customHeight="1" x14ac:dyDescent="0.2">
      <c r="A9" s="30" t="str">
        <f>A48</f>
        <v>1. Mão-de-obra</v>
      </c>
      <c r="B9" s="31"/>
      <c r="C9" s="32"/>
      <c r="D9" s="32"/>
      <c r="E9" s="33">
        <f>+F138</f>
        <v>18718.602284132157</v>
      </c>
      <c r="F9" s="34">
        <f t="shared" ref="F9:F28" si="0">IFERROR(E9/$E$29,0)</f>
        <v>0.69755764109576424</v>
      </c>
      <c r="G9" s="35"/>
    </row>
    <row r="10" spans="1:7" s="18" customFormat="1" ht="15.75" customHeight="1" x14ac:dyDescent="0.2">
      <c r="A10" s="37" t="str">
        <f>A50</f>
        <v>1.1. Jardineiro, Faxineiro, limpador, Serviços Gerais, auxiliar de limpeza (Ins. 20%; 220 horas Mensal)</v>
      </c>
      <c r="B10" s="38"/>
      <c r="C10" s="39"/>
      <c r="D10" s="39"/>
      <c r="E10" s="40">
        <f>F62</f>
        <v>14845.748771138558</v>
      </c>
      <c r="F10" s="41">
        <f t="shared" si="0"/>
        <v>0.55323390795446215</v>
      </c>
      <c r="G10" s="17"/>
    </row>
    <row r="11" spans="1:7" s="48" customFormat="1" ht="15.75" hidden="1" customHeight="1" x14ac:dyDescent="0.2">
      <c r="A11" s="42" t="str">
        <f>A64</f>
        <v>1.2. Coletor Turno Noite</v>
      </c>
      <c r="B11" s="43"/>
      <c r="C11" s="44"/>
      <c r="D11" s="44"/>
      <c r="E11" s="45">
        <f>F81</f>
        <v>0</v>
      </c>
      <c r="F11" s="46">
        <f t="shared" si="0"/>
        <v>0</v>
      </c>
      <c r="G11" s="47"/>
    </row>
    <row r="12" spans="1:7" s="18" customFormat="1" ht="15.75" customHeight="1" x14ac:dyDescent="0.2">
      <c r="A12" s="37" t="str">
        <f>A83</f>
        <v>1.2. Gratificação Por Coordenação de Equipe</v>
      </c>
      <c r="B12" s="38"/>
      <c r="C12" s="39"/>
      <c r="D12" s="39"/>
      <c r="E12" s="40">
        <f>F96</f>
        <v>1490.1735129935998</v>
      </c>
      <c r="F12" s="41">
        <f t="shared" si="0"/>
        <v>5.5532026631517101E-2</v>
      </c>
      <c r="G12" s="17"/>
    </row>
    <row r="13" spans="1:7" s="48" customFormat="1" ht="15.75" hidden="1" customHeight="1" x14ac:dyDescent="0.2">
      <c r="A13" s="42" t="str">
        <f>A98</f>
        <v>1.4. Motorista Turno Noite</v>
      </c>
      <c r="B13" s="43"/>
      <c r="C13" s="44"/>
      <c r="D13" s="44"/>
      <c r="E13" s="45">
        <f>F117</f>
        <v>0</v>
      </c>
      <c r="F13" s="46">
        <f t="shared" si="0"/>
        <v>0</v>
      </c>
      <c r="G13" s="47"/>
    </row>
    <row r="14" spans="1:7" s="48" customFormat="1" ht="15.75" hidden="1" customHeight="1" x14ac:dyDescent="0.2">
      <c r="A14" s="42" t="str">
        <f>A119</f>
        <v>1.5. Vale Transporte</v>
      </c>
      <c r="B14" s="43"/>
      <c r="C14" s="44"/>
      <c r="D14" s="44"/>
      <c r="E14" s="45">
        <f>F125</f>
        <v>0</v>
      </c>
      <c r="F14" s="46">
        <f t="shared" si="0"/>
        <v>0</v>
      </c>
      <c r="G14" s="47"/>
    </row>
    <row r="15" spans="1:7" s="18" customFormat="1" ht="15.75" customHeight="1" x14ac:dyDescent="0.2">
      <c r="A15" s="37" t="str">
        <f>A127</f>
        <v>1.3. Vale-refeição (diário)</v>
      </c>
      <c r="B15" s="38"/>
      <c r="C15" s="39"/>
      <c r="D15" s="39"/>
      <c r="E15" s="40">
        <f>F130</f>
        <v>2280.6</v>
      </c>
      <c r="F15" s="41">
        <f t="shared" si="0"/>
        <v>8.4987646627417826E-2</v>
      </c>
      <c r="G15" s="17"/>
    </row>
    <row r="16" spans="1:7" s="18" customFormat="1" ht="15.75" customHeight="1" x14ac:dyDescent="0.2">
      <c r="A16" s="37" t="str">
        <f>A132</f>
        <v>1.4. Plnao de Benfício Familiar (mensal)</v>
      </c>
      <c r="B16" s="38"/>
      <c r="C16" s="39"/>
      <c r="D16" s="39"/>
      <c r="E16" s="40">
        <f>F136</f>
        <v>102.08</v>
      </c>
      <c r="F16" s="41">
        <f t="shared" si="0"/>
        <v>3.8040598823672767E-3</v>
      </c>
      <c r="G16" s="17"/>
    </row>
    <row r="17" spans="1:7" s="36" customFormat="1" ht="15.75" customHeight="1" x14ac:dyDescent="0.2">
      <c r="A17" s="8" t="str">
        <f>A140</f>
        <v>2. Uniformes e Equipamentos de Proteção Individual</v>
      </c>
      <c r="B17" s="8"/>
      <c r="C17" s="8"/>
      <c r="D17" s="32"/>
      <c r="E17" s="33">
        <f>+F179</f>
        <v>880.31666666666661</v>
      </c>
      <c r="F17" s="34">
        <f t="shared" si="0"/>
        <v>3.280542040993293E-2</v>
      </c>
      <c r="G17" s="35"/>
    </row>
    <row r="18" spans="1:7" s="36" customFormat="1" ht="15.75" customHeight="1" x14ac:dyDescent="0.2">
      <c r="A18" s="49" t="str">
        <f>A181</f>
        <v>3. Veículos e Equipamentos</v>
      </c>
      <c r="B18" s="50"/>
      <c r="C18" s="32"/>
      <c r="D18" s="32"/>
      <c r="E18" s="33">
        <f>+F258</f>
        <v>1421.3301519484128</v>
      </c>
      <c r="F18" s="34">
        <f t="shared" si="0"/>
        <v>5.2966545950489254E-2</v>
      </c>
      <c r="G18" s="35"/>
    </row>
    <row r="19" spans="1:7" s="18" customFormat="1" ht="15.75" customHeight="1" x14ac:dyDescent="0.2">
      <c r="A19" s="51" t="str">
        <f>A183</f>
        <v>3.1. Veículo - Utilitário de Pequeno Porte</v>
      </c>
      <c r="B19" s="52"/>
      <c r="C19" s="39"/>
      <c r="D19" s="39"/>
      <c r="E19" s="40">
        <f>SUM(E20:E25)</f>
        <v>1421.3301519484128</v>
      </c>
      <c r="F19" s="53">
        <f t="shared" si="0"/>
        <v>5.2966545950489254E-2</v>
      </c>
      <c r="G19" s="17"/>
    </row>
    <row r="20" spans="1:7" s="18" customFormat="1" ht="15.75" customHeight="1" x14ac:dyDescent="0.2">
      <c r="A20" s="51" t="str">
        <f>A185</f>
        <v>3.1.1. Depreciação</v>
      </c>
      <c r="B20" s="52"/>
      <c r="C20" s="39"/>
      <c r="D20" s="39"/>
      <c r="E20" s="40">
        <f>F199</f>
        <v>259.41799277777778</v>
      </c>
      <c r="F20" s="53">
        <f t="shared" si="0"/>
        <v>9.6673352183599959E-3</v>
      </c>
      <c r="G20" s="17"/>
    </row>
    <row r="21" spans="1:7" s="18" customFormat="1" ht="15.75" customHeight="1" x14ac:dyDescent="0.2">
      <c r="A21" s="51" t="str">
        <f>A201</f>
        <v>3.1.2. Remuneração do Capital</v>
      </c>
      <c r="B21" s="52"/>
      <c r="C21" s="39"/>
      <c r="D21" s="39"/>
      <c r="E21" s="40">
        <f>F215</f>
        <v>305.2773575833333</v>
      </c>
      <c r="F21" s="53">
        <f t="shared" si="0"/>
        <v>1.1376306318356661E-2</v>
      </c>
      <c r="G21" s="17"/>
    </row>
    <row r="22" spans="1:7" s="18" customFormat="1" ht="15.75" customHeight="1" x14ac:dyDescent="0.2">
      <c r="A22" s="51" t="str">
        <f>A217</f>
        <v>3.1.3. Impostos e Seguros</v>
      </c>
      <c r="B22" s="52"/>
      <c r="C22" s="39"/>
      <c r="D22" s="39"/>
      <c r="E22" s="40">
        <f>F223</f>
        <v>290.04749999999996</v>
      </c>
      <c r="F22" s="53">
        <f t="shared" si="0"/>
        <v>1.0808758412332706E-2</v>
      </c>
      <c r="G22" s="17"/>
    </row>
    <row r="23" spans="1:7" s="18" customFormat="1" ht="15.75" customHeight="1" x14ac:dyDescent="0.2">
      <c r="A23" s="51" t="str">
        <f>A225</f>
        <v>3.1.4. Consumos</v>
      </c>
      <c r="B23" s="52"/>
      <c r="C23" s="39"/>
      <c r="D23" s="39"/>
      <c r="E23" s="40">
        <f>F241</f>
        <v>359.44444444444446</v>
      </c>
      <c r="F23" s="53">
        <f t="shared" si="0"/>
        <v>1.3394868642740053E-2</v>
      </c>
      <c r="G23" s="17"/>
    </row>
    <row r="24" spans="1:7" s="18" customFormat="1" ht="15.75" customHeight="1" x14ac:dyDescent="0.2">
      <c r="A24" s="51" t="str">
        <f>A243</f>
        <v>3.1.5. Manutenção</v>
      </c>
      <c r="B24" s="52"/>
      <c r="C24" s="39"/>
      <c r="D24" s="39"/>
      <c r="E24" s="40">
        <f>F246</f>
        <v>175</v>
      </c>
      <c r="F24" s="53">
        <f t="shared" si="0"/>
        <v>6.5214584582119267E-3</v>
      </c>
      <c r="G24" s="17"/>
    </row>
    <row r="25" spans="1:7" s="18" customFormat="1" ht="15.75" customHeight="1" x14ac:dyDescent="0.2">
      <c r="A25" s="51" t="str">
        <f>A248</f>
        <v>3.1.6. Pneus</v>
      </c>
      <c r="B25" s="52"/>
      <c r="C25" s="39"/>
      <c r="D25" s="39"/>
      <c r="E25" s="40">
        <f>F255</f>
        <v>32.142857142857139</v>
      </c>
      <c r="F25" s="53">
        <f t="shared" si="0"/>
        <v>1.1978189004879047E-3</v>
      </c>
      <c r="G25" s="17"/>
    </row>
    <row r="26" spans="1:7" s="36" customFormat="1" ht="15.75" customHeight="1" x14ac:dyDescent="0.2">
      <c r="A26" s="49" t="str">
        <f>A260</f>
        <v>4. Ferramentas e Materiais de Consumo</v>
      </c>
      <c r="B26" s="50"/>
      <c r="C26" s="32"/>
      <c r="D26" s="32"/>
      <c r="E26" s="33">
        <f>+F286</f>
        <v>490.74416666666662</v>
      </c>
      <c r="F26" s="34">
        <f t="shared" si="0"/>
        <v>1.8287815408722836E-2</v>
      </c>
      <c r="G26" s="35"/>
    </row>
    <row r="27" spans="1:7" s="36" customFormat="1" ht="15.75" customHeight="1" x14ac:dyDescent="0.2">
      <c r="A27" s="49" t="str">
        <f>A288</f>
        <v>5. Materiais de Consumo para equipamentos</v>
      </c>
      <c r="B27" s="50"/>
      <c r="C27" s="32"/>
      <c r="D27" s="32"/>
      <c r="E27" s="33">
        <f>+F297</f>
        <v>284.39999999999998</v>
      </c>
      <c r="F27" s="34">
        <f t="shared" si="0"/>
        <v>1.0598301631516982E-2</v>
      </c>
      <c r="G27" s="35"/>
    </row>
    <row r="28" spans="1:7" s="36" customFormat="1" ht="15.75" customHeight="1" x14ac:dyDescent="0.2">
      <c r="A28" s="49" t="str">
        <f>A301</f>
        <v>6. Benefícios e Despesas Indiretas - BDI</v>
      </c>
      <c r="B28" s="50"/>
      <c r="C28" s="32"/>
      <c r="D28" s="32"/>
      <c r="E28" s="54">
        <f>+F307</f>
        <v>5039.0949238884941</v>
      </c>
      <c r="F28" s="34">
        <f t="shared" si="0"/>
        <v>0.18778427550357374</v>
      </c>
      <c r="G28" s="35"/>
    </row>
    <row r="29" spans="1:7" s="18" customFormat="1" ht="15.75" customHeight="1" x14ac:dyDescent="0.2">
      <c r="A29" s="55" t="s">
        <v>8</v>
      </c>
      <c r="B29" s="56"/>
      <c r="C29" s="57"/>
      <c r="D29" s="57"/>
      <c r="E29" s="58">
        <f>E9+E17+E18+E26+E27+E28</f>
        <v>26834.488193302397</v>
      </c>
      <c r="F29" s="59">
        <f>F9+F17+F18+F26+F27+F28</f>
        <v>1</v>
      </c>
      <c r="G29" s="17"/>
    </row>
    <row r="30" spans="1:7" x14ac:dyDescent="0.2">
      <c r="A30" s="7" t="str">
        <f>A315</f>
        <v>PREÇO POR Hora Trabalhada  [A/B]</v>
      </c>
      <c r="B30" s="7"/>
      <c r="C30" s="7"/>
      <c r="D30" s="60"/>
      <c r="E30" s="61">
        <f>E29/E39</f>
        <v>30.49373658329818</v>
      </c>
      <c r="F30" s="62"/>
    </row>
    <row r="33" spans="1:7" s="18" customFormat="1" ht="15" customHeight="1" x14ac:dyDescent="0.2">
      <c r="A33" s="9" t="s">
        <v>9</v>
      </c>
      <c r="B33" s="9"/>
      <c r="C33" s="9"/>
      <c r="D33" s="9"/>
      <c r="E33" s="9"/>
      <c r="F33" s="13"/>
      <c r="G33" s="17"/>
    </row>
    <row r="34" spans="1:7" s="18" customFormat="1" ht="15" customHeight="1" x14ac:dyDescent="0.2">
      <c r="A34" s="6" t="s">
        <v>10</v>
      </c>
      <c r="B34" s="6"/>
      <c r="C34" s="6"/>
      <c r="D34" s="6"/>
      <c r="E34" s="63" t="s">
        <v>11</v>
      </c>
      <c r="F34" s="13"/>
      <c r="G34" s="17"/>
    </row>
    <row r="35" spans="1:7" s="18" customFormat="1" ht="15" customHeight="1" x14ac:dyDescent="0.2">
      <c r="A35" s="64" t="str">
        <f>+A50</f>
        <v>1.1. Jardineiro, Faxineiro, limpador, Serviços Gerais, auxiliar de limpeza (Ins. 20%; 220 horas Mensal)</v>
      </c>
      <c r="B35" s="65"/>
      <c r="C35" s="65"/>
      <c r="D35" s="66"/>
      <c r="E35" s="67">
        <f>C61</f>
        <v>4</v>
      </c>
      <c r="F35" s="13"/>
      <c r="G35" s="17"/>
    </row>
    <row r="36" spans="1:7" s="48" customFormat="1" ht="15" hidden="1" customHeight="1" x14ac:dyDescent="0.2">
      <c r="A36" s="68" t="str">
        <f>+A64</f>
        <v>1.2. Coletor Turno Noite</v>
      </c>
      <c r="B36" s="69"/>
      <c r="C36" s="69"/>
      <c r="D36" s="70"/>
      <c r="E36" s="71">
        <f>C80</f>
        <v>0</v>
      </c>
      <c r="F36" s="72"/>
      <c r="G36" s="47"/>
    </row>
    <row r="37" spans="1:7" s="18" customFormat="1" ht="15" customHeight="1" x14ac:dyDescent="0.2">
      <c r="A37" s="73" t="str">
        <f>+A83</f>
        <v>1.2. Gratificação Por Coordenação de Equipe</v>
      </c>
      <c r="B37" s="74"/>
      <c r="C37" s="74"/>
      <c r="D37" s="75"/>
      <c r="E37" s="76">
        <f>C95</f>
        <v>1</v>
      </c>
      <c r="F37" s="13"/>
      <c r="G37" s="17"/>
    </row>
    <row r="38" spans="1:7" s="48" customFormat="1" ht="15" hidden="1" customHeight="1" x14ac:dyDescent="0.2">
      <c r="A38" s="68" t="str">
        <f>+A98</f>
        <v>1.4. Motorista Turno Noite</v>
      </c>
      <c r="B38" s="69"/>
      <c r="C38" s="69"/>
      <c r="D38" s="70"/>
      <c r="E38" s="71">
        <f>C116</f>
        <v>0</v>
      </c>
      <c r="F38" s="72"/>
      <c r="G38" s="47"/>
    </row>
    <row r="39" spans="1:7" s="48" customFormat="1" ht="15" customHeight="1" x14ac:dyDescent="0.2">
      <c r="A39" s="77" t="s">
        <v>12</v>
      </c>
      <c r="B39" s="13"/>
      <c r="C39" s="13"/>
      <c r="D39" s="78"/>
      <c r="E39" s="79">
        <f>E35*220</f>
        <v>880</v>
      </c>
      <c r="F39" s="13"/>
      <c r="G39" s="47"/>
    </row>
    <row r="40" spans="1:7" s="18" customFormat="1" ht="15" customHeight="1" x14ac:dyDescent="0.2">
      <c r="A40" s="80" t="s">
        <v>13</v>
      </c>
      <c r="B40" s="81"/>
      <c r="C40" s="81"/>
      <c r="D40" s="82"/>
      <c r="E40" s="83">
        <f>E35</f>
        <v>4</v>
      </c>
      <c r="F40" s="13"/>
      <c r="G40" s="17"/>
    </row>
    <row r="41" spans="1:7" s="18" customFormat="1" ht="15" customHeight="1" x14ac:dyDescent="0.2">
      <c r="A41" s="77"/>
      <c r="B41" s="84"/>
      <c r="C41" s="13"/>
      <c r="D41" s="13"/>
      <c r="E41" s="85"/>
      <c r="F41" s="13"/>
      <c r="G41" s="17"/>
    </row>
    <row r="42" spans="1:7" s="18" customFormat="1" ht="15" customHeight="1" x14ac:dyDescent="0.2">
      <c r="A42" s="5" t="s">
        <v>14</v>
      </c>
      <c r="B42" s="5"/>
      <c r="C42" s="5"/>
      <c r="D42" s="5"/>
      <c r="E42" s="63" t="s">
        <v>11</v>
      </c>
      <c r="F42" s="12"/>
      <c r="G42" s="17"/>
    </row>
    <row r="43" spans="1:7" s="18" customFormat="1" ht="15" customHeight="1" x14ac:dyDescent="0.2">
      <c r="A43" s="86" t="str">
        <f>+A183</f>
        <v>3.1. Veículo - Utilitário de Pequeno Porte</v>
      </c>
      <c r="B43" s="87"/>
      <c r="C43" s="87"/>
      <c r="D43" s="88"/>
      <c r="E43" s="89">
        <f>C198</f>
        <v>1</v>
      </c>
      <c r="F43" s="12"/>
      <c r="G43" s="17"/>
    </row>
    <row r="44" spans="1:7" s="18" customFormat="1" ht="15" customHeight="1" x14ac:dyDescent="0.2">
      <c r="A44" s="13"/>
      <c r="B44" s="13"/>
      <c r="C44" s="13"/>
      <c r="D44" s="19"/>
      <c r="E44" s="90"/>
      <c r="F44" s="12"/>
      <c r="G44" s="17"/>
    </row>
    <row r="45" spans="1:7" s="18" customFormat="1" x14ac:dyDescent="0.2">
      <c r="A45" s="13"/>
      <c r="B45" s="13"/>
      <c r="C45" s="13"/>
      <c r="D45" s="19"/>
      <c r="E45" s="91"/>
      <c r="F45" s="12"/>
      <c r="G45" s="17"/>
    </row>
    <row r="46" spans="1:7" s="36" customFormat="1" ht="15.75" customHeight="1" x14ac:dyDescent="0.2">
      <c r="A46" s="92" t="s">
        <v>15</v>
      </c>
      <c r="B46" s="93">
        <v>1</v>
      </c>
      <c r="C46" s="35"/>
      <c r="D46" s="94"/>
      <c r="E46" s="95"/>
      <c r="G46" s="35"/>
    </row>
    <row r="47" spans="1:7" s="18" customFormat="1" ht="15.75" customHeight="1" x14ac:dyDescent="0.2">
      <c r="A47" s="13"/>
      <c r="B47" s="13"/>
      <c r="C47" s="13"/>
      <c r="D47" s="19"/>
      <c r="E47" s="91"/>
      <c r="F47" s="12"/>
      <c r="G47" s="17"/>
    </row>
    <row r="48" spans="1:7" ht="12.75" customHeight="1" x14ac:dyDescent="0.2">
      <c r="A48" s="36" t="s">
        <v>16</v>
      </c>
    </row>
    <row r="49" spans="1:7" ht="11.25" customHeight="1" x14ac:dyDescent="0.2"/>
    <row r="50" spans="1:7" ht="13.5" customHeight="1" x14ac:dyDescent="0.2">
      <c r="A50" s="12" t="s">
        <v>347</v>
      </c>
    </row>
    <row r="51" spans="1:7" ht="13.5" customHeight="1" x14ac:dyDescent="0.2">
      <c r="A51" s="96" t="s">
        <v>17</v>
      </c>
      <c r="B51" s="97" t="s">
        <v>18</v>
      </c>
      <c r="C51" s="97" t="s">
        <v>11</v>
      </c>
      <c r="D51" s="98" t="s">
        <v>19</v>
      </c>
      <c r="E51" s="98" t="s">
        <v>20</v>
      </c>
      <c r="F51" s="99" t="s">
        <v>21</v>
      </c>
    </row>
    <row r="52" spans="1:7" ht="12.75" customHeight="1" x14ac:dyDescent="0.2">
      <c r="A52" s="100" t="s">
        <v>22</v>
      </c>
      <c r="B52" s="101" t="s">
        <v>23</v>
      </c>
      <c r="C52" s="101">
        <v>1</v>
      </c>
      <c r="D52" s="102">
        <v>1765.86</v>
      </c>
      <c r="E52" s="103">
        <f>C52*D52</f>
        <v>1765.86</v>
      </c>
      <c r="F52" s="85"/>
    </row>
    <row r="53" spans="1:7" hidden="1" x14ac:dyDescent="0.2">
      <c r="A53" s="104" t="s">
        <v>24</v>
      </c>
      <c r="B53" s="105" t="s">
        <v>25</v>
      </c>
      <c r="C53" s="106"/>
      <c r="D53" s="107">
        <f>D52/220*2</f>
        <v>16.053272727272727</v>
      </c>
      <c r="E53" s="107">
        <f>C53*D53</f>
        <v>0</v>
      </c>
      <c r="F53" s="85"/>
      <c r="G53" s="13" t="s">
        <v>26</v>
      </c>
    </row>
    <row r="54" spans="1:7" ht="12.75" hidden="1" customHeight="1" x14ac:dyDescent="0.2">
      <c r="A54" s="104" t="s">
        <v>27</v>
      </c>
      <c r="B54" s="105" t="s">
        <v>25</v>
      </c>
      <c r="C54" s="106"/>
      <c r="D54" s="107">
        <f>D52/220*1.5</f>
        <v>12.039954545454545</v>
      </c>
      <c r="E54" s="107">
        <f>C54*D54</f>
        <v>0</v>
      </c>
      <c r="F54" s="85"/>
      <c r="G54" s="13" t="s">
        <v>28</v>
      </c>
    </row>
    <row r="55" spans="1:7" ht="12.75" hidden="1" customHeight="1" x14ac:dyDescent="0.2">
      <c r="A55" s="104" t="s">
        <v>29</v>
      </c>
      <c r="B55" s="105" t="s">
        <v>30</v>
      </c>
      <c r="C55" s="19"/>
      <c r="D55" s="107">
        <f>63/302*(SUM(E53:E54))</f>
        <v>0</v>
      </c>
      <c r="E55" s="107">
        <f>D55</f>
        <v>0</v>
      </c>
      <c r="F55" s="85"/>
      <c r="G55" s="13" t="s">
        <v>31</v>
      </c>
    </row>
    <row r="56" spans="1:7" x14ac:dyDescent="0.2">
      <c r="A56" s="104" t="s">
        <v>32</v>
      </c>
      <c r="B56" s="105" t="s">
        <v>7</v>
      </c>
      <c r="C56" s="105">
        <v>20</v>
      </c>
      <c r="D56" s="107">
        <f>SUM(E52:E55)</f>
        <v>1765.86</v>
      </c>
      <c r="E56" s="107">
        <f>C56*D56/100</f>
        <v>353.17199999999997</v>
      </c>
      <c r="F56" s="85"/>
    </row>
    <row r="57" spans="1:7" x14ac:dyDescent="0.2">
      <c r="A57" s="104" t="s">
        <v>33</v>
      </c>
      <c r="B57" s="105" t="s">
        <v>23</v>
      </c>
      <c r="C57" s="105">
        <v>1</v>
      </c>
      <c r="D57" s="108">
        <v>80</v>
      </c>
      <c r="E57" s="107">
        <f>C57*D57</f>
        <v>80</v>
      </c>
      <c r="F57" s="85"/>
    </row>
    <row r="58" spans="1:7" x14ac:dyDescent="0.2">
      <c r="A58" s="109" t="s">
        <v>34</v>
      </c>
      <c r="B58" s="110"/>
      <c r="C58" s="110"/>
      <c r="D58" s="111"/>
      <c r="E58" s="112">
        <f>SUM(E52:E57)</f>
        <v>2199.0319999999997</v>
      </c>
      <c r="F58" s="85"/>
    </row>
    <row r="59" spans="1:7" x14ac:dyDescent="0.2">
      <c r="A59" s="104" t="s">
        <v>35</v>
      </c>
      <c r="B59" s="105" t="s">
        <v>7</v>
      </c>
      <c r="C59" s="113">
        <f>'2.Encargos Sociais'!$C$37*100</f>
        <v>68.77595199999999</v>
      </c>
      <c r="D59" s="107">
        <f>E58</f>
        <v>2199.0319999999997</v>
      </c>
      <c r="E59" s="107">
        <f>D59*C59/100</f>
        <v>1512.4051927846397</v>
      </c>
      <c r="F59" s="85"/>
    </row>
    <row r="60" spans="1:7" x14ac:dyDescent="0.2">
      <c r="A60" s="109" t="s">
        <v>36</v>
      </c>
      <c r="B60" s="110"/>
      <c r="C60" s="110"/>
      <c r="D60" s="111"/>
      <c r="E60" s="112">
        <f>E58+E59</f>
        <v>3711.4371927846396</v>
      </c>
      <c r="F60" s="85"/>
    </row>
    <row r="61" spans="1:7" x14ac:dyDescent="0.2">
      <c r="A61" s="104" t="s">
        <v>37</v>
      </c>
      <c r="B61" s="105" t="s">
        <v>38</v>
      </c>
      <c r="C61" s="114">
        <v>4</v>
      </c>
      <c r="D61" s="107">
        <f>E60</f>
        <v>3711.4371927846396</v>
      </c>
      <c r="E61" s="107">
        <f>C61*D61</f>
        <v>14845.748771138558</v>
      </c>
      <c r="F61" s="85"/>
      <c r="G61" s="17"/>
    </row>
    <row r="62" spans="1:7" ht="13.5" customHeight="1" x14ac:dyDescent="0.2">
      <c r="A62" s="115"/>
      <c r="B62" s="116"/>
      <c r="C62" s="116"/>
      <c r="D62" s="117" t="s">
        <v>39</v>
      </c>
      <c r="E62" s="118">
        <f>$B$46</f>
        <v>1</v>
      </c>
      <c r="F62" s="119">
        <f>E61*E62</f>
        <v>14845.748771138558</v>
      </c>
      <c r="G62" s="17"/>
    </row>
    <row r="63" spans="1:7" ht="11.25" customHeight="1" x14ac:dyDescent="0.2">
      <c r="A63" s="120" t="s">
        <v>40</v>
      </c>
    </row>
    <row r="64" spans="1:7" hidden="1" x14ac:dyDescent="0.2">
      <c r="A64" s="12" t="s">
        <v>41</v>
      </c>
    </row>
    <row r="65" spans="1:7" hidden="1" x14ac:dyDescent="0.2">
      <c r="A65" s="96" t="s">
        <v>17</v>
      </c>
      <c r="B65" s="97" t="s">
        <v>18</v>
      </c>
      <c r="C65" s="97" t="s">
        <v>11</v>
      </c>
      <c r="D65" s="98" t="s">
        <v>19</v>
      </c>
      <c r="E65" s="98" t="s">
        <v>20</v>
      </c>
      <c r="F65" s="99" t="s">
        <v>21</v>
      </c>
    </row>
    <row r="66" spans="1:7" hidden="1" x14ac:dyDescent="0.2">
      <c r="A66" s="121" t="s">
        <v>22</v>
      </c>
      <c r="B66" s="101" t="s">
        <v>23</v>
      </c>
      <c r="C66" s="101">
        <v>1</v>
      </c>
      <c r="D66" s="103">
        <f>D52</f>
        <v>1765.86</v>
      </c>
      <c r="E66" s="103">
        <f>C66*D66</f>
        <v>1765.86</v>
      </c>
    </row>
    <row r="67" spans="1:7" hidden="1" x14ac:dyDescent="0.2">
      <c r="A67" s="122" t="s">
        <v>42</v>
      </c>
      <c r="B67" s="105" t="s">
        <v>43</v>
      </c>
      <c r="C67" s="106"/>
      <c r="D67" s="107"/>
      <c r="E67" s="107"/>
    </row>
    <row r="68" spans="1:7" hidden="1" x14ac:dyDescent="0.2">
      <c r="A68" s="122"/>
      <c r="B68" s="105" t="s">
        <v>44</v>
      </c>
      <c r="C68" s="123">
        <f>C67*8/7</f>
        <v>0</v>
      </c>
      <c r="D68" s="107">
        <f>D66/220*0.2</f>
        <v>1.6053272727272727</v>
      </c>
      <c r="E68" s="107">
        <f>C68*D68</f>
        <v>0</v>
      </c>
    </row>
    <row r="69" spans="1:7" hidden="1" x14ac:dyDescent="0.2">
      <c r="A69" s="122" t="s">
        <v>24</v>
      </c>
      <c r="B69" s="105" t="s">
        <v>25</v>
      </c>
      <c r="C69" s="106"/>
      <c r="D69" s="107">
        <f>D66/220*2</f>
        <v>16.053272727272727</v>
      </c>
      <c r="E69" s="107">
        <f>C69*D69</f>
        <v>0</v>
      </c>
      <c r="G69" s="13" t="s">
        <v>26</v>
      </c>
    </row>
    <row r="70" spans="1:7" hidden="1" x14ac:dyDescent="0.2">
      <c r="A70" s="122" t="s">
        <v>45</v>
      </c>
      <c r="B70" s="105" t="s">
        <v>43</v>
      </c>
      <c r="C70" s="106"/>
      <c r="D70" s="107"/>
      <c r="E70" s="107"/>
      <c r="G70" s="13" t="s">
        <v>46</v>
      </c>
    </row>
    <row r="71" spans="1:7" hidden="1" x14ac:dyDescent="0.2">
      <c r="A71" s="122"/>
      <c r="B71" s="105" t="s">
        <v>44</v>
      </c>
      <c r="C71" s="123">
        <f>C70*8/7</f>
        <v>0</v>
      </c>
      <c r="D71" s="107">
        <f>D66/220*2*1.2</f>
        <v>19.263927272727273</v>
      </c>
      <c r="E71" s="107">
        <f>C71*D71</f>
        <v>0</v>
      </c>
      <c r="G71" s="13" t="s">
        <v>46</v>
      </c>
    </row>
    <row r="72" spans="1:7" hidden="1" x14ac:dyDescent="0.2">
      <c r="A72" s="122" t="s">
        <v>27</v>
      </c>
      <c r="B72" s="105" t="s">
        <v>25</v>
      </c>
      <c r="C72" s="106"/>
      <c r="D72" s="107">
        <f>D66/220*1.5</f>
        <v>12.039954545454545</v>
      </c>
      <c r="E72" s="107">
        <f>C72*D72</f>
        <v>0</v>
      </c>
      <c r="G72" s="13" t="s">
        <v>28</v>
      </c>
    </row>
    <row r="73" spans="1:7" hidden="1" x14ac:dyDescent="0.2">
      <c r="A73" s="122" t="s">
        <v>47</v>
      </c>
      <c r="B73" s="105" t="s">
        <v>43</v>
      </c>
      <c r="C73" s="106"/>
      <c r="D73" s="107"/>
      <c r="E73" s="107"/>
      <c r="G73" s="13" t="s">
        <v>48</v>
      </c>
    </row>
    <row r="74" spans="1:7" hidden="1" x14ac:dyDescent="0.2">
      <c r="A74" s="122"/>
      <c r="B74" s="105" t="s">
        <v>44</v>
      </c>
      <c r="C74" s="107">
        <f>C73*8/7</f>
        <v>0</v>
      </c>
      <c r="D74" s="107">
        <f>D66/220*1.5*1.2</f>
        <v>14.447945454545454</v>
      </c>
      <c r="E74" s="107">
        <f>C74*D74</f>
        <v>0</v>
      </c>
      <c r="G74" s="13" t="s">
        <v>48</v>
      </c>
    </row>
    <row r="75" spans="1:7" ht="12.75" hidden="1" customHeight="1" x14ac:dyDescent="0.2">
      <c r="A75" s="122" t="s">
        <v>29</v>
      </c>
      <c r="B75" s="105" t="s">
        <v>30</v>
      </c>
      <c r="D75" s="107">
        <f>63/302*(SUM(E69:E74))</f>
        <v>0</v>
      </c>
      <c r="E75" s="107">
        <f>D75</f>
        <v>0</v>
      </c>
      <c r="G75" s="13" t="s">
        <v>31</v>
      </c>
    </row>
    <row r="76" spans="1:7" hidden="1" x14ac:dyDescent="0.2">
      <c r="A76" s="122" t="s">
        <v>32</v>
      </c>
      <c r="B76" s="105" t="s">
        <v>7</v>
      </c>
      <c r="C76" s="105">
        <f>+C56</f>
        <v>20</v>
      </c>
      <c r="D76" s="107">
        <f>SUM(E66:E75)</f>
        <v>1765.86</v>
      </c>
      <c r="E76" s="107">
        <f>C76*D76/100</f>
        <v>353.17199999999997</v>
      </c>
    </row>
    <row r="77" spans="1:7" hidden="1" x14ac:dyDescent="0.2">
      <c r="A77" s="124" t="s">
        <v>34</v>
      </c>
      <c r="B77" s="125"/>
      <c r="C77" s="125"/>
      <c r="D77" s="111"/>
      <c r="E77" s="112">
        <f>SUM(E66:E76)</f>
        <v>2119.0319999999997</v>
      </c>
    </row>
    <row r="78" spans="1:7" hidden="1" x14ac:dyDescent="0.2">
      <c r="A78" s="122" t="s">
        <v>35</v>
      </c>
      <c r="B78" s="105" t="s">
        <v>7</v>
      </c>
      <c r="C78" s="113">
        <f>'2.Encargos Sociais'!$C$37*100</f>
        <v>68.77595199999999</v>
      </c>
      <c r="D78" s="107">
        <f>E77</f>
        <v>2119.0319999999997</v>
      </c>
      <c r="E78" s="107">
        <f>D78*C78/100</f>
        <v>1457.3844311846397</v>
      </c>
    </row>
    <row r="79" spans="1:7" hidden="1" x14ac:dyDescent="0.2">
      <c r="A79" s="124" t="s">
        <v>49</v>
      </c>
      <c r="B79" s="125"/>
      <c r="C79" s="125"/>
      <c r="D79" s="111"/>
      <c r="E79" s="112">
        <f>E77+E78</f>
        <v>3576.4164311846394</v>
      </c>
    </row>
    <row r="80" spans="1:7" hidden="1" x14ac:dyDescent="0.2">
      <c r="A80" s="122" t="s">
        <v>37</v>
      </c>
      <c r="B80" s="105" t="s">
        <v>38</v>
      </c>
      <c r="C80" s="114"/>
      <c r="D80" s="107">
        <f>E79</f>
        <v>3576.4164311846394</v>
      </c>
      <c r="E80" s="107">
        <f>C80*D80</f>
        <v>0</v>
      </c>
    </row>
    <row r="81" spans="1:7" hidden="1" x14ac:dyDescent="0.2">
      <c r="D81" s="126" t="s">
        <v>39</v>
      </c>
      <c r="E81" s="127">
        <f>$B$46</f>
        <v>1</v>
      </c>
      <c r="F81" s="119">
        <f>E80*E81</f>
        <v>0</v>
      </c>
    </row>
    <row r="82" spans="1:7" ht="11.25" customHeight="1" x14ac:dyDescent="0.2">
      <c r="A82" s="12" t="s">
        <v>348</v>
      </c>
    </row>
    <row r="83" spans="1:7" x14ac:dyDescent="0.2">
      <c r="A83" s="12" t="s">
        <v>50</v>
      </c>
    </row>
    <row r="84" spans="1:7" s="128" customFormat="1" ht="12.75" customHeight="1" x14ac:dyDescent="0.2">
      <c r="A84" s="96" t="s">
        <v>17</v>
      </c>
      <c r="B84" s="97" t="s">
        <v>18</v>
      </c>
      <c r="C84" s="97" t="s">
        <v>11</v>
      </c>
      <c r="D84" s="98" t="s">
        <v>19</v>
      </c>
      <c r="E84" s="98" t="s">
        <v>20</v>
      </c>
      <c r="F84" s="99" t="s">
        <v>21</v>
      </c>
      <c r="G84" s="13"/>
    </row>
    <row r="85" spans="1:7" x14ac:dyDescent="0.2">
      <c r="A85" s="121" t="s">
        <v>51</v>
      </c>
      <c r="B85" s="101" t="s">
        <v>23</v>
      </c>
      <c r="C85" s="101">
        <v>1</v>
      </c>
      <c r="D85" s="102">
        <f>D52/2</f>
        <v>882.93</v>
      </c>
      <c r="E85" s="103">
        <f>C85*D85</f>
        <v>882.93</v>
      </c>
    </row>
    <row r="86" spans="1:7" hidden="1" x14ac:dyDescent="0.2">
      <c r="A86" s="121" t="s">
        <v>52</v>
      </c>
      <c r="B86" s="101" t="s">
        <v>23</v>
      </c>
      <c r="C86" s="101">
        <v>1</v>
      </c>
      <c r="D86" s="102"/>
      <c r="E86" s="103"/>
    </row>
    <row r="87" spans="1:7" hidden="1" x14ac:dyDescent="0.2">
      <c r="A87" s="122" t="s">
        <v>24</v>
      </c>
      <c r="B87" s="105" t="s">
        <v>25</v>
      </c>
      <c r="C87" s="106"/>
      <c r="D87" s="107">
        <f>D85/220*2</f>
        <v>8.0266363636363636</v>
      </c>
      <c r="E87" s="107">
        <f>C87*D87</f>
        <v>0</v>
      </c>
      <c r="G87" s="13" t="s">
        <v>26</v>
      </c>
    </row>
    <row r="88" spans="1:7" hidden="1" x14ac:dyDescent="0.2">
      <c r="A88" s="122" t="s">
        <v>27</v>
      </c>
      <c r="B88" s="105" t="s">
        <v>25</v>
      </c>
      <c r="C88" s="106"/>
      <c r="D88" s="107">
        <f>D85/220*1.5</f>
        <v>6.0199772727272727</v>
      </c>
      <c r="E88" s="107">
        <f>C88*D88</f>
        <v>0</v>
      </c>
      <c r="G88" s="13" t="s">
        <v>28</v>
      </c>
    </row>
    <row r="89" spans="1:7" ht="12.75" hidden="1" customHeight="1" x14ac:dyDescent="0.2">
      <c r="A89" s="122" t="s">
        <v>29</v>
      </c>
      <c r="B89" s="105" t="s">
        <v>30</v>
      </c>
      <c r="D89" s="107">
        <f>63/302*(SUM(E87:E88))</f>
        <v>0</v>
      </c>
      <c r="E89" s="107">
        <f>D89</f>
        <v>0</v>
      </c>
      <c r="G89" s="13" t="s">
        <v>31</v>
      </c>
    </row>
    <row r="90" spans="1:7" hidden="1" x14ac:dyDescent="0.2">
      <c r="A90" s="122" t="s">
        <v>53</v>
      </c>
      <c r="B90" s="105"/>
      <c r="C90" s="129"/>
      <c r="D90" s="107"/>
      <c r="E90" s="107"/>
    </row>
    <row r="91" spans="1:7" hidden="1" x14ac:dyDescent="0.2">
      <c r="A91" s="122" t="s">
        <v>32</v>
      </c>
      <c r="B91" s="105" t="s">
        <v>7</v>
      </c>
      <c r="C91" s="114"/>
      <c r="D91" s="107">
        <f>IF(C90=2,SUM(E85:E89),IF(C90=1,(SUM(E85:E89))*D86/D85,0))</f>
        <v>0</v>
      </c>
      <c r="E91" s="107">
        <f>C91*D91/100</f>
        <v>0</v>
      </c>
    </row>
    <row r="92" spans="1:7" s="36" customFormat="1" hidden="1" x14ac:dyDescent="0.2">
      <c r="A92" s="130" t="s">
        <v>34</v>
      </c>
      <c r="B92" s="125"/>
      <c r="C92" s="125"/>
      <c r="D92" s="111"/>
      <c r="E92" s="131">
        <f>SUM(E85:E91)</f>
        <v>882.93</v>
      </c>
      <c r="F92" s="35"/>
      <c r="G92" s="35"/>
    </row>
    <row r="93" spans="1:7" x14ac:dyDescent="0.2">
      <c r="A93" s="122" t="s">
        <v>35</v>
      </c>
      <c r="B93" s="105" t="s">
        <v>7</v>
      </c>
      <c r="C93" s="113">
        <f>'2.Encargos Sociais'!$C$37*100</f>
        <v>68.77595199999999</v>
      </c>
      <c r="D93" s="107">
        <f>E92</f>
        <v>882.93</v>
      </c>
      <c r="E93" s="107">
        <f>D93*C93/100</f>
        <v>607.24351299359989</v>
      </c>
    </row>
    <row r="94" spans="1:7" s="36" customFormat="1" x14ac:dyDescent="0.2">
      <c r="A94" s="130" t="s">
        <v>54</v>
      </c>
      <c r="B94" s="132"/>
      <c r="C94" s="132"/>
      <c r="D94" s="133"/>
      <c r="E94" s="131">
        <f>E92+E93</f>
        <v>1490.1735129935998</v>
      </c>
      <c r="F94" s="35"/>
      <c r="G94" s="35"/>
    </row>
    <row r="95" spans="1:7" x14ac:dyDescent="0.2">
      <c r="A95" s="122" t="s">
        <v>37</v>
      </c>
      <c r="B95" s="105" t="s">
        <v>38</v>
      </c>
      <c r="C95" s="114">
        <v>1</v>
      </c>
      <c r="D95" s="107">
        <f>E94</f>
        <v>1490.1735129935998</v>
      </c>
      <c r="E95" s="107">
        <f>C95*D95</f>
        <v>1490.1735129935998</v>
      </c>
    </row>
    <row r="96" spans="1:7" x14ac:dyDescent="0.2">
      <c r="D96" s="126" t="s">
        <v>39</v>
      </c>
      <c r="E96" s="127">
        <f>$B$46</f>
        <v>1</v>
      </c>
      <c r="F96" s="119">
        <f>E95*E96</f>
        <v>1490.1735129935998</v>
      </c>
    </row>
    <row r="97" spans="1:7" ht="11.25" customHeight="1" x14ac:dyDescent="0.2"/>
    <row r="98" spans="1:7" hidden="1" x14ac:dyDescent="0.2">
      <c r="A98" s="12" t="s">
        <v>55</v>
      </c>
    </row>
    <row r="99" spans="1:7" hidden="1" x14ac:dyDescent="0.2">
      <c r="A99" s="96" t="s">
        <v>17</v>
      </c>
      <c r="B99" s="97" t="s">
        <v>18</v>
      </c>
      <c r="C99" s="97" t="s">
        <v>11</v>
      </c>
      <c r="D99" s="98" t="s">
        <v>19</v>
      </c>
      <c r="E99" s="98" t="s">
        <v>20</v>
      </c>
      <c r="F99" s="99" t="s">
        <v>21</v>
      </c>
    </row>
    <row r="100" spans="1:7" hidden="1" x14ac:dyDescent="0.2">
      <c r="A100" s="121" t="s">
        <v>56</v>
      </c>
      <c r="B100" s="101" t="s">
        <v>23</v>
      </c>
      <c r="C100" s="101">
        <v>1</v>
      </c>
      <c r="D100" s="103">
        <f>D85</f>
        <v>882.93</v>
      </c>
      <c r="E100" s="103">
        <f>C100*D100</f>
        <v>882.93</v>
      </c>
    </row>
    <row r="101" spans="1:7" hidden="1" x14ac:dyDescent="0.2">
      <c r="A101" s="121" t="s">
        <v>52</v>
      </c>
      <c r="B101" s="101" t="s">
        <v>23</v>
      </c>
      <c r="C101" s="101">
        <v>1</v>
      </c>
      <c r="D101" s="107">
        <f>D86</f>
        <v>0</v>
      </c>
      <c r="E101" s="107"/>
    </row>
    <row r="102" spans="1:7" hidden="1" x14ac:dyDescent="0.2">
      <c r="A102" s="122" t="s">
        <v>42</v>
      </c>
      <c r="B102" s="105" t="s">
        <v>43</v>
      </c>
      <c r="C102" s="106"/>
      <c r="D102" s="122"/>
      <c r="E102" s="122"/>
    </row>
    <row r="103" spans="1:7" hidden="1" x14ac:dyDescent="0.2">
      <c r="A103" s="122"/>
      <c r="B103" s="105" t="s">
        <v>44</v>
      </c>
      <c r="C103" s="107">
        <f>C102*8/7</f>
        <v>0</v>
      </c>
      <c r="D103" s="107">
        <f>D100/220*0.2</f>
        <v>0.80266363636363636</v>
      </c>
      <c r="E103" s="107">
        <f>C103*D103</f>
        <v>0</v>
      </c>
    </row>
    <row r="104" spans="1:7" hidden="1" x14ac:dyDescent="0.2">
      <c r="A104" s="122" t="s">
        <v>24</v>
      </c>
      <c r="B104" s="105" t="s">
        <v>25</v>
      </c>
      <c r="C104" s="106"/>
      <c r="D104" s="107">
        <f>D100/220*2</f>
        <v>8.0266363636363636</v>
      </c>
      <c r="E104" s="107">
        <f>C104*D104</f>
        <v>0</v>
      </c>
      <c r="G104" s="13" t="s">
        <v>26</v>
      </c>
    </row>
    <row r="105" spans="1:7" hidden="1" x14ac:dyDescent="0.2">
      <c r="A105" s="122" t="s">
        <v>45</v>
      </c>
      <c r="B105" s="105" t="s">
        <v>43</v>
      </c>
      <c r="C105" s="106"/>
      <c r="D105" s="107"/>
      <c r="E105" s="107"/>
      <c r="G105" s="13" t="s">
        <v>46</v>
      </c>
    </row>
    <row r="106" spans="1:7" hidden="1" x14ac:dyDescent="0.2">
      <c r="A106" s="122"/>
      <c r="B106" s="105" t="s">
        <v>44</v>
      </c>
      <c r="C106" s="107">
        <f>C105*8/7</f>
        <v>0</v>
      </c>
      <c r="D106" s="107">
        <f>D100/220*2*1.2</f>
        <v>9.6319636363636363</v>
      </c>
      <c r="E106" s="107">
        <f>C106*D106</f>
        <v>0</v>
      </c>
      <c r="G106" s="13" t="s">
        <v>46</v>
      </c>
    </row>
    <row r="107" spans="1:7" hidden="1" x14ac:dyDescent="0.2">
      <c r="A107" s="122" t="s">
        <v>27</v>
      </c>
      <c r="B107" s="105" t="s">
        <v>25</v>
      </c>
      <c r="C107" s="106"/>
      <c r="D107" s="107">
        <f>D100/220*1.5</f>
        <v>6.0199772727272727</v>
      </c>
      <c r="E107" s="107">
        <f>C107*D107</f>
        <v>0</v>
      </c>
      <c r="G107" s="13" t="s">
        <v>28</v>
      </c>
    </row>
    <row r="108" spans="1:7" hidden="1" x14ac:dyDescent="0.2">
      <c r="A108" s="122" t="s">
        <v>47</v>
      </c>
      <c r="B108" s="105" t="s">
        <v>43</v>
      </c>
      <c r="C108" s="106"/>
      <c r="D108" s="107"/>
      <c r="E108" s="107"/>
      <c r="G108" s="13" t="s">
        <v>48</v>
      </c>
    </row>
    <row r="109" spans="1:7" hidden="1" x14ac:dyDescent="0.2">
      <c r="A109" s="122"/>
      <c r="B109" s="105" t="s">
        <v>44</v>
      </c>
      <c r="C109" s="107">
        <f>C108*8/7</f>
        <v>0</v>
      </c>
      <c r="D109" s="107">
        <f>D100/220*1.5*1.2</f>
        <v>7.2239727272727272</v>
      </c>
      <c r="E109" s="107">
        <f>C109*D109</f>
        <v>0</v>
      </c>
      <c r="G109" s="13" t="s">
        <v>48</v>
      </c>
    </row>
    <row r="110" spans="1:7" ht="12.75" hidden="1" customHeight="1" x14ac:dyDescent="0.2">
      <c r="A110" s="122" t="s">
        <v>29</v>
      </c>
      <c r="B110" s="105" t="s">
        <v>30</v>
      </c>
      <c r="D110" s="107">
        <f>63/302*(SUM(E104:E109))</f>
        <v>0</v>
      </c>
      <c r="E110" s="107">
        <f>D110</f>
        <v>0</v>
      </c>
      <c r="G110" s="13" t="s">
        <v>31</v>
      </c>
    </row>
    <row r="111" spans="1:7" hidden="1" x14ac:dyDescent="0.2">
      <c r="A111" s="122" t="s">
        <v>53</v>
      </c>
      <c r="B111" s="105"/>
      <c r="C111" s="129"/>
      <c r="D111" s="107"/>
      <c r="E111" s="107"/>
    </row>
    <row r="112" spans="1:7" hidden="1" x14ac:dyDescent="0.2">
      <c r="A112" s="122" t="s">
        <v>32</v>
      </c>
      <c r="B112" s="105" t="s">
        <v>7</v>
      </c>
      <c r="C112" s="107">
        <f>+C91</f>
        <v>0</v>
      </c>
      <c r="D112" s="107">
        <f>IF(C111=2,SUM(E100:E110),IF(C111=1,SUM(E100:E110)*D101/D100,0))</f>
        <v>0</v>
      </c>
      <c r="E112" s="107">
        <f>C112*D112/100</f>
        <v>0</v>
      </c>
    </row>
    <row r="113" spans="1:7" s="36" customFormat="1" hidden="1" x14ac:dyDescent="0.2">
      <c r="A113" s="124" t="s">
        <v>34</v>
      </c>
      <c r="B113" s="125"/>
      <c r="C113" s="125"/>
      <c r="D113" s="111"/>
      <c r="E113" s="112">
        <f>SUM(E100:E112)</f>
        <v>882.93</v>
      </c>
      <c r="F113" s="35"/>
      <c r="G113" s="35"/>
    </row>
    <row r="114" spans="1:7" hidden="1" x14ac:dyDescent="0.2">
      <c r="A114" s="122" t="s">
        <v>35</v>
      </c>
      <c r="B114" s="105" t="s">
        <v>7</v>
      </c>
      <c r="C114" s="113">
        <f>'2.Encargos Sociais'!$C$37*100</f>
        <v>68.77595199999999</v>
      </c>
      <c r="D114" s="107">
        <f>E113</f>
        <v>882.93</v>
      </c>
      <c r="E114" s="107">
        <f>D114*C114/100</f>
        <v>607.24351299359989</v>
      </c>
    </row>
    <row r="115" spans="1:7" s="36" customFormat="1" hidden="1" x14ac:dyDescent="0.2">
      <c r="A115" s="124" t="s">
        <v>57</v>
      </c>
      <c r="B115" s="125"/>
      <c r="C115" s="125"/>
      <c r="D115" s="111"/>
      <c r="E115" s="112">
        <f>E113+E114</f>
        <v>1490.1735129935998</v>
      </c>
      <c r="F115" s="35"/>
      <c r="G115" s="35"/>
    </row>
    <row r="116" spans="1:7" hidden="1" x14ac:dyDescent="0.2">
      <c r="A116" s="122" t="s">
        <v>37</v>
      </c>
      <c r="B116" s="105" t="s">
        <v>38</v>
      </c>
      <c r="C116" s="114"/>
      <c r="D116" s="107">
        <f>E115</f>
        <v>1490.1735129935998</v>
      </c>
      <c r="E116" s="107">
        <f>C116*D116</f>
        <v>0</v>
      </c>
    </row>
    <row r="117" spans="1:7" hidden="1" x14ac:dyDescent="0.2">
      <c r="D117" s="126" t="s">
        <v>39</v>
      </c>
      <c r="E117" s="127">
        <f>$B$46</f>
        <v>1</v>
      </c>
      <c r="F117" s="119">
        <f>E116*E117</f>
        <v>0</v>
      </c>
    </row>
    <row r="118" spans="1:7" ht="11.25" hidden="1" customHeight="1" x14ac:dyDescent="0.2">
      <c r="G118" s="12"/>
    </row>
    <row r="119" spans="1:7" hidden="1" x14ac:dyDescent="0.2">
      <c r="A119" s="12" t="s">
        <v>58</v>
      </c>
      <c r="B119" s="134"/>
      <c r="D119" s="12"/>
      <c r="E119" s="12"/>
      <c r="G119" s="12"/>
    </row>
    <row r="120" spans="1:7" hidden="1" x14ac:dyDescent="0.2">
      <c r="A120" s="96" t="s">
        <v>17</v>
      </c>
      <c r="B120" s="97" t="s">
        <v>18</v>
      </c>
      <c r="C120" s="97" t="s">
        <v>11</v>
      </c>
      <c r="D120" s="98" t="s">
        <v>19</v>
      </c>
      <c r="E120" s="98" t="s">
        <v>20</v>
      </c>
      <c r="F120" s="99" t="s">
        <v>21</v>
      </c>
      <c r="G120" s="12"/>
    </row>
    <row r="121" spans="1:7" hidden="1" x14ac:dyDescent="0.2">
      <c r="A121" s="122" t="s">
        <v>59</v>
      </c>
      <c r="B121" s="105" t="s">
        <v>30</v>
      </c>
      <c r="C121" s="135">
        <v>1</v>
      </c>
      <c r="D121" s="136"/>
      <c r="E121" s="107"/>
      <c r="G121" s="12"/>
    </row>
    <row r="122" spans="1:7" hidden="1" x14ac:dyDescent="0.2">
      <c r="A122" s="122" t="s">
        <v>60</v>
      </c>
      <c r="B122" s="105" t="s">
        <v>61</v>
      </c>
      <c r="C122" s="137"/>
      <c r="D122" s="107"/>
      <c r="E122" s="107"/>
      <c r="G122" s="12"/>
    </row>
    <row r="123" spans="1:7" hidden="1" x14ac:dyDescent="0.2">
      <c r="A123" s="122" t="s">
        <v>62</v>
      </c>
      <c r="B123" s="105" t="s">
        <v>63</v>
      </c>
      <c r="C123" s="138">
        <f>$C$122*2*(C61+C80)</f>
        <v>0</v>
      </c>
      <c r="D123" s="103" t="str">
        <f>IFERROR((($C$122*2*$D$121)-(E52*0.06*C122/26))/($C$122*2),"-")</f>
        <v>-</v>
      </c>
      <c r="E123" s="107" t="str">
        <f>IFERROR(C123*D123,"-")</f>
        <v>-</v>
      </c>
      <c r="G123" s="12"/>
    </row>
    <row r="124" spans="1:7" hidden="1" x14ac:dyDescent="0.2">
      <c r="A124" s="121" t="s">
        <v>64</v>
      </c>
      <c r="B124" s="101" t="s">
        <v>63</v>
      </c>
      <c r="C124" s="138">
        <f>$C$122*2*(C95+C116)</f>
        <v>0</v>
      </c>
      <c r="D124" s="103" t="str">
        <f>IFERROR((($C$122*2*$D$121)-(E85*0.06*C122/26))/($C$122*2),"-")</f>
        <v>-</v>
      </c>
      <c r="E124" s="103" t="str">
        <f>IFERROR(C124*D124,"-")</f>
        <v>-</v>
      </c>
      <c r="G124" s="12"/>
    </row>
    <row r="125" spans="1:7" hidden="1" x14ac:dyDescent="0.2">
      <c r="F125" s="139">
        <f>SUM(E123:E124)</f>
        <v>0</v>
      </c>
      <c r="G125" s="12"/>
    </row>
    <row r="126" spans="1:7" ht="11.25" hidden="1" customHeight="1" x14ac:dyDescent="0.2">
      <c r="G126" s="12"/>
    </row>
    <row r="127" spans="1:7" x14ac:dyDescent="0.2">
      <c r="A127" s="12" t="s">
        <v>65</v>
      </c>
      <c r="F127" s="35"/>
      <c r="G127" s="12"/>
    </row>
    <row r="128" spans="1:7" x14ac:dyDescent="0.2">
      <c r="A128" s="96" t="s">
        <v>17</v>
      </c>
      <c r="B128" s="97" t="s">
        <v>18</v>
      </c>
      <c r="C128" s="97" t="s">
        <v>11</v>
      </c>
      <c r="D128" s="98" t="s">
        <v>19</v>
      </c>
      <c r="E128" s="98" t="s">
        <v>20</v>
      </c>
      <c r="F128" s="99" t="s">
        <v>21</v>
      </c>
      <c r="G128" s="12"/>
    </row>
    <row r="129" spans="1:7" x14ac:dyDescent="0.2">
      <c r="A129" s="122" t="s">
        <v>66</v>
      </c>
      <c r="B129" s="105" t="s">
        <v>61</v>
      </c>
      <c r="C129" s="138">
        <f>21*(E35+E36)</f>
        <v>84</v>
      </c>
      <c r="D129" s="108">
        <v>27.15</v>
      </c>
      <c r="E129" s="127">
        <f>C129*D129</f>
        <v>2280.6</v>
      </c>
      <c r="F129" s="35"/>
      <c r="G129" s="12"/>
    </row>
    <row r="130" spans="1:7" x14ac:dyDescent="0.2">
      <c r="F130" s="139">
        <f>SUM(E129)</f>
        <v>2280.6</v>
      </c>
      <c r="G130" s="12"/>
    </row>
    <row r="131" spans="1:7" x14ac:dyDescent="0.2">
      <c r="G131" s="12"/>
    </row>
    <row r="132" spans="1:7" x14ac:dyDescent="0.2">
      <c r="A132" s="12" t="s">
        <v>67</v>
      </c>
      <c r="F132" s="35"/>
      <c r="G132" s="12"/>
    </row>
    <row r="133" spans="1:7" x14ac:dyDescent="0.2">
      <c r="A133" s="96" t="s">
        <v>17</v>
      </c>
      <c r="B133" s="97" t="s">
        <v>18</v>
      </c>
      <c r="C133" s="97" t="s">
        <v>11</v>
      </c>
      <c r="D133" s="98" t="s">
        <v>19</v>
      </c>
      <c r="E133" s="98" t="s">
        <v>20</v>
      </c>
      <c r="F133" s="99" t="s">
        <v>21</v>
      </c>
      <c r="G133" s="12"/>
    </row>
    <row r="134" spans="1:7" x14ac:dyDescent="0.2">
      <c r="A134" s="122" t="str">
        <f>+A129</f>
        <v>Empregado</v>
      </c>
      <c r="B134" s="105" t="s">
        <v>68</v>
      </c>
      <c r="C134" s="138">
        <f>E35+E36</f>
        <v>4</v>
      </c>
      <c r="D134" s="108">
        <v>25.52</v>
      </c>
      <c r="E134" s="127">
        <f>C134*D134</f>
        <v>102.08</v>
      </c>
      <c r="F134" s="35"/>
      <c r="G134" s="12"/>
    </row>
    <row r="135" spans="1:7" hidden="1" x14ac:dyDescent="0.2">
      <c r="A135" s="122" t="e">
        <f>+#REF!</f>
        <v>#REF!</v>
      </c>
      <c r="B135" s="105" t="s">
        <v>68</v>
      </c>
      <c r="C135" s="138">
        <f>E37+E38</f>
        <v>1</v>
      </c>
      <c r="D135" s="108"/>
      <c r="E135" s="127">
        <f>C135*D135</f>
        <v>0</v>
      </c>
      <c r="F135" s="35"/>
      <c r="G135" s="12"/>
    </row>
    <row r="136" spans="1:7" x14ac:dyDescent="0.2">
      <c r="D136" s="126" t="s">
        <v>39</v>
      </c>
      <c r="E136" s="127">
        <f>$B$46</f>
        <v>1</v>
      </c>
      <c r="F136" s="139">
        <f>SUM(E134:E135)*E136</f>
        <v>102.08</v>
      </c>
      <c r="G136" s="12"/>
    </row>
    <row r="137" spans="1:7" x14ac:dyDescent="0.2">
      <c r="G137" s="12"/>
    </row>
    <row r="138" spans="1:7" x14ac:dyDescent="0.2">
      <c r="A138" s="140" t="s">
        <v>69</v>
      </c>
      <c r="B138" s="141"/>
      <c r="C138" s="141"/>
      <c r="D138" s="57"/>
      <c r="E138" s="142"/>
      <c r="F138" s="139">
        <f>F136+F130+F125+F117+F96+F81+F62</f>
        <v>18718.602284132157</v>
      </c>
      <c r="G138" s="12"/>
    </row>
    <row r="140" spans="1:7" x14ac:dyDescent="0.2">
      <c r="A140" s="36" t="s">
        <v>70</v>
      </c>
      <c r="G140" s="12"/>
    </row>
    <row r="141" spans="1:7" ht="11.25" customHeight="1" x14ac:dyDescent="0.2">
      <c r="G141" s="12"/>
    </row>
    <row r="142" spans="1:7" ht="13.5" customHeight="1" x14ac:dyDescent="0.2">
      <c r="A142" s="12" t="s">
        <v>71</v>
      </c>
      <c r="G142" s="12"/>
    </row>
    <row r="143" spans="1:7" ht="11.25" customHeight="1" x14ac:dyDescent="0.2">
      <c r="G143" s="12"/>
    </row>
    <row r="144" spans="1:7" ht="27.75" customHeight="1" x14ac:dyDescent="0.2">
      <c r="A144" s="96" t="s">
        <v>17</v>
      </c>
      <c r="B144" s="97" t="s">
        <v>18</v>
      </c>
      <c r="C144" s="143" t="s">
        <v>72</v>
      </c>
      <c r="D144" s="98" t="s">
        <v>19</v>
      </c>
      <c r="E144" s="98" t="s">
        <v>20</v>
      </c>
      <c r="F144" s="99" t="s">
        <v>21</v>
      </c>
      <c r="G144" s="12"/>
    </row>
    <row r="145" spans="1:7" x14ac:dyDescent="0.2">
      <c r="A145" s="121" t="s">
        <v>73</v>
      </c>
      <c r="B145" s="101" t="s">
        <v>68</v>
      </c>
      <c r="C145" s="144">
        <v>10</v>
      </c>
      <c r="D145" s="102">
        <v>160</v>
      </c>
      <c r="E145" s="103">
        <f t="shared" ref="E145:E161" si="1">IFERROR(D145/C145,0)</f>
        <v>16</v>
      </c>
      <c r="G145" s="12"/>
    </row>
    <row r="146" spans="1:7" ht="12.75" customHeight="1" x14ac:dyDescent="0.2">
      <c r="A146" s="122" t="s">
        <v>74</v>
      </c>
      <c r="B146" s="105" t="s">
        <v>68</v>
      </c>
      <c r="C146" s="144">
        <v>6</v>
      </c>
      <c r="D146" s="102">
        <v>58.8</v>
      </c>
      <c r="E146" s="103">
        <f t="shared" si="1"/>
        <v>9.7999999999999989</v>
      </c>
      <c r="G146" s="12"/>
    </row>
    <row r="147" spans="1:7" x14ac:dyDescent="0.2">
      <c r="A147" s="122" t="s">
        <v>75</v>
      </c>
      <c r="B147" s="105" t="s">
        <v>68</v>
      </c>
      <c r="C147" s="144">
        <v>4</v>
      </c>
      <c r="D147" s="102">
        <v>27.6</v>
      </c>
      <c r="E147" s="103">
        <f t="shared" si="1"/>
        <v>6.9</v>
      </c>
      <c r="G147" s="12"/>
    </row>
    <row r="148" spans="1:7" ht="12.75" customHeight="1" x14ac:dyDescent="0.2">
      <c r="A148" s="122" t="s">
        <v>76</v>
      </c>
      <c r="B148" s="105" t="s">
        <v>68</v>
      </c>
      <c r="C148" s="144">
        <v>12</v>
      </c>
      <c r="D148" s="102">
        <v>19.079999999999998</v>
      </c>
      <c r="E148" s="103">
        <f t="shared" si="1"/>
        <v>1.5899999999999999</v>
      </c>
      <c r="G148" s="12"/>
    </row>
    <row r="149" spans="1:7" ht="13.5" customHeight="1" x14ac:dyDescent="0.2">
      <c r="A149" s="122" t="s">
        <v>77</v>
      </c>
      <c r="B149" s="105" t="s">
        <v>78</v>
      </c>
      <c r="C149" s="144">
        <v>8</v>
      </c>
      <c r="D149" s="102">
        <v>71.09</v>
      </c>
      <c r="E149" s="103">
        <f t="shared" si="1"/>
        <v>8.8862500000000004</v>
      </c>
      <c r="G149" s="12"/>
    </row>
    <row r="150" spans="1:7" ht="12.75" customHeight="1" x14ac:dyDescent="0.2">
      <c r="A150" s="122" t="s">
        <v>79</v>
      </c>
      <c r="B150" s="105" t="s">
        <v>78</v>
      </c>
      <c r="C150" s="144">
        <v>4</v>
      </c>
      <c r="D150" s="102">
        <v>12</v>
      </c>
      <c r="E150" s="103">
        <f t="shared" si="1"/>
        <v>3</v>
      </c>
    </row>
    <row r="151" spans="1:7" x14ac:dyDescent="0.2">
      <c r="A151" s="122" t="s">
        <v>80</v>
      </c>
      <c r="B151" s="105" t="s">
        <v>68</v>
      </c>
      <c r="C151" s="144">
        <v>6</v>
      </c>
      <c r="D151" s="102">
        <v>65</v>
      </c>
      <c r="E151" s="103">
        <f t="shared" si="1"/>
        <v>10.833333333333334</v>
      </c>
    </row>
    <row r="152" spans="1:7" s="148" customFormat="1" x14ac:dyDescent="0.2">
      <c r="A152" s="145" t="s">
        <v>81</v>
      </c>
      <c r="B152" s="146" t="s">
        <v>68</v>
      </c>
      <c r="C152" s="144">
        <v>12</v>
      </c>
      <c r="D152" s="102">
        <v>18</v>
      </c>
      <c r="E152" s="103">
        <f t="shared" si="1"/>
        <v>1.5</v>
      </c>
      <c r="F152" s="147"/>
      <c r="G152" s="147"/>
    </row>
    <row r="153" spans="1:7" x14ac:dyDescent="0.2">
      <c r="A153" s="122" t="s">
        <v>82</v>
      </c>
      <c r="B153" s="105" t="s">
        <v>78</v>
      </c>
      <c r="C153" s="144">
        <v>0.3</v>
      </c>
      <c r="D153" s="102">
        <v>14.4</v>
      </c>
      <c r="E153" s="103">
        <f t="shared" si="1"/>
        <v>48</v>
      </c>
    </row>
    <row r="154" spans="1:7" x14ac:dyDescent="0.2">
      <c r="A154" s="149" t="s">
        <v>83</v>
      </c>
      <c r="B154" s="105" t="s">
        <v>68</v>
      </c>
      <c r="C154" s="144">
        <v>0.5</v>
      </c>
      <c r="D154" s="102">
        <v>3</v>
      </c>
      <c r="E154" s="103">
        <f t="shared" si="1"/>
        <v>6</v>
      </c>
    </row>
    <row r="155" spans="1:7" x14ac:dyDescent="0.2">
      <c r="A155" s="149" t="s">
        <v>84</v>
      </c>
      <c r="B155" s="105" t="s">
        <v>68</v>
      </c>
      <c r="C155" s="144">
        <v>12</v>
      </c>
      <c r="D155" s="102">
        <v>48.43</v>
      </c>
      <c r="E155" s="103">
        <f t="shared" si="1"/>
        <v>4.0358333333333336</v>
      </c>
    </row>
    <row r="156" spans="1:7" x14ac:dyDescent="0.2">
      <c r="A156" s="149" t="s">
        <v>85</v>
      </c>
      <c r="B156" s="105" t="s">
        <v>68</v>
      </c>
      <c r="C156" s="144">
        <v>12</v>
      </c>
      <c r="D156" s="102">
        <v>20</v>
      </c>
      <c r="E156" s="103">
        <f t="shared" si="1"/>
        <v>1.6666666666666667</v>
      </c>
    </row>
    <row r="157" spans="1:7" x14ac:dyDescent="0.2">
      <c r="A157" s="149" t="s">
        <v>86</v>
      </c>
      <c r="B157" s="105" t="s">
        <v>68</v>
      </c>
      <c r="C157" s="144">
        <v>12</v>
      </c>
      <c r="D157" s="102">
        <v>38.74</v>
      </c>
      <c r="E157" s="103">
        <f t="shared" si="1"/>
        <v>3.2283333333333335</v>
      </c>
    </row>
    <row r="158" spans="1:7" x14ac:dyDescent="0.2">
      <c r="A158" s="149" t="s">
        <v>87</v>
      </c>
      <c r="B158" s="105" t="s">
        <v>68</v>
      </c>
      <c r="C158" s="144">
        <v>12</v>
      </c>
      <c r="D158" s="102">
        <v>40.840000000000003</v>
      </c>
      <c r="E158" s="103">
        <f t="shared" si="1"/>
        <v>3.4033333333333338</v>
      </c>
    </row>
    <row r="159" spans="1:7" x14ac:dyDescent="0.2">
      <c r="A159" s="149" t="s">
        <v>88</v>
      </c>
      <c r="B159" s="105" t="s">
        <v>68</v>
      </c>
      <c r="C159" s="144">
        <v>36</v>
      </c>
      <c r="D159" s="102">
        <v>42.9</v>
      </c>
      <c r="E159" s="103">
        <f t="shared" si="1"/>
        <v>1.1916666666666667</v>
      </c>
    </row>
    <row r="160" spans="1:7" x14ac:dyDescent="0.2">
      <c r="A160" s="149" t="s">
        <v>89</v>
      </c>
      <c r="B160" s="105" t="s">
        <v>68</v>
      </c>
      <c r="C160" s="144">
        <v>48</v>
      </c>
      <c r="D160" s="102">
        <v>280.5</v>
      </c>
      <c r="E160" s="103">
        <f t="shared" si="1"/>
        <v>5.84375</v>
      </c>
    </row>
    <row r="161" spans="1:7" ht="12.75" customHeight="1" x14ac:dyDescent="0.2">
      <c r="A161" s="122" t="s">
        <v>90</v>
      </c>
      <c r="B161" s="105" t="s">
        <v>91</v>
      </c>
      <c r="C161" s="144">
        <v>1</v>
      </c>
      <c r="D161" s="102">
        <v>22.2</v>
      </c>
      <c r="E161" s="103">
        <f t="shared" si="1"/>
        <v>22.2</v>
      </c>
    </row>
    <row r="162" spans="1:7" x14ac:dyDescent="0.2">
      <c r="A162" s="122" t="s">
        <v>92</v>
      </c>
      <c r="B162" s="105" t="s">
        <v>93</v>
      </c>
      <c r="C162" s="150">
        <v>1</v>
      </c>
      <c r="D162" s="102">
        <v>66</v>
      </c>
      <c r="E162" s="107">
        <f>C162*D162</f>
        <v>66</v>
      </c>
    </row>
    <row r="163" spans="1:7" x14ac:dyDescent="0.2">
      <c r="A163" s="122" t="s">
        <v>37</v>
      </c>
      <c r="B163" s="105" t="s">
        <v>38</v>
      </c>
      <c r="C163" s="151">
        <f>E35+E36</f>
        <v>4</v>
      </c>
      <c r="D163" s="107">
        <f>+SUM(E145:E162)</f>
        <v>220.07916666666665</v>
      </c>
      <c r="E163" s="107">
        <f>C163*D163</f>
        <v>880.31666666666661</v>
      </c>
    </row>
    <row r="164" spans="1:7" x14ac:dyDescent="0.2">
      <c r="D164" s="126" t="s">
        <v>39</v>
      </c>
      <c r="E164" s="127">
        <f>$B$46</f>
        <v>1</v>
      </c>
      <c r="F164" s="119">
        <f>E163*E164</f>
        <v>880.31666666666661</v>
      </c>
    </row>
    <row r="165" spans="1:7" ht="11.25" customHeight="1" x14ac:dyDescent="0.2"/>
    <row r="166" spans="1:7" ht="13.5" hidden="1" customHeight="1" x14ac:dyDescent="0.2">
      <c r="A166" s="12" t="s">
        <v>94</v>
      </c>
    </row>
    <row r="167" spans="1:7" ht="11.25" hidden="1" customHeight="1" x14ac:dyDescent="0.2"/>
    <row r="168" spans="1:7" ht="24" hidden="1" x14ac:dyDescent="0.2">
      <c r="A168" s="96" t="s">
        <v>17</v>
      </c>
      <c r="B168" s="97" t="s">
        <v>18</v>
      </c>
      <c r="C168" s="143" t="s">
        <v>72</v>
      </c>
      <c r="D168" s="98" t="s">
        <v>19</v>
      </c>
      <c r="E168" s="98" t="s">
        <v>20</v>
      </c>
      <c r="F168" s="99" t="s">
        <v>21</v>
      </c>
    </row>
    <row r="169" spans="1:7" hidden="1" x14ac:dyDescent="0.2">
      <c r="A169" s="121" t="s">
        <v>73</v>
      </c>
      <c r="B169" s="101" t="s">
        <v>68</v>
      </c>
      <c r="C169" s="144"/>
      <c r="D169" s="103">
        <f>+D145</f>
        <v>160</v>
      </c>
      <c r="E169" s="103">
        <f t="shared" ref="E169:E174" si="2">IFERROR(D169/C169,0)</f>
        <v>0</v>
      </c>
    </row>
    <row r="170" spans="1:7" hidden="1" x14ac:dyDescent="0.2">
      <c r="A170" s="122" t="s">
        <v>74</v>
      </c>
      <c r="B170" s="105" t="s">
        <v>68</v>
      </c>
      <c r="C170" s="144"/>
      <c r="D170" s="107">
        <f>+D146</f>
        <v>58.8</v>
      </c>
      <c r="E170" s="103">
        <f t="shared" si="2"/>
        <v>0</v>
      </c>
    </row>
    <row r="171" spans="1:7" hidden="1" x14ac:dyDescent="0.2">
      <c r="A171" s="122" t="s">
        <v>75</v>
      </c>
      <c r="B171" s="105" t="s">
        <v>68</v>
      </c>
      <c r="C171" s="144"/>
      <c r="D171" s="107">
        <f>+D147</f>
        <v>27.6</v>
      </c>
      <c r="E171" s="103">
        <f t="shared" si="2"/>
        <v>0</v>
      </c>
    </row>
    <row r="172" spans="1:7" hidden="1" x14ac:dyDescent="0.2">
      <c r="A172" s="122" t="s">
        <v>77</v>
      </c>
      <c r="B172" s="105" t="s">
        <v>78</v>
      </c>
      <c r="C172" s="144"/>
      <c r="D172" s="107">
        <f>+D149</f>
        <v>71.09</v>
      </c>
      <c r="E172" s="103">
        <f t="shared" si="2"/>
        <v>0</v>
      </c>
    </row>
    <row r="173" spans="1:7" hidden="1" x14ac:dyDescent="0.2">
      <c r="A173" s="122" t="s">
        <v>80</v>
      </c>
      <c r="B173" s="105" t="s">
        <v>68</v>
      </c>
      <c r="C173" s="144"/>
      <c r="D173" s="107">
        <f>+D151</f>
        <v>65</v>
      </c>
      <c r="E173" s="103">
        <f t="shared" si="2"/>
        <v>0</v>
      </c>
      <c r="G173" s="12"/>
    </row>
    <row r="174" spans="1:7" hidden="1" x14ac:dyDescent="0.2">
      <c r="A174" s="122" t="s">
        <v>90</v>
      </c>
      <c r="B174" s="105" t="s">
        <v>91</v>
      </c>
      <c r="C174" s="144"/>
      <c r="D174" s="107">
        <f>+D161</f>
        <v>22.2</v>
      </c>
      <c r="E174" s="103">
        <f t="shared" si="2"/>
        <v>0</v>
      </c>
      <c r="G174" s="12"/>
    </row>
    <row r="175" spans="1:7" hidden="1" x14ac:dyDescent="0.2">
      <c r="A175" s="122" t="s">
        <v>92</v>
      </c>
      <c r="B175" s="105" t="s">
        <v>93</v>
      </c>
      <c r="C175" s="150">
        <v>1</v>
      </c>
      <c r="D175" s="102"/>
      <c r="E175" s="107">
        <f>C175*D175</f>
        <v>0</v>
      </c>
      <c r="G175" s="12"/>
    </row>
    <row r="176" spans="1:7" hidden="1" x14ac:dyDescent="0.2">
      <c r="A176" s="122" t="s">
        <v>37</v>
      </c>
      <c r="B176" s="105" t="s">
        <v>38</v>
      </c>
      <c r="C176" s="151">
        <f>E37+E38</f>
        <v>1</v>
      </c>
      <c r="D176" s="107">
        <f>+SUM(E169:E175)</f>
        <v>0</v>
      </c>
      <c r="E176" s="107">
        <f>C176*D176</f>
        <v>0</v>
      </c>
      <c r="G176" s="12"/>
    </row>
    <row r="177" spans="1:10" hidden="1" x14ac:dyDescent="0.2">
      <c r="D177" s="126" t="s">
        <v>39</v>
      </c>
      <c r="E177" s="127">
        <f>$B$46</f>
        <v>1</v>
      </c>
      <c r="F177" s="119">
        <f>E176*E177</f>
        <v>0</v>
      </c>
      <c r="G177" s="12"/>
    </row>
    <row r="178" spans="1:10" ht="11.25" customHeight="1" x14ac:dyDescent="0.2">
      <c r="G178" s="12"/>
    </row>
    <row r="179" spans="1:10" x14ac:dyDescent="0.2">
      <c r="A179" s="140" t="s">
        <v>95</v>
      </c>
      <c r="B179" s="152"/>
      <c r="C179" s="152"/>
      <c r="D179" s="153"/>
      <c r="E179" s="62"/>
      <c r="F179" s="154">
        <f>+F164+F177</f>
        <v>880.31666666666661</v>
      </c>
      <c r="G179" s="12"/>
    </row>
    <row r="180" spans="1:10" ht="11.25" customHeight="1" x14ac:dyDescent="0.2">
      <c r="G180" s="12"/>
    </row>
    <row r="181" spans="1:10" x14ac:dyDescent="0.2">
      <c r="A181" s="36" t="s">
        <v>96</v>
      </c>
      <c r="G181" s="12"/>
    </row>
    <row r="182" spans="1:10" ht="11.25" customHeight="1" x14ac:dyDescent="0.2">
      <c r="B182" s="155"/>
      <c r="G182" s="12"/>
    </row>
    <row r="183" spans="1:10" x14ac:dyDescent="0.2">
      <c r="A183" s="156" t="s">
        <v>97</v>
      </c>
      <c r="G183" s="12"/>
    </row>
    <row r="184" spans="1:10" ht="11.25" customHeight="1" x14ac:dyDescent="0.2">
      <c r="G184" s="12"/>
    </row>
    <row r="185" spans="1:10" x14ac:dyDescent="0.2">
      <c r="A185" s="155" t="s">
        <v>98</v>
      </c>
      <c r="G185" s="12"/>
    </row>
    <row r="186" spans="1:10" x14ac:dyDescent="0.2">
      <c r="A186" s="96" t="s">
        <v>17</v>
      </c>
      <c r="B186" s="97" t="s">
        <v>18</v>
      </c>
      <c r="C186" s="97" t="s">
        <v>11</v>
      </c>
      <c r="D186" s="98" t="s">
        <v>19</v>
      </c>
      <c r="E186" s="98" t="s">
        <v>20</v>
      </c>
      <c r="F186" s="99" t="s">
        <v>21</v>
      </c>
      <c r="G186" s="12"/>
    </row>
    <row r="187" spans="1:10" x14ac:dyDescent="0.2">
      <c r="A187" s="121" t="s">
        <v>99</v>
      </c>
      <c r="B187" s="101" t="s">
        <v>68</v>
      </c>
      <c r="C187" s="157">
        <v>1</v>
      </c>
      <c r="D187" s="102">
        <v>66019</v>
      </c>
      <c r="E187" s="103">
        <f>C187*D187</f>
        <v>66019</v>
      </c>
      <c r="G187" s="12"/>
    </row>
    <row r="188" spans="1:10" x14ac:dyDescent="0.2">
      <c r="A188" s="122" t="s">
        <v>100</v>
      </c>
      <c r="B188" s="105" t="s">
        <v>101</v>
      </c>
      <c r="C188" s="114">
        <v>15</v>
      </c>
      <c r="D188" s="107"/>
      <c r="E188" s="107"/>
      <c r="G188" s="12"/>
    </row>
    <row r="189" spans="1:10" x14ac:dyDescent="0.2">
      <c r="A189" s="122" t="s">
        <v>102</v>
      </c>
      <c r="B189" s="105" t="s">
        <v>101</v>
      </c>
      <c r="C189" s="114">
        <v>6</v>
      </c>
      <c r="D189" s="107"/>
      <c r="E189" s="107"/>
      <c r="F189" s="158"/>
      <c r="I189" s="159"/>
      <c r="J189" s="159"/>
    </row>
    <row r="190" spans="1:10" x14ac:dyDescent="0.2">
      <c r="A190" s="122" t="s">
        <v>103</v>
      </c>
      <c r="B190" s="105" t="s">
        <v>7</v>
      </c>
      <c r="C190" s="113">
        <f>IFERROR(VLOOKUP(C188,'5. Depreciação'!A3:B17,2,FALSE()),0)</f>
        <v>70.73</v>
      </c>
      <c r="D190" s="107">
        <f>E187</f>
        <v>66019</v>
      </c>
      <c r="E190" s="107">
        <f>C190*D190/100</f>
        <v>46695.238700000002</v>
      </c>
    </row>
    <row r="191" spans="1:10" x14ac:dyDescent="0.2">
      <c r="A191" s="160" t="s">
        <v>104</v>
      </c>
      <c r="B191" s="161" t="s">
        <v>23</v>
      </c>
      <c r="C191" s="161">
        <f>C188*12</f>
        <v>180</v>
      </c>
      <c r="D191" s="162">
        <f>IF(C189&lt;=C188,E190,0)</f>
        <v>46695.238700000002</v>
      </c>
      <c r="E191" s="162">
        <f>IFERROR(D191/C191,0)</f>
        <v>259.41799277777778</v>
      </c>
    </row>
    <row r="192" spans="1:10" hidden="1" x14ac:dyDescent="0.2">
      <c r="A192" s="121" t="s">
        <v>105</v>
      </c>
      <c r="B192" s="101" t="s">
        <v>68</v>
      </c>
      <c r="C192" s="101">
        <f>C187</f>
        <v>1</v>
      </c>
      <c r="D192" s="102"/>
      <c r="E192" s="103">
        <f>C192*D192</f>
        <v>0</v>
      </c>
      <c r="G192" s="12"/>
    </row>
    <row r="193" spans="1:10" hidden="1" x14ac:dyDescent="0.2">
      <c r="A193" s="122" t="s">
        <v>106</v>
      </c>
      <c r="B193" s="105" t="s">
        <v>101</v>
      </c>
      <c r="C193" s="114"/>
      <c r="D193" s="107"/>
      <c r="E193" s="107"/>
    </row>
    <row r="194" spans="1:10" hidden="1" x14ac:dyDescent="0.2">
      <c r="A194" s="122" t="s">
        <v>107</v>
      </c>
      <c r="B194" s="105" t="s">
        <v>101</v>
      </c>
      <c r="C194" s="114"/>
      <c r="D194" s="107"/>
      <c r="E194" s="107"/>
      <c r="F194" s="158"/>
      <c r="I194" s="159"/>
      <c r="J194" s="159"/>
    </row>
    <row r="195" spans="1:10" hidden="1" x14ac:dyDescent="0.2">
      <c r="A195" s="122" t="s">
        <v>108</v>
      </c>
      <c r="B195" s="105" t="s">
        <v>7</v>
      </c>
      <c r="C195" s="163">
        <f>IFERROR(VLOOKUP(C193,'5. Depreciação'!A3:B17,2,FALSE()),0)</f>
        <v>0</v>
      </c>
      <c r="D195" s="107">
        <f>E192</f>
        <v>0</v>
      </c>
      <c r="E195" s="107">
        <f>C195*D195/100</f>
        <v>0</v>
      </c>
    </row>
    <row r="196" spans="1:10" hidden="1" x14ac:dyDescent="0.2">
      <c r="A196" s="130" t="s">
        <v>109</v>
      </c>
      <c r="B196" s="164" t="s">
        <v>23</v>
      </c>
      <c r="C196" s="164">
        <f>C193*12</f>
        <v>0</v>
      </c>
      <c r="D196" s="131">
        <f>IF(C194&lt;=C193,E195,0)</f>
        <v>0</v>
      </c>
      <c r="E196" s="131">
        <f>IFERROR(D196/C196,0)</f>
        <v>0</v>
      </c>
    </row>
    <row r="197" spans="1:10" x14ac:dyDescent="0.2">
      <c r="A197" s="124" t="s">
        <v>110</v>
      </c>
      <c r="B197" s="125"/>
      <c r="C197" s="125"/>
      <c r="D197" s="111"/>
      <c r="E197" s="112">
        <f>E191+E196</f>
        <v>259.41799277777778</v>
      </c>
    </row>
    <row r="198" spans="1:10" x14ac:dyDescent="0.2">
      <c r="A198" s="130" t="s">
        <v>111</v>
      </c>
      <c r="B198" s="164" t="s">
        <v>68</v>
      </c>
      <c r="C198" s="114">
        <v>1</v>
      </c>
      <c r="D198" s="131">
        <f>E197</f>
        <v>259.41799277777778</v>
      </c>
      <c r="E198" s="112">
        <f>C198*D198</f>
        <v>259.41799277777778</v>
      </c>
    </row>
    <row r="199" spans="1:10" x14ac:dyDescent="0.2">
      <c r="A199" s="165"/>
      <c r="B199" s="165"/>
      <c r="C199" s="165"/>
      <c r="D199" s="126" t="s">
        <v>39</v>
      </c>
      <c r="E199" s="127">
        <f>$B$46</f>
        <v>1</v>
      </c>
      <c r="F199" s="154">
        <f>E198*E199</f>
        <v>259.41799277777778</v>
      </c>
    </row>
    <row r="200" spans="1:10" ht="11.25" customHeight="1" x14ac:dyDescent="0.2"/>
    <row r="201" spans="1:10" x14ac:dyDescent="0.2">
      <c r="A201" s="155" t="s">
        <v>112</v>
      </c>
    </row>
    <row r="202" spans="1:10" x14ac:dyDescent="0.2">
      <c r="A202" s="166" t="s">
        <v>17</v>
      </c>
      <c r="B202" s="167" t="s">
        <v>18</v>
      </c>
      <c r="C202" s="167" t="s">
        <v>11</v>
      </c>
      <c r="D202" s="98" t="s">
        <v>19</v>
      </c>
      <c r="E202" s="168" t="s">
        <v>20</v>
      </c>
      <c r="F202" s="99" t="s">
        <v>21</v>
      </c>
      <c r="I202" s="159"/>
      <c r="J202" s="159"/>
    </row>
    <row r="203" spans="1:10" x14ac:dyDescent="0.2">
      <c r="A203" s="122" t="s">
        <v>113</v>
      </c>
      <c r="B203" s="105" t="s">
        <v>68</v>
      </c>
      <c r="C203" s="157">
        <v>1</v>
      </c>
      <c r="D203" s="107">
        <f>D187</f>
        <v>66019</v>
      </c>
      <c r="E203" s="107">
        <f>C203*D203</f>
        <v>66019</v>
      </c>
      <c r="F203" s="158"/>
      <c r="I203" s="159"/>
      <c r="J203" s="159"/>
    </row>
    <row r="204" spans="1:10" x14ac:dyDescent="0.2">
      <c r="A204" s="122" t="s">
        <v>114</v>
      </c>
      <c r="B204" s="105" t="s">
        <v>7</v>
      </c>
      <c r="C204" s="114">
        <v>10.5</v>
      </c>
      <c r="D204" s="107"/>
      <c r="E204" s="107"/>
      <c r="F204" s="158"/>
      <c r="I204" s="159"/>
      <c r="J204" s="159"/>
    </row>
    <row r="205" spans="1:10" x14ac:dyDescent="0.2">
      <c r="A205" s="122" t="s">
        <v>115</v>
      </c>
      <c r="B205" s="105" t="s">
        <v>30</v>
      </c>
      <c r="C205" s="169">
        <f>IFERROR(IF(C189&lt;=C188,E187-(C190/(100*C188)*C189)*E187,E187-E190),0)</f>
        <v>47340.904519999996</v>
      </c>
      <c r="D205" s="107"/>
      <c r="E205" s="107"/>
      <c r="F205" s="158"/>
      <c r="I205" s="159"/>
      <c r="J205" s="159"/>
    </row>
    <row r="206" spans="1:10" x14ac:dyDescent="0.2">
      <c r="A206" s="122" t="s">
        <v>116</v>
      </c>
      <c r="B206" s="105" t="s">
        <v>30</v>
      </c>
      <c r="C206" s="107">
        <f>IFERROR(IF(C189&gt;=C188,C205,((((C205)-(E187-E190))*(((C188-C189)+1)/(2*(C188-C189))))+(E187-E190))),0)</f>
        <v>34888.840866666666</v>
      </c>
      <c r="D206" s="107"/>
      <c r="E206" s="107"/>
      <c r="F206" s="158"/>
      <c r="I206" s="159"/>
      <c r="J206" s="159"/>
    </row>
    <row r="207" spans="1:10" x14ac:dyDescent="0.2">
      <c r="A207" s="160" t="s">
        <v>117</v>
      </c>
      <c r="B207" s="161" t="s">
        <v>30</v>
      </c>
      <c r="C207" s="161"/>
      <c r="D207" s="162">
        <f>C204*C206/12/100</f>
        <v>305.2773575833333</v>
      </c>
      <c r="E207" s="162">
        <f>D207</f>
        <v>305.2773575833333</v>
      </c>
      <c r="F207" s="158"/>
      <c r="I207" s="159"/>
      <c r="J207" s="159"/>
    </row>
    <row r="208" spans="1:10" hidden="1" x14ac:dyDescent="0.2">
      <c r="A208" s="121" t="s">
        <v>118</v>
      </c>
      <c r="B208" s="101" t="s">
        <v>68</v>
      </c>
      <c r="C208" s="101">
        <f>C192</f>
        <v>1</v>
      </c>
      <c r="D208" s="103">
        <f>D192</f>
        <v>0</v>
      </c>
      <c r="E208" s="103">
        <f>C208*D208</f>
        <v>0</v>
      </c>
      <c r="F208" s="158"/>
      <c r="I208" s="159"/>
      <c r="J208" s="159"/>
    </row>
    <row r="209" spans="1:10" hidden="1" x14ac:dyDescent="0.2">
      <c r="A209" s="122" t="s">
        <v>114</v>
      </c>
      <c r="B209" s="105" t="s">
        <v>7</v>
      </c>
      <c r="C209" s="170">
        <f>C204</f>
        <v>10.5</v>
      </c>
      <c r="D209" s="107"/>
      <c r="E209" s="107"/>
      <c r="F209" s="158"/>
      <c r="I209" s="159"/>
      <c r="J209" s="159"/>
    </row>
    <row r="210" spans="1:10" hidden="1" x14ac:dyDescent="0.2">
      <c r="A210" s="122" t="s">
        <v>119</v>
      </c>
      <c r="B210" s="105" t="s">
        <v>30</v>
      </c>
      <c r="C210" s="169">
        <f>IFERROR(IF(C194&lt;=C193,E192-(C195/(100*C193)*C194)*E192,E192-E195),0)</f>
        <v>0</v>
      </c>
      <c r="D210" s="107"/>
      <c r="E210" s="107"/>
      <c r="F210" s="158"/>
      <c r="I210" s="159"/>
      <c r="J210" s="159"/>
    </row>
    <row r="211" spans="1:10" hidden="1" x14ac:dyDescent="0.2">
      <c r="A211" s="122" t="s">
        <v>120</v>
      </c>
      <c r="B211" s="105" t="s">
        <v>30</v>
      </c>
      <c r="C211" s="107">
        <f>IFERROR(IF(C194&gt;=C193,C210,((((C210)-(E192-E195))*(((C193-C194)+1)/(2*(C193-C194))))+(E192-E195))),0)</f>
        <v>0</v>
      </c>
      <c r="D211" s="107"/>
      <c r="E211" s="107"/>
      <c r="F211" s="158"/>
      <c r="I211" s="159"/>
      <c r="J211" s="159"/>
    </row>
    <row r="212" spans="1:10" hidden="1" x14ac:dyDescent="0.2">
      <c r="A212" s="130" t="s">
        <v>121</v>
      </c>
      <c r="B212" s="164" t="s">
        <v>30</v>
      </c>
      <c r="C212" s="164"/>
      <c r="D212" s="131">
        <f>C209*C211/12/100</f>
        <v>0</v>
      </c>
      <c r="E212" s="131">
        <f>D212</f>
        <v>0</v>
      </c>
      <c r="F212" s="158"/>
      <c r="I212" s="159"/>
      <c r="J212" s="159"/>
    </row>
    <row r="213" spans="1:10" hidden="1" x14ac:dyDescent="0.2">
      <c r="A213" s="124" t="s">
        <v>110</v>
      </c>
      <c r="B213" s="125"/>
      <c r="C213" s="125"/>
      <c r="D213" s="111"/>
      <c r="E213" s="112">
        <f>E207+E212</f>
        <v>305.2773575833333</v>
      </c>
      <c r="F213" s="158"/>
      <c r="I213" s="159"/>
      <c r="J213" s="159"/>
    </row>
    <row r="214" spans="1:10" x14ac:dyDescent="0.2">
      <c r="A214" s="130" t="s">
        <v>111</v>
      </c>
      <c r="B214" s="164" t="s">
        <v>68</v>
      </c>
      <c r="C214" s="170">
        <f>C198</f>
        <v>1</v>
      </c>
      <c r="D214" s="131">
        <f>E213</f>
        <v>305.2773575833333</v>
      </c>
      <c r="E214" s="112">
        <f>C214*D214</f>
        <v>305.2773575833333</v>
      </c>
      <c r="F214" s="158"/>
      <c r="I214" s="159"/>
      <c r="J214" s="159"/>
    </row>
    <row r="215" spans="1:10" x14ac:dyDescent="0.2">
      <c r="C215" s="171"/>
      <c r="D215" s="126" t="s">
        <v>39</v>
      </c>
      <c r="E215" s="127">
        <f>$B$46</f>
        <v>1</v>
      </c>
      <c r="F215" s="154">
        <f>E214*E215</f>
        <v>305.2773575833333</v>
      </c>
      <c r="I215" s="159"/>
      <c r="J215" s="159"/>
    </row>
    <row r="216" spans="1:10" ht="11.25" customHeight="1" x14ac:dyDescent="0.2">
      <c r="I216" s="159"/>
      <c r="J216" s="159"/>
    </row>
    <row r="217" spans="1:10" x14ac:dyDescent="0.2">
      <c r="A217" s="12" t="s">
        <v>122</v>
      </c>
      <c r="I217" s="159"/>
      <c r="J217" s="159"/>
    </row>
    <row r="218" spans="1:10" x14ac:dyDescent="0.2">
      <c r="A218" s="96" t="s">
        <v>17</v>
      </c>
      <c r="B218" s="97" t="s">
        <v>18</v>
      </c>
      <c r="C218" s="97" t="s">
        <v>11</v>
      </c>
      <c r="D218" s="98" t="s">
        <v>19</v>
      </c>
      <c r="E218" s="98" t="s">
        <v>20</v>
      </c>
      <c r="F218" s="99" t="s">
        <v>21</v>
      </c>
      <c r="I218" s="159"/>
      <c r="J218" s="159"/>
    </row>
    <row r="219" spans="1:10" x14ac:dyDescent="0.2">
      <c r="A219" s="121" t="s">
        <v>123</v>
      </c>
      <c r="B219" s="101" t="s">
        <v>68</v>
      </c>
      <c r="C219" s="103">
        <f>C198</f>
        <v>1</v>
      </c>
      <c r="D219" s="103">
        <f>0.03*($E$187)</f>
        <v>1980.57</v>
      </c>
      <c r="E219" s="103">
        <f>C219*D219</f>
        <v>1980.57</v>
      </c>
      <c r="I219" s="159"/>
      <c r="J219" s="159"/>
    </row>
    <row r="220" spans="1:10" x14ac:dyDescent="0.2">
      <c r="A220" s="122" t="s">
        <v>124</v>
      </c>
      <c r="B220" s="105" t="s">
        <v>68</v>
      </c>
      <c r="C220" s="103">
        <f>C198</f>
        <v>1</v>
      </c>
      <c r="D220" s="108">
        <v>100</v>
      </c>
      <c r="E220" s="107">
        <f>C220*D220</f>
        <v>100</v>
      </c>
      <c r="I220" s="159"/>
      <c r="J220" s="159"/>
    </row>
    <row r="221" spans="1:10" x14ac:dyDescent="0.2">
      <c r="A221" s="122" t="s">
        <v>125</v>
      </c>
      <c r="B221" s="105" t="s">
        <v>68</v>
      </c>
      <c r="C221" s="103">
        <f>C198</f>
        <v>1</v>
      </c>
      <c r="D221" s="108">
        <v>1400</v>
      </c>
      <c r="E221" s="107">
        <f>C221*D221</f>
        <v>1400</v>
      </c>
      <c r="F221" s="111"/>
      <c r="I221" s="159"/>
      <c r="J221" s="159"/>
    </row>
    <row r="222" spans="1:10" x14ac:dyDescent="0.2">
      <c r="A222" s="130" t="s">
        <v>126</v>
      </c>
      <c r="B222" s="164" t="s">
        <v>23</v>
      </c>
      <c r="C222" s="164">
        <v>12</v>
      </c>
      <c r="D222" s="131">
        <f>SUM(E219:E221)</f>
        <v>3480.5699999999997</v>
      </c>
      <c r="E222" s="131">
        <f>D222/C222</f>
        <v>290.04749999999996</v>
      </c>
      <c r="I222" s="159"/>
      <c r="J222" s="159"/>
    </row>
    <row r="223" spans="1:10" x14ac:dyDescent="0.2">
      <c r="D223" s="126" t="s">
        <v>39</v>
      </c>
      <c r="E223" s="127">
        <f>$B$46</f>
        <v>1</v>
      </c>
      <c r="F223" s="119">
        <f>E222*E223</f>
        <v>290.04749999999996</v>
      </c>
      <c r="I223" s="159"/>
      <c r="J223" s="159"/>
    </row>
    <row r="224" spans="1:10" ht="11.25" customHeight="1" x14ac:dyDescent="0.2">
      <c r="I224" s="159"/>
      <c r="J224" s="159"/>
    </row>
    <row r="225" spans="1:10" x14ac:dyDescent="0.2">
      <c r="A225" s="12" t="s">
        <v>127</v>
      </c>
      <c r="B225" s="172"/>
      <c r="I225" s="159"/>
      <c r="J225" s="159"/>
    </row>
    <row r="226" spans="1:10" x14ac:dyDescent="0.2">
      <c r="B226" s="172"/>
      <c r="I226" s="159"/>
      <c r="J226" s="159"/>
    </row>
    <row r="227" spans="1:10" x14ac:dyDescent="0.2">
      <c r="A227" s="130" t="s">
        <v>128</v>
      </c>
      <c r="B227" s="173">
        <v>500</v>
      </c>
      <c r="I227" s="159"/>
      <c r="J227" s="159"/>
    </row>
    <row r="228" spans="1:10" x14ac:dyDescent="0.2">
      <c r="B228" s="172"/>
      <c r="I228" s="159"/>
      <c r="J228" s="159"/>
    </row>
    <row r="229" spans="1:10" x14ac:dyDescent="0.2">
      <c r="A229" s="96" t="s">
        <v>17</v>
      </c>
      <c r="B229" s="97" t="s">
        <v>18</v>
      </c>
      <c r="C229" s="97" t="s">
        <v>129</v>
      </c>
      <c r="D229" s="98" t="s">
        <v>19</v>
      </c>
      <c r="E229" s="98" t="s">
        <v>20</v>
      </c>
      <c r="F229" s="99" t="s">
        <v>21</v>
      </c>
      <c r="I229" s="159"/>
      <c r="J229" s="159"/>
    </row>
    <row r="230" spans="1:10" x14ac:dyDescent="0.2">
      <c r="A230" s="121" t="s">
        <v>130</v>
      </c>
      <c r="B230" s="101" t="s">
        <v>131</v>
      </c>
      <c r="C230" s="174">
        <v>9</v>
      </c>
      <c r="D230" s="175">
        <v>6.29</v>
      </c>
      <c r="E230" s="103"/>
      <c r="I230" s="159"/>
      <c r="J230" s="159"/>
    </row>
    <row r="231" spans="1:10" x14ac:dyDescent="0.2">
      <c r="A231" s="122" t="s">
        <v>132</v>
      </c>
      <c r="B231" s="105" t="s">
        <v>133</v>
      </c>
      <c r="C231" s="135">
        <f>B227</f>
        <v>500</v>
      </c>
      <c r="D231" s="176">
        <f>IFERROR(+D230/C230,"-")</f>
        <v>0.69888888888888889</v>
      </c>
      <c r="E231" s="107">
        <f>IFERROR(C231*D231,"-")</f>
        <v>349.44444444444446</v>
      </c>
      <c r="I231" s="159"/>
      <c r="J231" s="159"/>
    </row>
    <row r="232" spans="1:10" x14ac:dyDescent="0.2">
      <c r="A232" s="122" t="s">
        <v>134</v>
      </c>
      <c r="B232" s="105" t="s">
        <v>135</v>
      </c>
      <c r="C232" s="177">
        <v>3</v>
      </c>
      <c r="D232" s="108">
        <v>40</v>
      </c>
      <c r="E232" s="107"/>
      <c r="H232" s="156"/>
      <c r="I232" s="159"/>
      <c r="J232" s="159"/>
    </row>
    <row r="233" spans="1:10" x14ac:dyDescent="0.2">
      <c r="A233" s="122" t="s">
        <v>136</v>
      </c>
      <c r="B233" s="105" t="s">
        <v>133</v>
      </c>
      <c r="C233" s="135">
        <f>C231</f>
        <v>500</v>
      </c>
      <c r="D233" s="178">
        <f>+C232*D232/6000</f>
        <v>0.02</v>
      </c>
      <c r="E233" s="107">
        <f>C233*D233</f>
        <v>10</v>
      </c>
      <c r="H233" s="156"/>
      <c r="I233" s="159"/>
      <c r="J233" s="159"/>
    </row>
    <row r="234" spans="1:10" hidden="1" x14ac:dyDescent="0.2">
      <c r="A234" s="122" t="s">
        <v>137</v>
      </c>
      <c r="B234" s="105" t="s">
        <v>138</v>
      </c>
      <c r="C234" s="177"/>
      <c r="D234" s="108"/>
      <c r="E234" s="107"/>
      <c r="H234" s="156"/>
      <c r="I234" s="159"/>
      <c r="J234" s="159"/>
    </row>
    <row r="235" spans="1:10" hidden="1" x14ac:dyDescent="0.2">
      <c r="A235" s="122" t="s">
        <v>139</v>
      </c>
      <c r="B235" s="105" t="s">
        <v>133</v>
      </c>
      <c r="C235" s="135">
        <f>C231</f>
        <v>500</v>
      </c>
      <c r="D235" s="178">
        <f>+C234*D234/1000</f>
        <v>0</v>
      </c>
      <c r="E235" s="107">
        <f>C235*D235</f>
        <v>0</v>
      </c>
      <c r="H235" s="156"/>
      <c r="I235" s="159"/>
      <c r="J235" s="159"/>
    </row>
    <row r="236" spans="1:10" hidden="1" x14ac:dyDescent="0.2">
      <c r="A236" s="122" t="s">
        <v>140</v>
      </c>
      <c r="B236" s="105" t="s">
        <v>138</v>
      </c>
      <c r="C236" s="177"/>
      <c r="D236" s="108"/>
      <c r="E236" s="107"/>
      <c r="H236" s="156"/>
      <c r="I236" s="159"/>
      <c r="J236" s="159"/>
    </row>
    <row r="237" spans="1:10" hidden="1" x14ac:dyDescent="0.2">
      <c r="A237" s="122" t="s">
        <v>141</v>
      </c>
      <c r="B237" s="105" t="s">
        <v>133</v>
      </c>
      <c r="C237" s="135">
        <f>C231</f>
        <v>500</v>
      </c>
      <c r="D237" s="178">
        <f>+C236*D236/1000</f>
        <v>0</v>
      </c>
      <c r="E237" s="107">
        <f>C237*D237</f>
        <v>0</v>
      </c>
      <c r="H237" s="156"/>
      <c r="I237" s="159"/>
      <c r="J237" s="159"/>
    </row>
    <row r="238" spans="1:10" hidden="1" x14ac:dyDescent="0.2">
      <c r="A238" s="122" t="s">
        <v>142</v>
      </c>
      <c r="B238" s="105" t="s">
        <v>143</v>
      </c>
      <c r="C238" s="177"/>
      <c r="D238" s="108"/>
      <c r="E238" s="107"/>
      <c r="H238" s="156"/>
      <c r="I238" s="159"/>
      <c r="J238" s="159"/>
    </row>
    <row r="239" spans="1:10" hidden="1" x14ac:dyDescent="0.2">
      <c r="A239" s="122" t="s">
        <v>144</v>
      </c>
      <c r="B239" s="105" t="s">
        <v>133</v>
      </c>
      <c r="C239" s="135">
        <f>C231</f>
        <v>500</v>
      </c>
      <c r="D239" s="178">
        <f>+C238*D238/1000</f>
        <v>0</v>
      </c>
      <c r="E239" s="107">
        <f>C239*D239</f>
        <v>0</v>
      </c>
      <c r="H239" s="156"/>
      <c r="I239" s="159"/>
      <c r="J239" s="159"/>
    </row>
    <row r="240" spans="1:10" x14ac:dyDescent="0.2">
      <c r="A240" s="130" t="s">
        <v>145</v>
      </c>
      <c r="B240" s="164" t="s">
        <v>146</v>
      </c>
      <c r="C240" s="179"/>
      <c r="D240" s="180">
        <f>IFERROR(D231+D233+D235+D237+D239,0)</f>
        <v>0.71888888888888891</v>
      </c>
      <c r="E240" s="107"/>
      <c r="H240" s="156"/>
      <c r="I240" s="159"/>
      <c r="J240" s="159"/>
    </row>
    <row r="241" spans="1:10" x14ac:dyDescent="0.2">
      <c r="F241" s="154">
        <f>SUM(E230:E239)</f>
        <v>359.44444444444446</v>
      </c>
      <c r="I241" s="159"/>
      <c r="J241" s="159"/>
    </row>
    <row r="242" spans="1:10" ht="11.25" customHeight="1" x14ac:dyDescent="0.2">
      <c r="I242" s="159"/>
      <c r="J242" s="159"/>
    </row>
    <row r="243" spans="1:10" x14ac:dyDescent="0.2">
      <c r="A243" s="12" t="s">
        <v>147</v>
      </c>
      <c r="I243" s="159"/>
      <c r="J243" s="159"/>
    </row>
    <row r="244" spans="1:10" x14ac:dyDescent="0.2">
      <c r="A244" s="96" t="s">
        <v>17</v>
      </c>
      <c r="B244" s="97" t="s">
        <v>18</v>
      </c>
      <c r="C244" s="97" t="s">
        <v>11</v>
      </c>
      <c r="D244" s="98" t="s">
        <v>19</v>
      </c>
      <c r="E244" s="98" t="s">
        <v>20</v>
      </c>
      <c r="F244" s="99" t="s">
        <v>21</v>
      </c>
      <c r="I244" s="159"/>
      <c r="J244" s="159"/>
    </row>
    <row r="245" spans="1:10" x14ac:dyDescent="0.2">
      <c r="A245" s="121" t="s">
        <v>148</v>
      </c>
      <c r="B245" s="101" t="s">
        <v>146</v>
      </c>
      <c r="C245" s="135">
        <f>C231</f>
        <v>500</v>
      </c>
      <c r="D245" s="102">
        <v>0.35</v>
      </c>
      <c r="E245" s="103">
        <f>C245*D245</f>
        <v>175</v>
      </c>
      <c r="I245" s="159"/>
      <c r="J245" s="159"/>
    </row>
    <row r="246" spans="1:10" x14ac:dyDescent="0.2">
      <c r="F246" s="154">
        <f>E245</f>
        <v>175</v>
      </c>
      <c r="I246" s="159"/>
      <c r="J246" s="159"/>
    </row>
    <row r="247" spans="1:10" ht="11.25" customHeight="1" x14ac:dyDescent="0.2">
      <c r="I247" s="159"/>
      <c r="J247" s="159"/>
    </row>
    <row r="248" spans="1:10" x14ac:dyDescent="0.2">
      <c r="A248" s="12" t="s">
        <v>149</v>
      </c>
      <c r="I248" s="159"/>
      <c r="J248" s="159"/>
    </row>
    <row r="249" spans="1:10" x14ac:dyDescent="0.2">
      <c r="A249" s="96" t="s">
        <v>17</v>
      </c>
      <c r="B249" s="97" t="s">
        <v>18</v>
      </c>
      <c r="C249" s="97" t="s">
        <v>11</v>
      </c>
      <c r="D249" s="98" t="s">
        <v>19</v>
      </c>
      <c r="E249" s="98" t="s">
        <v>20</v>
      </c>
      <c r="F249" s="99" t="s">
        <v>21</v>
      </c>
      <c r="I249" s="159"/>
      <c r="J249" s="159"/>
    </row>
    <row r="250" spans="1:10" x14ac:dyDescent="0.2">
      <c r="A250" s="121" t="s">
        <v>150</v>
      </c>
      <c r="B250" s="101" t="s">
        <v>68</v>
      </c>
      <c r="C250" s="181">
        <v>4</v>
      </c>
      <c r="D250" s="102">
        <v>450</v>
      </c>
      <c r="E250" s="103">
        <f>C250*D250</f>
        <v>1800</v>
      </c>
      <c r="I250" s="159"/>
      <c r="J250" s="159"/>
    </row>
    <row r="251" spans="1:10" hidden="1" x14ac:dyDescent="0.2">
      <c r="A251" s="121" t="s">
        <v>151</v>
      </c>
      <c r="B251" s="101" t="s">
        <v>68</v>
      </c>
      <c r="C251" s="181"/>
      <c r="D251" s="103"/>
      <c r="E251" s="103"/>
      <c r="I251" s="159"/>
      <c r="J251" s="159"/>
    </row>
    <row r="252" spans="1:10" hidden="1" x14ac:dyDescent="0.2">
      <c r="A252" s="121" t="s">
        <v>152</v>
      </c>
      <c r="B252" s="101" t="s">
        <v>68</v>
      </c>
      <c r="C252" s="103">
        <f>C250*C251</f>
        <v>0</v>
      </c>
      <c r="D252" s="102"/>
      <c r="E252" s="103">
        <f>C252*D252</f>
        <v>0</v>
      </c>
      <c r="I252" s="159"/>
      <c r="J252" s="159"/>
    </row>
    <row r="253" spans="1:10" x14ac:dyDescent="0.2">
      <c r="A253" s="122" t="s">
        <v>153</v>
      </c>
      <c r="B253" s="105" t="s">
        <v>154</v>
      </c>
      <c r="C253" s="182">
        <v>28000</v>
      </c>
      <c r="D253" s="107">
        <f>E250+E252</f>
        <v>1800</v>
      </c>
      <c r="E253" s="107">
        <f>IFERROR(D253/C253,"-")</f>
        <v>6.4285714285714279E-2</v>
      </c>
      <c r="I253" s="159"/>
      <c r="J253" s="159"/>
    </row>
    <row r="254" spans="1:10" x14ac:dyDescent="0.2">
      <c r="A254" s="122" t="s">
        <v>155</v>
      </c>
      <c r="B254" s="105" t="s">
        <v>133</v>
      </c>
      <c r="C254" s="135">
        <f>B227</f>
        <v>500</v>
      </c>
      <c r="D254" s="107">
        <f>E253</f>
        <v>6.4285714285714279E-2</v>
      </c>
      <c r="E254" s="107">
        <f>IFERROR(C254*D254,0)</f>
        <v>32.142857142857139</v>
      </c>
      <c r="I254" s="159"/>
      <c r="J254" s="159"/>
    </row>
    <row r="255" spans="1:10" x14ac:dyDescent="0.2">
      <c r="F255" s="154">
        <f>E254</f>
        <v>32.142857142857139</v>
      </c>
      <c r="I255" s="159"/>
      <c r="J255" s="159"/>
    </row>
    <row r="256" spans="1:10" ht="11.25" customHeight="1" x14ac:dyDescent="0.2">
      <c r="I256" s="159"/>
      <c r="J256" s="159"/>
    </row>
    <row r="257" spans="1:7" ht="11.25" customHeight="1" x14ac:dyDescent="0.2">
      <c r="G257" s="12"/>
    </row>
    <row r="258" spans="1:7" x14ac:dyDescent="0.2">
      <c r="A258" s="140" t="s">
        <v>156</v>
      </c>
      <c r="B258" s="141"/>
      <c r="C258" s="141"/>
      <c r="D258" s="57"/>
      <c r="E258" s="142"/>
      <c r="F258" s="154">
        <f>+SUM(F187:F257)</f>
        <v>1421.3301519484128</v>
      </c>
      <c r="G258" s="12"/>
    </row>
    <row r="259" spans="1:7" ht="11.25" customHeight="1" x14ac:dyDescent="0.2">
      <c r="G259" s="12"/>
    </row>
    <row r="260" spans="1:7" x14ac:dyDescent="0.2">
      <c r="A260" s="94" t="s">
        <v>157</v>
      </c>
      <c r="B260" s="94"/>
      <c r="C260" s="94"/>
      <c r="D260" s="35"/>
      <c r="E260" s="35"/>
      <c r="F260" s="111"/>
      <c r="G260" s="12"/>
    </row>
    <row r="261" spans="1:7" ht="11.25" customHeight="1" x14ac:dyDescent="0.2">
      <c r="G261" s="12"/>
    </row>
    <row r="262" spans="1:7" x14ac:dyDescent="0.2">
      <c r="A262" s="96" t="s">
        <v>17</v>
      </c>
      <c r="B262" s="97" t="s">
        <v>11</v>
      </c>
      <c r="C262" s="97" t="s">
        <v>158</v>
      </c>
      <c r="D262" s="98" t="s">
        <v>19</v>
      </c>
      <c r="E262" s="98" t="s">
        <v>20</v>
      </c>
      <c r="F262" s="99" t="s">
        <v>21</v>
      </c>
      <c r="G262" s="12"/>
    </row>
    <row r="263" spans="1:7" x14ac:dyDescent="0.2">
      <c r="A263" s="122" t="s">
        <v>159</v>
      </c>
      <c r="B263" s="114">
        <v>2</v>
      </c>
      <c r="C263" s="144">
        <v>4.1666666666666699E-2</v>
      </c>
      <c r="D263" s="102">
        <v>50</v>
      </c>
      <c r="E263" s="107">
        <f t="shared" ref="E263:E283" si="3">C263*D263*B263</f>
        <v>4.1666666666666696</v>
      </c>
      <c r="F263" s="158"/>
      <c r="G263" s="12"/>
    </row>
    <row r="264" spans="1:7" x14ac:dyDescent="0.2">
      <c r="A264" s="122" t="s">
        <v>160</v>
      </c>
      <c r="B264" s="114">
        <v>6</v>
      </c>
      <c r="C264" s="144">
        <v>2.7777777777777801E-2</v>
      </c>
      <c r="D264" s="102">
        <v>32.9</v>
      </c>
      <c r="E264" s="107">
        <f t="shared" si="3"/>
        <v>5.4833333333333378</v>
      </c>
      <c r="F264" s="158"/>
      <c r="G264" s="12"/>
    </row>
    <row r="265" spans="1:7" x14ac:dyDescent="0.2">
      <c r="A265" s="122" t="s">
        <v>161</v>
      </c>
      <c r="B265" s="114">
        <v>1</v>
      </c>
      <c r="C265" s="144">
        <v>1.6666666666666701E-2</v>
      </c>
      <c r="D265" s="102">
        <v>900</v>
      </c>
      <c r="E265" s="107">
        <f t="shared" si="3"/>
        <v>15.00000000000003</v>
      </c>
      <c r="F265" s="158"/>
      <c r="G265" s="12"/>
    </row>
    <row r="266" spans="1:7" x14ac:dyDescent="0.2">
      <c r="A266" s="122" t="s">
        <v>162</v>
      </c>
      <c r="B266" s="114">
        <v>2</v>
      </c>
      <c r="C266" s="144">
        <v>4.1666666666666699E-2</v>
      </c>
      <c r="D266" s="102">
        <v>49.3</v>
      </c>
      <c r="E266" s="107">
        <f t="shared" si="3"/>
        <v>4.1083333333333361</v>
      </c>
      <c r="F266" s="158"/>
      <c r="G266" s="12"/>
    </row>
    <row r="267" spans="1:7" x14ac:dyDescent="0.2">
      <c r="A267" s="122" t="s">
        <v>163</v>
      </c>
      <c r="B267" s="114">
        <v>3</v>
      </c>
      <c r="C267" s="144">
        <v>4.1666666666666699E-2</v>
      </c>
      <c r="D267" s="102">
        <v>45</v>
      </c>
      <c r="E267" s="107">
        <f t="shared" si="3"/>
        <v>5.6250000000000044</v>
      </c>
      <c r="F267" s="158"/>
      <c r="G267" s="12"/>
    </row>
    <row r="268" spans="1:7" x14ac:dyDescent="0.2">
      <c r="A268" s="122" t="s">
        <v>164</v>
      </c>
      <c r="B268" s="114">
        <v>3</v>
      </c>
      <c r="C268" s="144">
        <v>5.5555555555555601E-2</v>
      </c>
      <c r="D268" s="102">
        <v>56</v>
      </c>
      <c r="E268" s="107">
        <f t="shared" si="3"/>
        <v>9.333333333333341</v>
      </c>
      <c r="F268" s="158"/>
      <c r="G268" s="12"/>
    </row>
    <row r="269" spans="1:7" x14ac:dyDescent="0.2">
      <c r="A269" s="122" t="s">
        <v>165</v>
      </c>
      <c r="B269" s="114">
        <v>3</v>
      </c>
      <c r="C269" s="144">
        <v>5.5555555555555601E-2</v>
      </c>
      <c r="D269" s="102">
        <v>53.9</v>
      </c>
      <c r="E269" s="107">
        <f t="shared" si="3"/>
        <v>8.9833333333333396</v>
      </c>
      <c r="F269" s="158"/>
      <c r="G269" s="12"/>
    </row>
    <row r="270" spans="1:7" x14ac:dyDescent="0.2">
      <c r="A270" s="149" t="s">
        <v>166</v>
      </c>
      <c r="B270" s="114">
        <v>3</v>
      </c>
      <c r="C270" s="144">
        <v>4.1666666666666699E-2</v>
      </c>
      <c r="D270" s="102">
        <v>33</v>
      </c>
      <c r="E270" s="107">
        <f t="shared" si="3"/>
        <v>4.1250000000000036</v>
      </c>
      <c r="F270" s="158"/>
      <c r="G270" s="12"/>
    </row>
    <row r="271" spans="1:7" x14ac:dyDescent="0.2">
      <c r="A271" s="149" t="s">
        <v>167</v>
      </c>
      <c r="B271" s="114">
        <v>3</v>
      </c>
      <c r="C271" s="144">
        <v>4.1666666666666699E-2</v>
      </c>
      <c r="D271" s="102">
        <v>30</v>
      </c>
      <c r="E271" s="107">
        <f t="shared" si="3"/>
        <v>3.7500000000000027</v>
      </c>
      <c r="F271" s="158"/>
      <c r="G271" s="12"/>
    </row>
    <row r="272" spans="1:7" x14ac:dyDescent="0.2">
      <c r="A272" s="149" t="s">
        <v>168</v>
      </c>
      <c r="B272" s="114">
        <v>3</v>
      </c>
      <c r="C272" s="144">
        <v>2.0833333333333301E-2</v>
      </c>
      <c r="D272" s="102">
        <v>97.9</v>
      </c>
      <c r="E272" s="107">
        <f t="shared" si="3"/>
        <v>6.1187499999999906</v>
      </c>
      <c r="F272" s="158"/>
      <c r="G272" s="12"/>
    </row>
    <row r="273" spans="1:7" x14ac:dyDescent="0.2">
      <c r="A273" s="122" t="s">
        <v>169</v>
      </c>
      <c r="B273" s="114">
        <v>3</v>
      </c>
      <c r="C273" s="144">
        <v>0.25</v>
      </c>
      <c r="D273" s="102">
        <v>39.47</v>
      </c>
      <c r="E273" s="107">
        <f t="shared" si="3"/>
        <v>29.602499999999999</v>
      </c>
      <c r="F273" s="158"/>
      <c r="G273" s="12"/>
    </row>
    <row r="274" spans="1:7" x14ac:dyDescent="0.2">
      <c r="A274" s="122" t="s">
        <v>170</v>
      </c>
      <c r="B274" s="114">
        <v>2</v>
      </c>
      <c r="C274" s="144">
        <v>0.33333333333333298</v>
      </c>
      <c r="D274" s="102">
        <v>12</v>
      </c>
      <c r="E274" s="107">
        <f t="shared" si="3"/>
        <v>7.9999999999999911</v>
      </c>
      <c r="F274" s="158"/>
      <c r="G274" s="12"/>
    </row>
    <row r="275" spans="1:7" x14ac:dyDescent="0.2">
      <c r="A275" s="122" t="s">
        <v>171</v>
      </c>
      <c r="B275" s="114">
        <v>2</v>
      </c>
      <c r="C275" s="144">
        <v>4.1666666666666699E-2</v>
      </c>
      <c r="D275" s="102">
        <v>149.9</v>
      </c>
      <c r="E275" s="107">
        <f t="shared" si="3"/>
        <v>12.491666666666676</v>
      </c>
      <c r="F275" s="158"/>
      <c r="G275" s="12"/>
    </row>
    <row r="276" spans="1:7" x14ac:dyDescent="0.2">
      <c r="A276" s="122" t="s">
        <v>172</v>
      </c>
      <c r="B276" s="114">
        <v>2</v>
      </c>
      <c r="C276" s="144">
        <v>2.0833333333333301E-2</v>
      </c>
      <c r="D276" s="102">
        <v>377</v>
      </c>
      <c r="E276" s="107">
        <f t="shared" si="3"/>
        <v>15.708333333333309</v>
      </c>
      <c r="F276" s="158"/>
      <c r="G276" s="12"/>
    </row>
    <row r="277" spans="1:7" x14ac:dyDescent="0.2">
      <c r="A277" s="122" t="s">
        <v>173</v>
      </c>
      <c r="B277" s="114">
        <v>1</v>
      </c>
      <c r="C277" s="144">
        <v>2.0833333333333301E-2</v>
      </c>
      <c r="D277" s="102">
        <v>2279.9</v>
      </c>
      <c r="E277" s="107">
        <f t="shared" si="3"/>
        <v>47.497916666666598</v>
      </c>
      <c r="F277" s="158"/>
      <c r="G277" s="12"/>
    </row>
    <row r="278" spans="1:7" x14ac:dyDescent="0.2">
      <c r="A278" s="122" t="s">
        <v>174</v>
      </c>
      <c r="B278" s="114">
        <v>1</v>
      </c>
      <c r="C278" s="144">
        <v>2.7777777777777801E-2</v>
      </c>
      <c r="D278" s="102">
        <v>1538</v>
      </c>
      <c r="E278" s="107">
        <f t="shared" si="3"/>
        <v>42.722222222222257</v>
      </c>
      <c r="F278" s="158"/>
      <c r="G278" s="12"/>
    </row>
    <row r="279" spans="1:7" x14ac:dyDescent="0.2">
      <c r="A279" s="122" t="s">
        <v>175</v>
      </c>
      <c r="B279" s="114">
        <v>1</v>
      </c>
      <c r="C279" s="144">
        <v>2.0833333333333301E-2</v>
      </c>
      <c r="D279" s="102">
        <v>3964</v>
      </c>
      <c r="E279" s="107">
        <f t="shared" si="3"/>
        <v>82.583333333333201</v>
      </c>
      <c r="F279" s="158"/>
      <c r="G279" s="12"/>
    </row>
    <row r="280" spans="1:7" x14ac:dyDescent="0.2">
      <c r="A280" s="122" t="s">
        <v>176</v>
      </c>
      <c r="B280" s="114">
        <v>2</v>
      </c>
      <c r="C280" s="144">
        <v>2.7777777777777801E-2</v>
      </c>
      <c r="D280" s="102">
        <v>3338</v>
      </c>
      <c r="E280" s="107">
        <f t="shared" si="3"/>
        <v>185.4444444444446</v>
      </c>
      <c r="F280" s="158"/>
      <c r="G280" s="12"/>
    </row>
    <row r="281" spans="1:7" x14ac:dyDescent="0.2">
      <c r="A281" s="149" t="s">
        <v>177</v>
      </c>
      <c r="B281" s="114">
        <v>1</v>
      </c>
      <c r="C281" s="144">
        <v>1.6666666666666701E-2</v>
      </c>
      <c r="D281" s="108">
        <v>2229</v>
      </c>
      <c r="E281" s="107">
        <f t="shared" si="3"/>
        <v>37.150000000000077</v>
      </c>
      <c r="F281" s="158"/>
      <c r="G281" s="12"/>
    </row>
    <row r="282" spans="1:7" x14ac:dyDescent="0.2">
      <c r="A282" s="149" t="s">
        <v>178</v>
      </c>
      <c r="B282" s="114">
        <v>1</v>
      </c>
      <c r="C282" s="144">
        <v>1.6666666666666701E-2</v>
      </c>
      <c r="D282" s="108">
        <v>2897.41</v>
      </c>
      <c r="E282" s="107">
        <f t="shared" si="3"/>
        <v>48.290166666666764</v>
      </c>
      <c r="F282" s="158"/>
      <c r="G282" s="12"/>
    </row>
    <row r="283" spans="1:7" x14ac:dyDescent="0.2">
      <c r="A283" s="149" t="s">
        <v>179</v>
      </c>
      <c r="B283" s="114">
        <v>1</v>
      </c>
      <c r="C283" s="144">
        <v>1.6666666666666701E-2</v>
      </c>
      <c r="D283" s="108">
        <v>2699</v>
      </c>
      <c r="E283" s="107">
        <f t="shared" si="3"/>
        <v>44.983333333333427</v>
      </c>
      <c r="F283" s="158"/>
      <c r="G283" s="12"/>
    </row>
    <row r="284" spans="1:7" x14ac:dyDescent="0.2">
      <c r="A284" s="94"/>
      <c r="B284" s="94"/>
      <c r="C284" s="94"/>
      <c r="D284" s="94"/>
      <c r="E284" s="35"/>
      <c r="F284" s="154">
        <f>SUM(E263:E280)</f>
        <v>490.74416666666662</v>
      </c>
      <c r="G284" s="12"/>
    </row>
    <row r="285" spans="1:7" ht="11.25" customHeight="1" x14ac:dyDescent="0.2">
      <c r="G285" s="12"/>
    </row>
    <row r="286" spans="1:7" x14ac:dyDescent="0.2">
      <c r="A286" s="140" t="s">
        <v>180</v>
      </c>
      <c r="B286" s="141"/>
      <c r="C286" s="141"/>
      <c r="D286" s="57"/>
      <c r="E286" s="142"/>
      <c r="F286" s="154">
        <f>+F284</f>
        <v>490.74416666666662</v>
      </c>
      <c r="G286" s="12"/>
    </row>
    <row r="287" spans="1:7" ht="11.25" customHeight="1" x14ac:dyDescent="0.2">
      <c r="G287" s="12"/>
    </row>
    <row r="288" spans="1:7" x14ac:dyDescent="0.2">
      <c r="A288" s="94" t="s">
        <v>181</v>
      </c>
      <c r="B288" s="94"/>
      <c r="C288" s="94"/>
      <c r="D288" s="35"/>
      <c r="E288" s="35"/>
      <c r="F288" s="111"/>
    </row>
    <row r="289" spans="1:7" ht="11.25" customHeight="1" x14ac:dyDescent="0.2"/>
    <row r="290" spans="1:7" x14ac:dyDescent="0.2">
      <c r="A290" s="96" t="s">
        <v>17</v>
      </c>
      <c r="B290" s="97" t="s">
        <v>18</v>
      </c>
      <c r="C290" s="97" t="s">
        <v>11</v>
      </c>
      <c r="D290" s="98" t="s">
        <v>19</v>
      </c>
      <c r="E290" s="98" t="s">
        <v>20</v>
      </c>
      <c r="F290" s="99" t="s">
        <v>21</v>
      </c>
    </row>
    <row r="291" spans="1:7" x14ac:dyDescent="0.2">
      <c r="A291" s="122" t="s">
        <v>182</v>
      </c>
      <c r="B291" s="183" t="s">
        <v>183</v>
      </c>
      <c r="C291" s="129">
        <v>100</v>
      </c>
      <c r="D291" s="108">
        <v>6.29</v>
      </c>
      <c r="E291" s="107">
        <f>+D291*C291</f>
        <v>629</v>
      </c>
      <c r="F291" s="158"/>
    </row>
    <row r="292" spans="1:7" x14ac:dyDescent="0.2">
      <c r="A292" s="122" t="s">
        <v>184</v>
      </c>
      <c r="B292" s="183" t="s">
        <v>18</v>
      </c>
      <c r="C292" s="184">
        <v>4</v>
      </c>
      <c r="D292" s="185">
        <v>33.6</v>
      </c>
      <c r="E292" s="107">
        <f>+D292*C292</f>
        <v>134.4</v>
      </c>
      <c r="F292" s="158"/>
    </row>
    <row r="293" spans="1:7" x14ac:dyDescent="0.2">
      <c r="A293" s="122" t="s">
        <v>185</v>
      </c>
      <c r="B293" s="105" t="s">
        <v>68</v>
      </c>
      <c r="C293" s="129">
        <v>220</v>
      </c>
      <c r="D293" s="108">
        <v>1</v>
      </c>
      <c r="E293" s="107">
        <f>+D293*C293</f>
        <v>220</v>
      </c>
      <c r="F293" s="158"/>
    </row>
    <row r="294" spans="1:7" x14ac:dyDescent="0.2">
      <c r="A294" s="122" t="s">
        <v>186</v>
      </c>
      <c r="B294" s="183" t="s">
        <v>68</v>
      </c>
      <c r="C294" s="184">
        <v>5</v>
      </c>
      <c r="D294" s="185">
        <v>30</v>
      </c>
      <c r="E294" s="107">
        <f>+D294*C294</f>
        <v>150</v>
      </c>
      <c r="F294" s="158"/>
    </row>
    <row r="295" spans="1:7" x14ac:dyDescent="0.2">
      <c r="A295" s="186"/>
      <c r="B295" s="186"/>
      <c r="C295" s="186"/>
      <c r="D295" s="126" t="s">
        <v>39</v>
      </c>
      <c r="E295" s="127">
        <f>$B$46</f>
        <v>1</v>
      </c>
      <c r="F295" s="154">
        <f>(E292+E294)*E295</f>
        <v>284.39999999999998</v>
      </c>
    </row>
    <row r="296" spans="1:7" s="188" customFormat="1" ht="11.25" customHeight="1" x14ac:dyDescent="0.2">
      <c r="A296" s="12"/>
      <c r="B296" s="12"/>
      <c r="C296" s="12"/>
      <c r="D296" s="13"/>
      <c r="E296" s="13"/>
      <c r="F296" s="13"/>
      <c r="G296" s="187"/>
    </row>
    <row r="297" spans="1:7" x14ac:dyDescent="0.2">
      <c r="A297" s="140" t="s">
        <v>187</v>
      </c>
      <c r="B297" s="141"/>
      <c r="C297" s="141"/>
      <c r="D297" s="57"/>
      <c r="E297" s="142"/>
      <c r="F297" s="154">
        <f>+F295</f>
        <v>284.39999999999998</v>
      </c>
    </row>
    <row r="298" spans="1:7" ht="11.25" customHeight="1" x14ac:dyDescent="0.2"/>
    <row r="299" spans="1:7" ht="17.25" customHeight="1" x14ac:dyDescent="0.2">
      <c r="A299" s="140" t="s">
        <v>188</v>
      </c>
      <c r="B299" s="152"/>
      <c r="C299" s="152"/>
      <c r="D299" s="153"/>
      <c r="E299" s="62"/>
      <c r="F299" s="139">
        <f>+F138+F179+F258+F286+F297</f>
        <v>21795.393269413904</v>
      </c>
    </row>
    <row r="300" spans="1:7" ht="11.25" customHeight="1" x14ac:dyDescent="0.2"/>
    <row r="301" spans="1:7" x14ac:dyDescent="0.2">
      <c r="A301" s="36" t="s">
        <v>189</v>
      </c>
    </row>
    <row r="302" spans="1:7" ht="11.25" customHeight="1" x14ac:dyDescent="0.2"/>
    <row r="303" spans="1:7" x14ac:dyDescent="0.2">
      <c r="A303" s="96" t="s">
        <v>17</v>
      </c>
      <c r="B303" s="97" t="s">
        <v>18</v>
      </c>
      <c r="C303" s="97" t="s">
        <v>11</v>
      </c>
      <c r="D303" s="98" t="s">
        <v>19</v>
      </c>
      <c r="E303" s="98" t="s">
        <v>20</v>
      </c>
      <c r="F303" s="99" t="s">
        <v>21</v>
      </c>
    </row>
    <row r="304" spans="1:7" x14ac:dyDescent="0.2">
      <c r="A304" s="121" t="s">
        <v>190</v>
      </c>
      <c r="B304" s="101" t="s">
        <v>7</v>
      </c>
      <c r="C304" s="113">
        <f>'4.BDI'!C20*100</f>
        <v>23.119999999999997</v>
      </c>
      <c r="D304" s="103">
        <f>+F299</f>
        <v>21795.393269413904</v>
      </c>
      <c r="E304" s="103">
        <f>C304*D304/100</f>
        <v>5039.0949238884941</v>
      </c>
    </row>
    <row r="305" spans="1:7" x14ac:dyDescent="0.2">
      <c r="F305" s="154">
        <f>+E304</f>
        <v>5039.0949238884941</v>
      </c>
    </row>
    <row r="306" spans="1:7" ht="11.25" customHeight="1" x14ac:dyDescent="0.2"/>
    <row r="307" spans="1:7" x14ac:dyDescent="0.2">
      <c r="A307" s="140" t="s">
        <v>191</v>
      </c>
      <c r="B307" s="152"/>
      <c r="C307" s="152"/>
      <c r="D307" s="153"/>
      <c r="E307" s="62"/>
      <c r="F307" s="139">
        <f>F305</f>
        <v>5039.0949238884941</v>
      </c>
    </row>
    <row r="308" spans="1:7" x14ac:dyDescent="0.2">
      <c r="A308" s="94"/>
      <c r="B308" s="94"/>
      <c r="C308" s="94"/>
      <c r="D308" s="35"/>
      <c r="E308" s="35"/>
      <c r="F308" s="111"/>
    </row>
    <row r="309" spans="1:7" ht="11.25" customHeight="1" x14ac:dyDescent="0.2"/>
    <row r="310" spans="1:7" ht="24.75" customHeight="1" x14ac:dyDescent="0.2">
      <c r="A310" s="140" t="s">
        <v>192</v>
      </c>
      <c r="B310" s="152"/>
      <c r="C310" s="152"/>
      <c r="D310" s="153"/>
      <c r="E310" s="62"/>
      <c r="F310" s="139">
        <f>F299+F307</f>
        <v>26834.488193302397</v>
      </c>
    </row>
    <row r="311" spans="1:7" ht="12" customHeight="1" x14ac:dyDescent="0.2">
      <c r="A311" s="189"/>
      <c r="B311" s="189"/>
      <c r="C311" s="189"/>
      <c r="D311" s="190"/>
      <c r="E311" s="190"/>
      <c r="F311" s="190"/>
    </row>
    <row r="312" spans="1:7" ht="14.25" x14ac:dyDescent="0.2">
      <c r="A312" s="21"/>
      <c r="B312" s="21"/>
      <c r="C312" s="21"/>
      <c r="D312" s="20"/>
      <c r="E312" s="20"/>
    </row>
    <row r="313" spans="1:7" ht="15.75" customHeight="1" x14ac:dyDescent="0.2">
      <c r="A313" s="191" t="s">
        <v>193</v>
      </c>
      <c r="B313" s="192"/>
      <c r="C313" s="192"/>
      <c r="D313" s="74">
        <f>E40*220</f>
        <v>880</v>
      </c>
      <c r="E313" s="193" t="s">
        <v>194</v>
      </c>
      <c r="G313" s="13" t="s">
        <v>195</v>
      </c>
    </row>
    <row r="315" spans="1:7" ht="25.5" customHeight="1" x14ac:dyDescent="0.2">
      <c r="A315" s="140" t="s">
        <v>196</v>
      </c>
      <c r="B315" s="141"/>
      <c r="C315" s="141"/>
      <c r="D315" s="57"/>
      <c r="E315" s="194" t="s">
        <v>197</v>
      </c>
      <c r="F315" s="195">
        <f>IFERROR(F310/D313,"-")</f>
        <v>30.49373658329818</v>
      </c>
      <c r="G315" s="13" t="s">
        <v>195</v>
      </c>
    </row>
    <row r="316" spans="1:7" ht="12" customHeight="1" x14ac:dyDescent="0.2">
      <c r="A316" s="94"/>
      <c r="B316" s="94"/>
      <c r="C316" s="94"/>
      <c r="D316" s="35"/>
      <c r="E316" s="35"/>
      <c r="F316" s="35"/>
    </row>
    <row r="317" spans="1:7" s="18" customFormat="1" ht="9.75" customHeight="1" x14ac:dyDescent="0.2">
      <c r="A317" s="190"/>
      <c r="B317" s="13"/>
      <c r="C317" s="13"/>
      <c r="D317" s="13"/>
      <c r="E317" s="13"/>
      <c r="F317" s="13"/>
      <c r="G317" s="17"/>
    </row>
    <row r="318" spans="1:7" s="18" customFormat="1" ht="9.75" customHeight="1" x14ac:dyDescent="0.2">
      <c r="A318" s="190"/>
      <c r="B318" s="13"/>
      <c r="C318" s="13"/>
      <c r="D318" s="13"/>
      <c r="E318" s="13"/>
      <c r="F318" s="13"/>
      <c r="G318" s="17"/>
    </row>
    <row r="319" spans="1:7" s="18" customFormat="1" ht="9.75" customHeight="1" x14ac:dyDescent="0.2">
      <c r="A319" s="190"/>
      <c r="B319" s="13"/>
      <c r="C319" s="13"/>
      <c r="D319" s="13"/>
      <c r="E319" s="13"/>
      <c r="F319" s="13"/>
      <c r="G319" s="17"/>
    </row>
    <row r="349" s="12" customFormat="1" ht="9" customHeight="1" x14ac:dyDescent="0.2"/>
  </sheetData>
  <mergeCells count="8">
    <mergeCell ref="A33:E33"/>
    <mergeCell ref="A34:D34"/>
    <mergeCell ref="A42:D42"/>
    <mergeCell ref="A4:F4"/>
    <mergeCell ref="A5:F5"/>
    <mergeCell ref="A7:F7"/>
    <mergeCell ref="A17:C17"/>
    <mergeCell ref="A30:C30"/>
  </mergeCells>
  <hyperlinks>
    <hyperlink ref="A185" location="AbaDeprec" display="3.1.1. Depreciação" xr:uid="{00000000-0004-0000-0000-000000000000}"/>
    <hyperlink ref="A201" location="AbaRemun" display="3.1.2. Remuneração do Capital" xr:uid="{00000000-0004-0000-0000-000001000000}"/>
  </hyperlinks>
  <pageMargins left="0.905555555555556" right="0.51180555555555596" top="0.74791666666666701" bottom="0.74791666666666701" header="0.511811023622047" footer="0.31527777777777799"/>
  <pageSetup paperSize="9" scale="76" fitToHeight="0" orientation="portrait" horizontalDpi="300" verticalDpi="300" r:id="rId1"/>
  <headerFooter>
    <oddFooter>&amp;R&amp;P de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68"/>
  <sheetViews>
    <sheetView view="pageBreakPreview" zoomScaleNormal="100" workbookViewId="0">
      <selection activeCell="A7" sqref="A7:C37"/>
    </sheetView>
  </sheetViews>
  <sheetFormatPr defaultColWidth="9.140625" defaultRowHeight="12.75" x14ac:dyDescent="0.2"/>
  <cols>
    <col min="1" max="1" width="13.5703125" style="148" customWidth="1"/>
    <col min="2" max="2" width="39.5703125" style="148" customWidth="1"/>
    <col min="3" max="3" width="14.5703125" style="148" customWidth="1"/>
    <col min="4" max="4" width="37.28515625" style="196" customWidth="1"/>
    <col min="5" max="10" width="9.140625" style="148"/>
    <col min="11" max="11" width="11" style="148" customWidth="1"/>
    <col min="12" max="16384" width="9.140625" style="148"/>
  </cols>
  <sheetData>
    <row r="1" spans="1:12" x14ac:dyDescent="0.2">
      <c r="A1" s="36" t="s">
        <v>0</v>
      </c>
    </row>
    <row r="2" spans="1:12" x14ac:dyDescent="0.2">
      <c r="A2" s="197" t="s">
        <v>198</v>
      </c>
    </row>
    <row r="3" spans="1:12" s="18" customFormat="1" ht="15" customHeight="1" x14ac:dyDescent="0.2">
      <c r="B3" s="16"/>
      <c r="C3" s="16"/>
      <c r="D3" s="16"/>
      <c r="E3" s="16"/>
      <c r="F3" s="16"/>
      <c r="G3" s="17"/>
    </row>
    <row r="4" spans="1:12" s="18" customFormat="1" ht="15" customHeight="1" x14ac:dyDescent="0.2">
      <c r="A4" s="198" t="s">
        <v>199</v>
      </c>
      <c r="B4" s="16"/>
      <c r="C4" s="16"/>
      <c r="D4" s="16"/>
      <c r="E4" s="16"/>
      <c r="F4" s="16"/>
      <c r="G4" s="17"/>
    </row>
    <row r="5" spans="1:12" s="18" customFormat="1" ht="16.5" customHeight="1" x14ac:dyDescent="0.2">
      <c r="A5" s="198" t="s">
        <v>200</v>
      </c>
      <c r="B5" s="199"/>
      <c r="C5" s="199"/>
      <c r="D5" s="17"/>
      <c r="E5" s="17"/>
      <c r="F5" s="17"/>
      <c r="G5" s="17"/>
    </row>
    <row r="7" spans="1:12" ht="18" x14ac:dyDescent="0.2">
      <c r="A7" s="4" t="s">
        <v>201</v>
      </c>
      <c r="B7" s="4"/>
      <c r="C7" s="4"/>
      <c r="D7" s="200"/>
      <c r="E7" s="200"/>
      <c r="F7" s="200"/>
    </row>
    <row r="8" spans="1:12" ht="14.25" x14ac:dyDescent="0.2">
      <c r="A8" s="201" t="s">
        <v>202</v>
      </c>
      <c r="B8" s="202" t="s">
        <v>203</v>
      </c>
      <c r="C8" s="203" t="s">
        <v>204</v>
      </c>
      <c r="D8" s="204"/>
    </row>
    <row r="9" spans="1:12" ht="14.25" x14ac:dyDescent="0.2">
      <c r="A9" s="201" t="s">
        <v>205</v>
      </c>
      <c r="B9" s="202" t="s">
        <v>206</v>
      </c>
      <c r="C9" s="205">
        <v>0.2</v>
      </c>
      <c r="D9" s="204"/>
      <c r="F9" s="196"/>
      <c r="G9" s="196"/>
      <c r="H9" s="196"/>
      <c r="I9" s="196"/>
      <c r="J9" s="196"/>
      <c r="K9" s="196"/>
      <c r="L9" s="196"/>
    </row>
    <row r="10" spans="1:12" ht="14.25" x14ac:dyDescent="0.2">
      <c r="A10" s="201" t="s">
        <v>207</v>
      </c>
      <c r="B10" s="202" t="s">
        <v>208</v>
      </c>
      <c r="C10" s="205">
        <v>1.4999999999999999E-2</v>
      </c>
      <c r="D10" s="204"/>
      <c r="F10" s="196"/>
      <c r="G10" s="196"/>
      <c r="H10" s="196"/>
      <c r="I10" s="196"/>
      <c r="J10" s="196"/>
      <c r="K10" s="196"/>
      <c r="L10" s="196"/>
    </row>
    <row r="11" spans="1:12" ht="14.25" x14ac:dyDescent="0.2">
      <c r="A11" s="201" t="s">
        <v>209</v>
      </c>
      <c r="B11" s="202" t="s">
        <v>210</v>
      </c>
      <c r="C11" s="205">
        <v>0.01</v>
      </c>
      <c r="D11" s="204"/>
      <c r="F11" s="196"/>
      <c r="G11" s="196"/>
      <c r="H11" s="196"/>
      <c r="I11" s="196"/>
      <c r="J11" s="196"/>
      <c r="K11" s="196"/>
      <c r="L11" s="196"/>
    </row>
    <row r="12" spans="1:12" ht="14.25" x14ac:dyDescent="0.2">
      <c r="A12" s="201" t="s">
        <v>211</v>
      </c>
      <c r="B12" s="202" t="s">
        <v>212</v>
      </c>
      <c r="C12" s="205">
        <v>2E-3</v>
      </c>
      <c r="D12" s="204"/>
      <c r="F12" s="196"/>
      <c r="G12" s="196"/>
      <c r="H12" s="196"/>
      <c r="I12" s="196"/>
      <c r="J12" s="196"/>
      <c r="K12" s="196"/>
      <c r="L12" s="196"/>
    </row>
    <row r="13" spans="1:12" ht="14.25" x14ac:dyDescent="0.2">
      <c r="A13" s="201" t="s">
        <v>213</v>
      </c>
      <c r="B13" s="202" t="s">
        <v>214</v>
      </c>
      <c r="C13" s="205">
        <v>6.0000000000000001E-3</v>
      </c>
      <c r="D13" s="204"/>
      <c r="F13" s="196"/>
      <c r="G13" s="196"/>
      <c r="H13" s="196"/>
      <c r="I13" s="196"/>
      <c r="J13" s="196"/>
      <c r="K13" s="196"/>
      <c r="L13" s="196"/>
    </row>
    <row r="14" spans="1:12" ht="14.25" x14ac:dyDescent="0.2">
      <c r="A14" s="201" t="s">
        <v>215</v>
      </c>
      <c r="B14" s="202" t="s">
        <v>216</v>
      </c>
      <c r="C14" s="205">
        <v>2.5000000000000001E-2</v>
      </c>
      <c r="D14" s="204"/>
      <c r="F14" s="196"/>
      <c r="G14" s="196"/>
      <c r="H14" s="196"/>
      <c r="I14" s="196"/>
      <c r="J14" s="196"/>
      <c r="K14" s="196"/>
      <c r="L14" s="196"/>
    </row>
    <row r="15" spans="1:12" ht="14.25" x14ac:dyDescent="0.2">
      <c r="A15" s="201" t="s">
        <v>217</v>
      </c>
      <c r="B15" s="202" t="s">
        <v>218</v>
      </c>
      <c r="C15" s="205">
        <v>0.03</v>
      </c>
      <c r="D15" s="204"/>
      <c r="F15" s="196"/>
      <c r="G15" s="196"/>
      <c r="H15" s="196"/>
      <c r="I15" s="196"/>
      <c r="J15" s="196"/>
      <c r="K15" s="196"/>
      <c r="L15" s="196"/>
    </row>
    <row r="16" spans="1:12" ht="14.25" x14ac:dyDescent="0.2">
      <c r="A16" s="201" t="s">
        <v>219</v>
      </c>
      <c r="B16" s="202" t="s">
        <v>220</v>
      </c>
      <c r="C16" s="205">
        <v>0.08</v>
      </c>
      <c r="D16" s="206"/>
      <c r="F16" s="196"/>
      <c r="G16" s="196"/>
      <c r="H16" s="196"/>
      <c r="I16" s="196"/>
      <c r="J16" s="196"/>
      <c r="K16" s="196"/>
      <c r="L16" s="196"/>
    </row>
    <row r="17" spans="1:12" ht="15" x14ac:dyDescent="0.2">
      <c r="A17" s="201" t="s">
        <v>221</v>
      </c>
      <c r="B17" s="207" t="s">
        <v>222</v>
      </c>
      <c r="C17" s="208">
        <f>SUM(C9:C16)</f>
        <v>0.36800000000000005</v>
      </c>
      <c r="D17" s="206"/>
      <c r="F17" s="196"/>
      <c r="G17" s="196"/>
      <c r="H17" s="196"/>
      <c r="I17" s="196"/>
      <c r="J17" s="196"/>
      <c r="K17" s="196"/>
      <c r="L17" s="196"/>
    </row>
    <row r="18" spans="1:12" ht="15" x14ac:dyDescent="0.2">
      <c r="A18" s="209"/>
      <c r="B18" s="210"/>
      <c r="C18" s="211"/>
      <c r="D18" s="206"/>
      <c r="F18" s="196"/>
      <c r="G18" s="196"/>
      <c r="H18" s="196"/>
      <c r="I18" s="196"/>
      <c r="J18" s="196"/>
      <c r="K18" s="196"/>
      <c r="L18" s="196"/>
    </row>
    <row r="19" spans="1:12" ht="14.25" x14ac:dyDescent="0.2">
      <c r="A19" s="201" t="s">
        <v>223</v>
      </c>
      <c r="B19" s="212" t="s">
        <v>224</v>
      </c>
      <c r="C19" s="205">
        <f>ROUND(IF('3.CAGED'!C28&gt;24,(1-12/'3.CAGED'!C28)*0.1111,0.1111-C28),4)</f>
        <v>6.1899999999999997E-2</v>
      </c>
      <c r="D19" s="206"/>
      <c r="F19" s="196"/>
      <c r="G19" s="196"/>
      <c r="H19" s="196"/>
      <c r="I19" s="196"/>
      <c r="J19" s="196"/>
      <c r="K19" s="196"/>
      <c r="L19" s="196"/>
    </row>
    <row r="20" spans="1:12" ht="14.25" x14ac:dyDescent="0.2">
      <c r="A20" s="201" t="s">
        <v>225</v>
      </c>
      <c r="B20" s="212" t="s">
        <v>226</v>
      </c>
      <c r="C20" s="205">
        <f>ROUND('3.CAGED'!C32/'3.CAGED'!C29,4)</f>
        <v>8.3299999999999999E-2</v>
      </c>
      <c r="D20" s="206">
        <v>68.84</v>
      </c>
      <c r="F20" s="196"/>
      <c r="G20" s="196"/>
      <c r="H20" s="196"/>
      <c r="I20" s="196"/>
      <c r="J20" s="196"/>
      <c r="K20" s="196"/>
      <c r="L20" s="196"/>
    </row>
    <row r="21" spans="1:12" ht="14.25" x14ac:dyDescent="0.2">
      <c r="A21" s="201" t="s">
        <v>227</v>
      </c>
      <c r="B21" s="212" t="s">
        <v>228</v>
      </c>
      <c r="C21" s="205">
        <v>2.9999999999999997E-4</v>
      </c>
      <c r="D21" s="206"/>
      <c r="F21" s="196"/>
      <c r="G21" s="196"/>
      <c r="H21" s="196"/>
      <c r="I21" s="196"/>
      <c r="J21" s="196"/>
      <c r="K21" s="196"/>
      <c r="L21" s="196"/>
    </row>
    <row r="22" spans="1:12" ht="14.25" x14ac:dyDescent="0.2">
      <c r="A22" s="201" t="s">
        <v>229</v>
      </c>
      <c r="B22" s="212" t="s">
        <v>230</v>
      </c>
      <c r="C22" s="205">
        <v>4.1999999999999997E-3</v>
      </c>
      <c r="D22" s="206"/>
      <c r="F22" s="196"/>
      <c r="G22" s="196"/>
      <c r="H22" s="196"/>
      <c r="I22" s="196"/>
      <c r="J22" s="196"/>
      <c r="K22" s="196"/>
      <c r="L22" s="196"/>
    </row>
    <row r="23" spans="1:12" ht="14.25" x14ac:dyDescent="0.2">
      <c r="A23" s="201" t="s">
        <v>231</v>
      </c>
      <c r="B23" s="212" t="s">
        <v>232</v>
      </c>
      <c r="C23" s="205">
        <v>3.0999999999999999E-3</v>
      </c>
      <c r="D23" s="206"/>
      <c r="F23" s="196"/>
      <c r="G23" s="196"/>
      <c r="H23" s="196"/>
      <c r="I23" s="196"/>
      <c r="J23" s="196"/>
      <c r="K23" s="196"/>
      <c r="L23" s="196"/>
    </row>
    <row r="24" spans="1:12" ht="14.25" x14ac:dyDescent="0.2">
      <c r="A24" s="201" t="s">
        <v>233</v>
      </c>
      <c r="B24" s="212" t="s">
        <v>234</v>
      </c>
      <c r="C24" s="205">
        <v>7.6E-3</v>
      </c>
      <c r="D24" s="206"/>
      <c r="F24" s="196"/>
      <c r="G24" s="196"/>
      <c r="H24" s="196"/>
      <c r="I24" s="196"/>
      <c r="J24" s="196"/>
      <c r="K24" s="196"/>
      <c r="L24" s="196"/>
    </row>
    <row r="25" spans="1:12" ht="15" x14ac:dyDescent="0.2">
      <c r="A25" s="201" t="s">
        <v>235</v>
      </c>
      <c r="B25" s="207" t="s">
        <v>236</v>
      </c>
      <c r="C25" s="208">
        <f>SUM(C19:C24)</f>
        <v>0.16039999999999999</v>
      </c>
      <c r="D25" s="213"/>
      <c r="F25" s="196"/>
      <c r="G25" s="196"/>
      <c r="H25" s="196"/>
      <c r="I25" s="196"/>
      <c r="J25" s="196"/>
      <c r="K25" s="196"/>
      <c r="L25" s="196"/>
    </row>
    <row r="26" spans="1:12" ht="15" x14ac:dyDescent="0.2">
      <c r="A26" s="209"/>
      <c r="B26" s="210"/>
      <c r="C26" s="211"/>
      <c r="D26" s="213"/>
      <c r="F26" s="196"/>
      <c r="G26" s="196"/>
      <c r="H26" s="196"/>
      <c r="I26" s="196"/>
      <c r="J26" s="196"/>
      <c r="K26" s="196"/>
      <c r="L26" s="196"/>
    </row>
    <row r="27" spans="1:12" ht="14.25" x14ac:dyDescent="0.2">
      <c r="A27" s="201" t="s">
        <v>237</v>
      </c>
      <c r="B27" s="202" t="s">
        <v>238</v>
      </c>
      <c r="C27" s="205">
        <f>ROUND(('3.CAGED'!C33) *'3.CAGED'!C26/'3.CAGED'!C29,4)</f>
        <v>2.5600000000000001E-2</v>
      </c>
      <c r="D27" s="206"/>
      <c r="E27" s="214"/>
      <c r="F27" s="196"/>
      <c r="G27" s="196"/>
      <c r="H27" s="196"/>
      <c r="I27" s="196"/>
      <c r="J27" s="196"/>
      <c r="K27" s="196"/>
      <c r="L27" s="196"/>
    </row>
    <row r="28" spans="1:12" ht="14.25" x14ac:dyDescent="0.2">
      <c r="A28" s="201" t="s">
        <v>239</v>
      </c>
      <c r="B28" s="202" t="s">
        <v>240</v>
      </c>
      <c r="C28" s="205">
        <f>ROUND(IF('3.CAGED'!C28&gt;12,12/'3.CAGED'!C28*0.1111,0.1111),4)</f>
        <v>4.9200000000000001E-2</v>
      </c>
      <c r="D28" s="206"/>
      <c r="F28" s="196"/>
      <c r="G28" s="196"/>
      <c r="H28" s="215"/>
      <c r="I28" s="196"/>
      <c r="J28" s="196"/>
      <c r="K28" s="196"/>
      <c r="L28" s="196"/>
    </row>
    <row r="29" spans="1:12" ht="14.25" x14ac:dyDescent="0.2">
      <c r="A29" s="201" t="s">
        <v>241</v>
      </c>
      <c r="B29" s="202" t="s">
        <v>242</v>
      </c>
      <c r="C29" s="205">
        <f>C27*C28</f>
        <v>1.2595200000000001E-3</v>
      </c>
      <c r="D29" s="206"/>
      <c r="E29" s="214"/>
      <c r="F29" s="196"/>
      <c r="G29" s="196"/>
      <c r="H29" s="196"/>
      <c r="I29" s="196"/>
      <c r="J29" s="196"/>
      <c r="K29" s="196"/>
      <c r="L29" s="196"/>
    </row>
    <row r="30" spans="1:12" ht="14.25" x14ac:dyDescent="0.2">
      <c r="A30" s="201" t="s">
        <v>243</v>
      </c>
      <c r="B30" s="202" t="s">
        <v>244</v>
      </c>
      <c r="C30" s="205">
        <f>ROUND(('3.CAGED'!C29+'3.CAGED'!C30+'3.CAGED'!C32)/'3.CAGED'!C27*'3.CAGED'!C34*'3.CAGED'!C35*'3.CAGED'!C26/'3.CAGED'!C29,4)</f>
        <v>2.0500000000000001E-2</v>
      </c>
      <c r="D30" s="206"/>
      <c r="F30" s="196"/>
      <c r="G30" s="216"/>
      <c r="H30" s="196"/>
      <c r="I30" s="196"/>
      <c r="J30" s="196"/>
      <c r="K30" s="196"/>
      <c r="L30" s="196"/>
    </row>
    <row r="31" spans="1:12" ht="14.25" x14ac:dyDescent="0.2">
      <c r="A31" s="201" t="s">
        <v>245</v>
      </c>
      <c r="B31" s="202" t="s">
        <v>246</v>
      </c>
      <c r="C31" s="205">
        <f>ROUND(('3.CAGED'!C31/'3.CAGED'!C29)*'3.CAGED'!C26/12,4)</f>
        <v>1.8E-3</v>
      </c>
      <c r="D31" s="206"/>
      <c r="F31" s="196"/>
      <c r="G31" s="196"/>
      <c r="H31" s="196"/>
      <c r="I31" s="196"/>
      <c r="J31" s="196"/>
      <c r="K31" s="196"/>
      <c r="L31" s="196"/>
    </row>
    <row r="32" spans="1:12" ht="15" x14ac:dyDescent="0.2">
      <c r="A32" s="201" t="s">
        <v>247</v>
      </c>
      <c r="B32" s="207" t="s">
        <v>248</v>
      </c>
      <c r="C32" s="208">
        <f>SUM(C27:C31)</f>
        <v>9.8359520000000006E-2</v>
      </c>
      <c r="D32" s="213"/>
      <c r="F32" s="196"/>
      <c r="G32" s="196"/>
      <c r="H32" s="196"/>
      <c r="I32" s="196"/>
      <c r="J32" s="196"/>
      <c r="K32" s="196"/>
      <c r="L32" s="196"/>
    </row>
    <row r="33" spans="1:12" ht="15" x14ac:dyDescent="0.2">
      <c r="A33" s="209"/>
      <c r="B33" s="210"/>
      <c r="C33" s="211"/>
      <c r="D33" s="213"/>
      <c r="F33" s="196"/>
      <c r="G33" s="196"/>
      <c r="H33" s="196"/>
      <c r="I33" s="196"/>
      <c r="J33" s="196"/>
      <c r="K33" s="196"/>
      <c r="L33" s="196"/>
    </row>
    <row r="34" spans="1:12" ht="14.25" x14ac:dyDescent="0.2">
      <c r="A34" s="201" t="s">
        <v>249</v>
      </c>
      <c r="B34" s="202" t="s">
        <v>250</v>
      </c>
      <c r="C34" s="205">
        <f>ROUND(C17*C25,4)</f>
        <v>5.8999999999999997E-2</v>
      </c>
      <c r="D34" s="206"/>
      <c r="F34" s="196"/>
      <c r="G34" s="196"/>
      <c r="H34" s="196"/>
      <c r="I34" s="196"/>
      <c r="J34" s="196"/>
      <c r="K34" s="196"/>
      <c r="L34" s="196"/>
    </row>
    <row r="35" spans="1:12" ht="28.5" x14ac:dyDescent="0.2">
      <c r="A35" s="201" t="s">
        <v>251</v>
      </c>
      <c r="B35" s="217" t="s">
        <v>252</v>
      </c>
      <c r="C35" s="205">
        <f>ROUND((C27*C16),4)</f>
        <v>2E-3</v>
      </c>
      <c r="D35" s="206"/>
      <c r="F35" s="196"/>
      <c r="G35" s="196"/>
      <c r="H35" s="196"/>
      <c r="I35" s="196"/>
      <c r="J35" s="196"/>
      <c r="K35" s="196"/>
      <c r="L35" s="196"/>
    </row>
    <row r="36" spans="1:12" ht="15" x14ac:dyDescent="0.2">
      <c r="A36" s="201" t="s">
        <v>253</v>
      </c>
      <c r="B36" s="207" t="s">
        <v>254</v>
      </c>
      <c r="C36" s="208">
        <f>SUM(C34:C35)</f>
        <v>6.0999999999999999E-2</v>
      </c>
      <c r="D36" s="218"/>
      <c r="F36" s="196"/>
      <c r="G36" s="196"/>
      <c r="H36" s="196"/>
      <c r="I36" s="196"/>
      <c r="J36" s="196"/>
      <c r="K36" s="196"/>
      <c r="L36" s="196"/>
    </row>
    <row r="37" spans="1:12" ht="15" x14ac:dyDescent="0.2">
      <c r="A37" s="219"/>
      <c r="B37" s="220" t="s">
        <v>255</v>
      </c>
      <c r="C37" s="221">
        <f>C36+C32+C25+C17</f>
        <v>0.68775951999999996</v>
      </c>
      <c r="D37" s="218"/>
      <c r="F37" s="196"/>
      <c r="G37" s="196"/>
      <c r="H37" s="196"/>
      <c r="I37" s="196"/>
      <c r="J37" s="196"/>
      <c r="K37" s="196"/>
      <c r="L37" s="196"/>
    </row>
    <row r="38" spans="1:12" ht="15" x14ac:dyDescent="0.2">
      <c r="A38" s="206"/>
      <c r="B38" s="222"/>
      <c r="C38" s="223"/>
      <c r="D38" s="224"/>
      <c r="F38" s="196"/>
      <c r="G38" s="196"/>
      <c r="H38" s="196"/>
      <c r="I38" s="196"/>
      <c r="J38" s="196"/>
      <c r="K38" s="196"/>
      <c r="L38" s="196"/>
    </row>
    <row r="39" spans="1:12" ht="14.25" x14ac:dyDescent="0.2">
      <c r="A39" s="206"/>
      <c r="B39" s="206"/>
      <c r="C39" s="225"/>
      <c r="D39" s="226"/>
      <c r="F39" s="196"/>
      <c r="G39" s="196"/>
      <c r="H39" s="196"/>
      <c r="I39" s="196"/>
      <c r="J39" s="196"/>
      <c r="K39" s="196"/>
      <c r="L39" s="196"/>
    </row>
    <row r="40" spans="1:12" ht="14.25" x14ac:dyDescent="0.2">
      <c r="A40" s="204"/>
      <c r="B40" s="204"/>
      <c r="C40" s="227"/>
      <c r="D40" s="204"/>
      <c r="F40" s="196"/>
      <c r="G40" s="196"/>
      <c r="H40" s="196"/>
      <c r="I40" s="196"/>
      <c r="J40" s="196"/>
      <c r="K40" s="196"/>
      <c r="L40" s="196"/>
    </row>
    <row r="41" spans="1:12" ht="14.25" x14ac:dyDescent="0.2">
      <c r="A41" s="204"/>
      <c r="B41" s="204"/>
      <c r="C41" s="227"/>
      <c r="D41" s="204"/>
      <c r="F41" s="196"/>
      <c r="G41" s="196"/>
      <c r="H41" s="196"/>
      <c r="I41" s="196"/>
      <c r="J41" s="196"/>
      <c r="K41" s="196"/>
      <c r="L41" s="196"/>
    </row>
    <row r="42" spans="1:12" ht="14.25" x14ac:dyDescent="0.2">
      <c r="A42" s="204"/>
      <c r="B42" s="204"/>
      <c r="C42" s="227"/>
      <c r="D42" s="204"/>
      <c r="F42" s="196"/>
      <c r="G42" s="196"/>
      <c r="H42" s="196"/>
      <c r="I42" s="196"/>
      <c r="J42" s="196"/>
      <c r="K42" s="196"/>
      <c r="L42" s="196"/>
    </row>
    <row r="43" spans="1:12" ht="15" x14ac:dyDescent="0.2">
      <c r="A43" s="204"/>
      <c r="B43" s="228"/>
      <c r="C43" s="229"/>
      <c r="D43" s="204"/>
      <c r="F43" s="196"/>
      <c r="G43" s="196"/>
      <c r="H43" s="196"/>
      <c r="I43" s="196"/>
      <c r="J43" s="196"/>
      <c r="K43" s="196"/>
      <c r="L43" s="196"/>
    </row>
    <row r="44" spans="1:12" ht="15" x14ac:dyDescent="0.2">
      <c r="A44" s="218"/>
      <c r="B44" s="228"/>
      <c r="C44" s="229"/>
      <c r="D44" s="218"/>
      <c r="E44" s="196"/>
      <c r="F44" s="196"/>
      <c r="G44" s="196"/>
      <c r="H44" s="196"/>
      <c r="I44" s="196"/>
      <c r="J44" s="196"/>
      <c r="K44" s="196"/>
      <c r="L44" s="196"/>
    </row>
    <row r="45" spans="1:12" ht="16.5" x14ac:dyDescent="0.2">
      <c r="A45" s="230"/>
      <c r="B45" s="196"/>
      <c r="C45" s="196"/>
      <c r="E45" s="196"/>
      <c r="F45" s="196"/>
      <c r="G45" s="196"/>
      <c r="H45" s="196"/>
      <c r="I45" s="196"/>
      <c r="J45" s="196"/>
      <c r="K45" s="196"/>
      <c r="L45" s="196"/>
    </row>
    <row r="46" spans="1:12" x14ac:dyDescent="0.2">
      <c r="A46" s="231"/>
      <c r="B46" s="232"/>
      <c r="C46" s="232"/>
      <c r="E46" s="196"/>
      <c r="F46" s="196"/>
      <c r="G46" s="196"/>
      <c r="H46" s="196"/>
      <c r="I46" s="196"/>
      <c r="J46" s="196"/>
      <c r="K46" s="196"/>
      <c r="L46" s="196"/>
    </row>
    <row r="47" spans="1:12" ht="14.25" x14ac:dyDescent="0.2">
      <c r="A47" s="204"/>
      <c r="B47" s="233"/>
      <c r="C47" s="232"/>
      <c r="E47" s="196"/>
      <c r="F47" s="196"/>
      <c r="G47" s="196"/>
      <c r="H47" s="196"/>
      <c r="I47" s="196"/>
      <c r="J47" s="196"/>
      <c r="K47" s="196"/>
      <c r="L47" s="196"/>
    </row>
    <row r="48" spans="1:12" ht="14.25" x14ac:dyDescent="0.2">
      <c r="A48" s="204"/>
      <c r="B48" s="233"/>
      <c r="C48" s="204"/>
      <c r="E48" s="196"/>
      <c r="F48" s="196"/>
      <c r="G48" s="196"/>
      <c r="H48" s="196"/>
      <c r="I48" s="196"/>
      <c r="J48" s="196"/>
      <c r="K48" s="196"/>
      <c r="L48" s="196"/>
    </row>
    <row r="49" spans="1:12" ht="14.25" x14ac:dyDescent="0.2">
      <c r="A49" s="204"/>
      <c r="B49" s="227"/>
      <c r="C49" s="232"/>
      <c r="E49" s="196"/>
      <c r="F49" s="196"/>
      <c r="G49" s="196"/>
      <c r="H49" s="196"/>
      <c r="I49" s="196"/>
      <c r="J49" s="196"/>
      <c r="K49" s="196"/>
      <c r="L49" s="196"/>
    </row>
    <row r="50" spans="1:12" ht="14.25" x14ac:dyDescent="0.2">
      <c r="A50" s="204"/>
      <c r="B50" s="233"/>
      <c r="C50" s="204"/>
      <c r="E50" s="196"/>
      <c r="F50" s="196"/>
      <c r="G50" s="196"/>
      <c r="H50" s="196"/>
      <c r="I50" s="196"/>
      <c r="J50" s="196"/>
      <c r="K50" s="196"/>
      <c r="L50" s="196"/>
    </row>
    <row r="51" spans="1:12" ht="14.25" x14ac:dyDescent="0.2">
      <c r="A51" s="204"/>
      <c r="B51" s="227"/>
      <c r="C51" s="232"/>
      <c r="E51" s="196"/>
      <c r="F51" s="196"/>
      <c r="G51" s="196"/>
      <c r="H51" s="196"/>
      <c r="I51" s="196"/>
      <c r="J51" s="196"/>
      <c r="K51" s="196"/>
      <c r="L51" s="196"/>
    </row>
    <row r="52" spans="1:12" ht="14.25" x14ac:dyDescent="0.2">
      <c r="A52" s="204"/>
      <c r="B52" s="233"/>
      <c r="C52" s="204"/>
      <c r="E52" s="196"/>
      <c r="F52" s="196"/>
      <c r="G52" s="196"/>
      <c r="H52" s="196"/>
      <c r="I52" s="196"/>
      <c r="J52" s="196"/>
      <c r="K52" s="196"/>
      <c r="L52" s="196"/>
    </row>
    <row r="53" spans="1:12" ht="14.25" x14ac:dyDescent="0.2">
      <c r="A53" s="204"/>
      <c r="B53" s="227"/>
      <c r="C53" s="232"/>
      <c r="E53" s="196"/>
      <c r="F53" s="196"/>
      <c r="G53" s="196"/>
      <c r="H53" s="196"/>
      <c r="I53" s="196"/>
      <c r="J53" s="196"/>
      <c r="K53" s="196"/>
      <c r="L53" s="196"/>
    </row>
    <row r="54" spans="1:12" ht="14.25" x14ac:dyDescent="0.2">
      <c r="A54" s="204"/>
      <c r="B54" s="233"/>
      <c r="C54" s="204"/>
      <c r="E54" s="196"/>
      <c r="F54" s="196"/>
      <c r="G54" s="196"/>
      <c r="H54" s="196"/>
      <c r="I54" s="196"/>
      <c r="J54" s="196"/>
      <c r="K54" s="196"/>
      <c r="L54" s="196"/>
    </row>
    <row r="55" spans="1:12" ht="14.25" x14ac:dyDescent="0.2">
      <c r="A55" s="204"/>
      <c r="B55" s="227"/>
      <c r="C55" s="232"/>
      <c r="E55" s="196"/>
      <c r="F55" s="196"/>
      <c r="G55" s="196"/>
      <c r="H55" s="196"/>
      <c r="I55" s="196"/>
      <c r="J55" s="196"/>
      <c r="K55" s="196"/>
      <c r="L55" s="196"/>
    </row>
    <row r="56" spans="1:12" ht="16.5" x14ac:dyDescent="0.2">
      <c r="A56" s="230"/>
      <c r="B56" s="196"/>
      <c r="C56" s="196"/>
      <c r="E56" s="196"/>
      <c r="F56" s="196"/>
      <c r="G56" s="196"/>
      <c r="H56" s="196"/>
      <c r="I56" s="196"/>
      <c r="J56" s="196"/>
      <c r="K56" s="196"/>
      <c r="L56" s="196"/>
    </row>
    <row r="57" spans="1:12" x14ac:dyDescent="0.2">
      <c r="A57" s="196"/>
      <c r="B57" s="196"/>
      <c r="C57" s="196"/>
      <c r="E57" s="196"/>
      <c r="F57" s="196"/>
      <c r="G57" s="196"/>
      <c r="H57" s="196"/>
      <c r="I57" s="196"/>
      <c r="J57" s="196"/>
      <c r="K57" s="196"/>
      <c r="L57" s="196"/>
    </row>
    <row r="58" spans="1:12" x14ac:dyDescent="0.2">
      <c r="A58" s="196"/>
      <c r="B58" s="196"/>
      <c r="C58" s="196"/>
      <c r="E58" s="196"/>
      <c r="F58" s="196"/>
      <c r="G58" s="196"/>
      <c r="H58" s="196"/>
      <c r="I58" s="196"/>
      <c r="J58" s="196"/>
      <c r="K58" s="196"/>
      <c r="L58" s="196"/>
    </row>
    <row r="59" spans="1:12" x14ac:dyDescent="0.2">
      <c r="A59" s="155"/>
      <c r="B59" s="196"/>
      <c r="C59" s="196"/>
      <c r="E59" s="196"/>
      <c r="F59" s="196"/>
      <c r="G59" s="196"/>
      <c r="H59" s="196"/>
      <c r="I59" s="196"/>
      <c r="J59" s="196"/>
      <c r="K59" s="196"/>
      <c r="L59" s="196"/>
    </row>
    <row r="60" spans="1:12" x14ac:dyDescent="0.2">
      <c r="A60" s="196"/>
      <c r="B60" s="196"/>
      <c r="C60" s="196"/>
      <c r="E60" s="196"/>
    </row>
    <row r="61" spans="1:12" x14ac:dyDescent="0.2">
      <c r="A61" s="196"/>
      <c r="B61" s="196"/>
      <c r="C61" s="196"/>
      <c r="E61" s="196"/>
    </row>
    <row r="62" spans="1:12" x14ac:dyDescent="0.2">
      <c r="A62" s="196"/>
      <c r="B62" s="196"/>
      <c r="C62" s="196"/>
      <c r="E62" s="196"/>
    </row>
    <row r="63" spans="1:12" x14ac:dyDescent="0.2">
      <c r="A63" s="196"/>
      <c r="B63" s="196"/>
      <c r="C63" s="196"/>
      <c r="E63" s="196"/>
    </row>
    <row r="64" spans="1:12" x14ac:dyDescent="0.2">
      <c r="A64" s="196"/>
      <c r="B64" s="196"/>
      <c r="C64" s="196"/>
      <c r="E64" s="196"/>
    </row>
    <row r="65" spans="1:5" x14ac:dyDescent="0.2">
      <c r="A65" s="196"/>
      <c r="B65" s="196"/>
      <c r="C65" s="196"/>
      <c r="E65" s="196"/>
    </row>
    <row r="66" spans="1:5" x14ac:dyDescent="0.2">
      <c r="A66" s="196"/>
      <c r="B66" s="196"/>
      <c r="C66" s="196"/>
      <c r="E66" s="196"/>
    </row>
    <row r="67" spans="1:5" x14ac:dyDescent="0.2">
      <c r="A67" s="196"/>
      <c r="B67" s="196"/>
      <c r="C67" s="196"/>
      <c r="E67" s="196"/>
    </row>
    <row r="68" spans="1:5" x14ac:dyDescent="0.2">
      <c r="A68" s="196"/>
      <c r="B68" s="196"/>
      <c r="C68" s="196"/>
      <c r="E68" s="196"/>
    </row>
  </sheetData>
  <mergeCells count="1">
    <mergeCell ref="A7:C7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35"/>
  <sheetViews>
    <sheetView view="pageBreakPreview" topLeftCell="A8" zoomScaleNormal="100" workbookViewId="0">
      <selection activeCell="E19" sqref="E19"/>
    </sheetView>
  </sheetViews>
  <sheetFormatPr defaultColWidth="9.140625" defaultRowHeight="12.75" x14ac:dyDescent="0.2"/>
  <cols>
    <col min="1" max="1" width="8.5703125" style="148" customWidth="1"/>
    <col min="2" max="2" width="67.140625" style="148" customWidth="1"/>
    <col min="3" max="3" width="13.7109375" style="148" customWidth="1"/>
    <col min="4" max="4" width="10.28515625" style="148" customWidth="1"/>
    <col min="5" max="5" width="13.7109375" style="148" customWidth="1"/>
    <col min="6" max="16384" width="9.140625" style="148"/>
  </cols>
  <sheetData>
    <row r="1" spans="1:3" x14ac:dyDescent="0.2">
      <c r="A1" s="234" t="s">
        <v>256</v>
      </c>
    </row>
    <row r="3" spans="1:3" x14ac:dyDescent="0.2">
      <c r="A3" s="235" t="s">
        <v>257</v>
      </c>
    </row>
    <row r="5" spans="1:3" x14ac:dyDescent="0.2">
      <c r="A5" s="235" t="s">
        <v>258</v>
      </c>
    </row>
    <row r="7" spans="1:3" ht="18" x14ac:dyDescent="0.25">
      <c r="B7" s="3" t="s">
        <v>259</v>
      </c>
      <c r="C7" s="3"/>
    </row>
    <row r="8" spans="1:3" ht="15" x14ac:dyDescent="0.25">
      <c r="A8" s="196"/>
      <c r="B8" s="236" t="s">
        <v>260</v>
      </c>
      <c r="C8" s="237"/>
    </row>
    <row r="9" spans="1:3" ht="15" x14ac:dyDescent="0.25">
      <c r="A9" s="196"/>
      <c r="B9" s="238" t="s">
        <v>261</v>
      </c>
      <c r="C9" s="239">
        <v>2100</v>
      </c>
    </row>
    <row r="10" spans="1:3" ht="15" x14ac:dyDescent="0.25">
      <c r="A10" s="196"/>
      <c r="B10" s="240" t="s">
        <v>262</v>
      </c>
      <c r="C10" s="239">
        <v>2031</v>
      </c>
    </row>
    <row r="11" spans="1:3" ht="14.25" x14ac:dyDescent="0.2">
      <c r="A11" s="196"/>
      <c r="B11" s="241" t="s">
        <v>263</v>
      </c>
      <c r="C11" s="242">
        <v>44</v>
      </c>
    </row>
    <row r="12" spans="1:3" ht="14.25" x14ac:dyDescent="0.2">
      <c r="A12" s="196"/>
      <c r="B12" s="241" t="s">
        <v>264</v>
      </c>
      <c r="C12" s="242">
        <v>1192</v>
      </c>
    </row>
    <row r="13" spans="1:3" ht="14.25" x14ac:dyDescent="0.2">
      <c r="A13" s="196"/>
      <c r="B13" s="241" t="s">
        <v>265</v>
      </c>
      <c r="C13" s="242">
        <v>372</v>
      </c>
    </row>
    <row r="14" spans="1:3" ht="14.25" x14ac:dyDescent="0.2">
      <c r="A14" s="196"/>
      <c r="B14" s="241" t="s">
        <v>266</v>
      </c>
      <c r="C14" s="242">
        <v>22</v>
      </c>
    </row>
    <row r="15" spans="1:3" ht="14.25" x14ac:dyDescent="0.2">
      <c r="A15" s="196"/>
      <c r="B15" s="241" t="s">
        <v>267</v>
      </c>
      <c r="C15" s="242">
        <v>350</v>
      </c>
    </row>
    <row r="16" spans="1:3" ht="14.25" x14ac:dyDescent="0.2">
      <c r="A16" s="196"/>
      <c r="B16" s="241" t="s">
        <v>268</v>
      </c>
      <c r="C16" s="242">
        <v>1</v>
      </c>
    </row>
    <row r="17" spans="1:3" ht="14.25" x14ac:dyDescent="0.2">
      <c r="A17" s="196"/>
      <c r="B17" s="241" t="s">
        <v>269</v>
      </c>
      <c r="C17" s="242">
        <v>30</v>
      </c>
    </row>
    <row r="18" spans="1:3" ht="14.25" x14ac:dyDescent="0.2">
      <c r="A18" s="196"/>
      <c r="B18" s="243" t="s">
        <v>270</v>
      </c>
      <c r="C18" s="244">
        <v>0</v>
      </c>
    </row>
    <row r="19" spans="1:3" ht="14.25" x14ac:dyDescent="0.2">
      <c r="A19" s="196"/>
      <c r="B19" s="245" t="s">
        <v>271</v>
      </c>
      <c r="C19" s="244">
        <v>0</v>
      </c>
    </row>
    <row r="20" spans="1:3" ht="15" x14ac:dyDescent="0.25">
      <c r="A20" s="196" t="s">
        <v>272</v>
      </c>
      <c r="B20" s="236" t="s">
        <v>273</v>
      </c>
      <c r="C20" s="237"/>
    </row>
    <row r="21" spans="1:3" ht="14.25" x14ac:dyDescent="0.2">
      <c r="A21" s="196"/>
      <c r="B21" s="246" t="s">
        <v>274</v>
      </c>
      <c r="C21" s="247">
        <v>4625</v>
      </c>
    </row>
    <row r="22" spans="1:3" ht="14.25" x14ac:dyDescent="0.2">
      <c r="A22" s="196"/>
      <c r="B22" s="241" t="s">
        <v>275</v>
      </c>
      <c r="C22" s="242">
        <v>4694</v>
      </c>
    </row>
    <row r="23" spans="1:3" ht="14.25" x14ac:dyDescent="0.2">
      <c r="B23" s="241" t="s">
        <v>276</v>
      </c>
      <c r="C23" s="248">
        <f>C9-C10</f>
        <v>69</v>
      </c>
    </row>
    <row r="24" spans="1:3" ht="14.25" x14ac:dyDescent="0.2">
      <c r="B24" s="249"/>
      <c r="C24" s="250"/>
    </row>
    <row r="25" spans="1:3" s="234" customFormat="1" ht="15" x14ac:dyDescent="0.25">
      <c r="B25" s="238" t="s">
        <v>277</v>
      </c>
      <c r="C25" s="251">
        <f>MEDIAN(C21,C22)</f>
        <v>4659.5</v>
      </c>
    </row>
    <row r="26" spans="1:3" ht="15" x14ac:dyDescent="0.25">
      <c r="B26" s="240" t="s">
        <v>278</v>
      </c>
      <c r="C26" s="252">
        <f>C12/C25</f>
        <v>0.25582144006867691</v>
      </c>
    </row>
    <row r="27" spans="1:3" ht="15" x14ac:dyDescent="0.25">
      <c r="B27" s="240" t="s">
        <v>279</v>
      </c>
      <c r="C27" s="252">
        <f>MEDIAN(C9,C10)/C25</f>
        <v>0.44328790642772831</v>
      </c>
    </row>
    <row r="28" spans="1:3" s="234" customFormat="1" ht="15" x14ac:dyDescent="0.25">
      <c r="B28" s="240" t="s">
        <v>280</v>
      </c>
      <c r="C28" s="253">
        <f>12/C27</f>
        <v>27.070442992011618</v>
      </c>
    </row>
    <row r="29" spans="1:3" ht="15" x14ac:dyDescent="0.25">
      <c r="B29" s="240" t="s">
        <v>281</v>
      </c>
      <c r="C29" s="254">
        <v>360</v>
      </c>
    </row>
    <row r="30" spans="1:3" ht="15" x14ac:dyDescent="0.25">
      <c r="B30" s="240" t="s">
        <v>282</v>
      </c>
      <c r="C30" s="254">
        <v>10</v>
      </c>
    </row>
    <row r="31" spans="1:3" ht="15" x14ac:dyDescent="0.25">
      <c r="B31" s="238" t="s">
        <v>283</v>
      </c>
      <c r="C31" s="255">
        <v>30</v>
      </c>
    </row>
    <row r="32" spans="1:3" ht="15" x14ac:dyDescent="0.25">
      <c r="B32" s="238" t="s">
        <v>284</v>
      </c>
      <c r="C32" s="255">
        <v>30</v>
      </c>
    </row>
    <row r="33" spans="2:4" s="234" customFormat="1" ht="15" x14ac:dyDescent="0.25">
      <c r="B33" s="238" t="s">
        <v>285</v>
      </c>
      <c r="C33" s="255">
        <f>30+(3*TRUNC(1/C27))</f>
        <v>36</v>
      </c>
    </row>
    <row r="34" spans="2:4" s="234" customFormat="1" ht="15" x14ac:dyDescent="0.25">
      <c r="B34" s="240" t="s">
        <v>220</v>
      </c>
      <c r="C34" s="256">
        <v>0.08</v>
      </c>
    </row>
    <row r="35" spans="2:4" s="234" customFormat="1" ht="15" x14ac:dyDescent="0.25">
      <c r="B35" s="257" t="s">
        <v>286</v>
      </c>
      <c r="C35" s="258">
        <v>0.4</v>
      </c>
      <c r="D35" s="234" t="s">
        <v>287</v>
      </c>
    </row>
  </sheetData>
  <mergeCells count="1">
    <mergeCell ref="B7:C7"/>
  </mergeCells>
  <pageMargins left="0.905555555555556" right="0.51180555555555596" top="0.74791666666666701" bottom="0.74791666666666701" header="0.511811023622047" footer="0.511811023622047"/>
  <pageSetup paperSize="9" scale="98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4"/>
  <sheetViews>
    <sheetView tabSelected="1" view="pageBreakPreview" zoomScaleNormal="100" workbookViewId="0">
      <selection activeCell="A8" sqref="A8:F20"/>
    </sheetView>
  </sheetViews>
  <sheetFormatPr defaultColWidth="8.7109375" defaultRowHeight="12.75" x14ac:dyDescent="0.2"/>
  <cols>
    <col min="1" max="1" width="41.85546875" customWidth="1"/>
    <col min="2" max="2" width="5.5703125" customWidth="1"/>
    <col min="4" max="4" width="9.7109375" customWidth="1"/>
    <col min="5" max="5" width="8" style="259" customWidth="1"/>
    <col min="6" max="6" width="9.7109375" customWidth="1"/>
  </cols>
  <sheetData>
    <row r="1" spans="1:8" s="261" customFormat="1" ht="14.25" x14ac:dyDescent="0.2">
      <c r="A1" s="36" t="s">
        <v>0</v>
      </c>
      <c r="B1" s="260"/>
      <c r="C1" s="260"/>
      <c r="E1" s="262"/>
    </row>
    <row r="2" spans="1:8" s="261" customFormat="1" ht="14.25" x14ac:dyDescent="0.2">
      <c r="A2" s="197" t="s">
        <v>288</v>
      </c>
      <c r="B2" s="260"/>
      <c r="C2" s="260"/>
      <c r="E2" s="262"/>
    </row>
    <row r="3" spans="1:8" s="261" customFormat="1" ht="14.25" x14ac:dyDescent="0.2">
      <c r="A3" s="12" t="s">
        <v>289</v>
      </c>
      <c r="B3" s="260"/>
      <c r="C3" s="260"/>
      <c r="E3" s="262"/>
    </row>
    <row r="4" spans="1:8" s="261" customFormat="1" ht="14.25" x14ac:dyDescent="0.2">
      <c r="A4" s="12"/>
      <c r="B4" s="260"/>
      <c r="C4" s="260"/>
      <c r="E4" s="262"/>
    </row>
    <row r="5" spans="1:8" s="18" customFormat="1" ht="15" customHeight="1" x14ac:dyDescent="0.2">
      <c r="A5" s="198" t="s">
        <v>199</v>
      </c>
      <c r="B5" s="16"/>
      <c r="C5" s="16"/>
      <c r="D5" s="16"/>
      <c r="E5" s="16"/>
      <c r="F5" s="16"/>
      <c r="G5" s="17"/>
    </row>
    <row r="6" spans="1:8" s="18" customFormat="1" ht="16.5" customHeight="1" x14ac:dyDescent="0.2">
      <c r="A6" s="198" t="s">
        <v>200</v>
      </c>
      <c r="B6" s="199"/>
      <c r="C6" s="199"/>
      <c r="D6" s="17"/>
      <c r="E6" s="17"/>
      <c r="F6" s="17"/>
      <c r="G6" s="17"/>
    </row>
    <row r="7" spans="1:8" s="261" customFormat="1" ht="14.25" x14ac:dyDescent="0.2">
      <c r="B7" s="260"/>
      <c r="C7" s="260"/>
      <c r="E7" s="262"/>
    </row>
    <row r="8" spans="1:8" ht="15.75" x14ac:dyDescent="0.2">
      <c r="A8" s="263" t="s">
        <v>290</v>
      </c>
      <c r="B8" s="264"/>
      <c r="C8" s="264"/>
      <c r="D8" s="264"/>
      <c r="E8" s="265"/>
      <c r="F8" s="265"/>
    </row>
    <row r="9" spans="1:8" ht="15.75" x14ac:dyDescent="0.2">
      <c r="A9" s="266"/>
      <c r="B9" s="267"/>
      <c r="C9" s="267"/>
      <c r="D9" s="267"/>
      <c r="E9" s="268"/>
      <c r="F9" s="268"/>
    </row>
    <row r="10" spans="1:8" ht="15" x14ac:dyDescent="0.25">
      <c r="A10" s="269"/>
      <c r="B10" s="270"/>
      <c r="C10" s="270"/>
      <c r="D10" s="271" t="s">
        <v>291</v>
      </c>
      <c r="E10" s="272"/>
      <c r="F10" s="273"/>
      <c r="G10" s="261"/>
      <c r="H10" s="261"/>
    </row>
    <row r="11" spans="1:8" ht="14.25" x14ac:dyDescent="0.2">
      <c r="A11" s="249"/>
      <c r="B11" s="274"/>
      <c r="C11" s="274"/>
      <c r="D11" s="275" t="s">
        <v>292</v>
      </c>
      <c r="E11" s="276" t="s">
        <v>293</v>
      </c>
      <c r="F11" s="277" t="s">
        <v>294</v>
      </c>
      <c r="G11" s="261"/>
      <c r="H11" s="261"/>
    </row>
    <row r="12" spans="1:8" ht="14.25" x14ac:dyDescent="0.2">
      <c r="A12" s="278" t="s">
        <v>295</v>
      </c>
      <c r="B12" s="279" t="s">
        <v>296</v>
      </c>
      <c r="C12" s="280">
        <v>0.05</v>
      </c>
      <c r="D12" s="281">
        <v>2.9700000000000001E-2</v>
      </c>
      <c r="E12" s="282">
        <v>5.0799999999999998E-2</v>
      </c>
      <c r="F12" s="283">
        <v>6.2700000000000006E-2</v>
      </c>
      <c r="G12" s="261"/>
      <c r="H12" s="261"/>
    </row>
    <row r="13" spans="1:8" ht="14.25" x14ac:dyDescent="0.2">
      <c r="A13" s="284" t="s">
        <v>297</v>
      </c>
      <c r="B13" s="285" t="s">
        <v>298</v>
      </c>
      <c r="C13" s="286">
        <v>0.01</v>
      </c>
      <c r="D13" s="281">
        <f>0.3%+0.56%</f>
        <v>8.6E-3</v>
      </c>
      <c r="E13" s="282">
        <f>0.48%+0.85%</f>
        <v>1.3299999999999999E-2</v>
      </c>
      <c r="F13" s="283">
        <f>0.82%+0.89%</f>
        <v>1.7099999999999997E-2</v>
      </c>
      <c r="G13" s="261"/>
      <c r="H13" s="261"/>
    </row>
    <row r="14" spans="1:8" ht="14.25" x14ac:dyDescent="0.2">
      <c r="A14" s="284" t="s">
        <v>299</v>
      </c>
      <c r="B14" s="285" t="s">
        <v>300</v>
      </c>
      <c r="C14" s="286">
        <v>0.08</v>
      </c>
      <c r="D14" s="281">
        <v>7.7799999999999994E-2</v>
      </c>
      <c r="E14" s="282">
        <v>0.1085</v>
      </c>
      <c r="F14" s="283">
        <v>0.13550000000000001</v>
      </c>
      <c r="G14" s="261"/>
      <c r="H14" s="261"/>
    </row>
    <row r="15" spans="1:8" ht="14.25" x14ac:dyDescent="0.2">
      <c r="A15" s="284" t="s">
        <v>301</v>
      </c>
      <c r="B15" s="285" t="s">
        <v>302</v>
      </c>
      <c r="C15" s="287">
        <f>(1+E15)^(E16/252)-1</f>
        <v>3.9699760272375872E-3</v>
      </c>
      <c r="D15" s="288" t="s">
        <v>303</v>
      </c>
      <c r="E15" s="289">
        <v>0.105</v>
      </c>
      <c r="F15" s="290"/>
      <c r="G15" s="261"/>
      <c r="H15" s="261"/>
    </row>
    <row r="16" spans="1:8" ht="14.25" x14ac:dyDescent="0.2">
      <c r="A16" s="284" t="s">
        <v>304</v>
      </c>
      <c r="B16" s="2" t="s">
        <v>305</v>
      </c>
      <c r="C16" s="286">
        <v>0.03</v>
      </c>
      <c r="D16" s="291" t="s">
        <v>306</v>
      </c>
      <c r="E16" s="292">
        <v>10</v>
      </c>
      <c r="F16" s="237"/>
      <c r="G16" s="261"/>
      <c r="H16" s="261"/>
    </row>
    <row r="17" spans="1:8" ht="14.25" x14ac:dyDescent="0.2">
      <c r="A17" s="293" t="s">
        <v>307</v>
      </c>
      <c r="B17" s="2"/>
      <c r="C17" s="294">
        <v>3.6499999999999998E-2</v>
      </c>
      <c r="D17" s="241"/>
      <c r="E17" s="295"/>
      <c r="F17" s="237"/>
      <c r="G17" s="261"/>
      <c r="H17" s="261"/>
    </row>
    <row r="18" spans="1:8" ht="14.25" x14ac:dyDescent="0.2">
      <c r="A18" s="296" t="s">
        <v>308</v>
      </c>
      <c r="B18" s="297"/>
      <c r="C18" s="298"/>
      <c r="D18" s="241"/>
      <c r="E18" s="295"/>
      <c r="F18" s="237"/>
      <c r="G18" s="261"/>
      <c r="H18" s="261"/>
    </row>
    <row r="19" spans="1:8" ht="14.25" x14ac:dyDescent="0.2">
      <c r="A19" s="299" t="s">
        <v>309</v>
      </c>
      <c r="B19" s="300"/>
      <c r="C19" s="301"/>
      <c r="D19" s="241"/>
      <c r="E19" s="295"/>
      <c r="F19" s="237"/>
      <c r="G19" s="261"/>
      <c r="H19" s="261"/>
    </row>
    <row r="20" spans="1:8" ht="15" x14ac:dyDescent="0.2">
      <c r="A20" s="302" t="s">
        <v>310</v>
      </c>
      <c r="B20" s="303"/>
      <c r="C20" s="304">
        <f>ROUND((((1+C12+C13)*(1+C14)*(1+C15))/(1-(C16+C17))-1),4)</f>
        <v>0.23119999999999999</v>
      </c>
      <c r="D20" s="305">
        <v>0.21429999999999999</v>
      </c>
      <c r="E20" s="306">
        <v>0.2717</v>
      </c>
      <c r="F20" s="307">
        <v>0.3362</v>
      </c>
      <c r="G20" s="261"/>
      <c r="H20" s="261"/>
    </row>
    <row r="21" spans="1:8" ht="14.25" x14ac:dyDescent="0.2">
      <c r="A21" s="261"/>
      <c r="B21" s="261"/>
      <c r="C21" s="261"/>
      <c r="D21" s="261"/>
      <c r="E21" s="262"/>
      <c r="F21" s="261"/>
      <c r="G21" s="261"/>
      <c r="H21" s="261"/>
    </row>
    <row r="22" spans="1:8" ht="14.25" x14ac:dyDescent="0.2">
      <c r="A22" s="261"/>
      <c r="B22" s="261"/>
      <c r="C22" s="261"/>
      <c r="D22" s="261"/>
      <c r="E22" s="262"/>
      <c r="F22" s="261"/>
      <c r="G22" s="261"/>
      <c r="H22" s="261"/>
    </row>
    <row r="23" spans="1:8" ht="14.25" x14ac:dyDescent="0.2">
      <c r="A23" s="261"/>
      <c r="B23" s="261"/>
      <c r="C23" s="261"/>
      <c r="D23" s="261"/>
      <c r="E23" s="262"/>
      <c r="F23" s="261"/>
      <c r="G23" s="261"/>
      <c r="H23" s="261"/>
    </row>
    <row r="24" spans="1:8" ht="14.25" x14ac:dyDescent="0.2">
      <c r="A24" s="261"/>
      <c r="B24" s="261"/>
      <c r="C24" s="261"/>
      <c r="D24" s="261"/>
      <c r="E24" s="262"/>
      <c r="F24" s="261"/>
      <c r="G24" s="261"/>
      <c r="H24" s="261"/>
    </row>
  </sheetData>
  <mergeCells count="1">
    <mergeCell ref="B16:B17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7"/>
  <sheetViews>
    <sheetView view="pageBreakPreview" zoomScaleNormal="100" workbookViewId="0">
      <selection activeCell="B3" sqref="B3"/>
    </sheetView>
  </sheetViews>
  <sheetFormatPr defaultColWidth="9.140625" defaultRowHeight="19.5" customHeight="1" x14ac:dyDescent="0.2"/>
  <cols>
    <col min="1" max="1" width="24.5703125" style="148" customWidth="1"/>
    <col min="2" max="2" width="20.85546875" style="148" customWidth="1"/>
    <col min="3" max="16384" width="9.140625" style="148"/>
  </cols>
  <sheetData>
    <row r="1" spans="1:2" ht="19.5" customHeight="1" x14ac:dyDescent="0.2">
      <c r="A1" s="1" t="s">
        <v>311</v>
      </c>
      <c r="B1" s="1"/>
    </row>
    <row r="2" spans="1:2" s="234" customFormat="1" ht="19.5" customHeight="1" x14ac:dyDescent="0.2">
      <c r="A2" s="308" t="s">
        <v>312</v>
      </c>
      <c r="B2" s="309" t="s">
        <v>313</v>
      </c>
    </row>
    <row r="3" spans="1:2" ht="19.5" customHeight="1" x14ac:dyDescent="0.2">
      <c r="A3" s="310">
        <v>1</v>
      </c>
      <c r="B3" s="311">
        <v>33.630000000000003</v>
      </c>
    </row>
    <row r="4" spans="1:2" ht="19.5" customHeight="1" x14ac:dyDescent="0.2">
      <c r="A4" s="310">
        <v>2</v>
      </c>
      <c r="B4" s="311">
        <v>43.13</v>
      </c>
    </row>
    <row r="5" spans="1:2" ht="19.5" customHeight="1" x14ac:dyDescent="0.2">
      <c r="A5" s="310">
        <v>3</v>
      </c>
      <c r="B5" s="311">
        <v>48.68</v>
      </c>
    </row>
    <row r="6" spans="1:2" ht="19.5" customHeight="1" x14ac:dyDescent="0.2">
      <c r="A6" s="310">
        <v>4</v>
      </c>
      <c r="B6" s="311">
        <v>52.62</v>
      </c>
    </row>
    <row r="7" spans="1:2" ht="19.5" customHeight="1" x14ac:dyDescent="0.2">
      <c r="A7" s="310">
        <v>5</v>
      </c>
      <c r="B7" s="311">
        <v>55.68</v>
      </c>
    </row>
    <row r="8" spans="1:2" ht="19.5" customHeight="1" x14ac:dyDescent="0.2">
      <c r="A8" s="310">
        <v>6</v>
      </c>
      <c r="B8" s="311">
        <v>58.18</v>
      </c>
    </row>
    <row r="9" spans="1:2" ht="19.5" customHeight="1" x14ac:dyDescent="0.2">
      <c r="A9" s="310">
        <v>7</v>
      </c>
      <c r="B9" s="311">
        <v>60.29</v>
      </c>
    </row>
    <row r="10" spans="1:2" ht="19.5" customHeight="1" x14ac:dyDescent="0.2">
      <c r="A10" s="310">
        <v>8</v>
      </c>
      <c r="B10" s="311">
        <v>62.12</v>
      </c>
    </row>
    <row r="11" spans="1:2" ht="19.5" customHeight="1" x14ac:dyDescent="0.2">
      <c r="A11" s="310">
        <v>9</v>
      </c>
      <c r="B11" s="311">
        <v>63.73</v>
      </c>
    </row>
    <row r="12" spans="1:2" ht="19.5" customHeight="1" x14ac:dyDescent="0.2">
      <c r="A12" s="310">
        <v>10</v>
      </c>
      <c r="B12" s="311">
        <v>65.180000000000007</v>
      </c>
    </row>
    <row r="13" spans="1:2" ht="19.5" customHeight="1" x14ac:dyDescent="0.2">
      <c r="A13" s="310">
        <v>11</v>
      </c>
      <c r="B13" s="311">
        <v>66.48</v>
      </c>
    </row>
    <row r="14" spans="1:2" ht="19.5" customHeight="1" x14ac:dyDescent="0.2">
      <c r="A14" s="310">
        <v>12</v>
      </c>
      <c r="B14" s="311">
        <v>67.67</v>
      </c>
    </row>
    <row r="15" spans="1:2" ht="19.5" customHeight="1" x14ac:dyDescent="0.2">
      <c r="A15" s="310">
        <v>13</v>
      </c>
      <c r="B15" s="311">
        <v>68.77</v>
      </c>
    </row>
    <row r="16" spans="1:2" ht="19.5" customHeight="1" x14ac:dyDescent="0.2">
      <c r="A16" s="310">
        <v>14</v>
      </c>
      <c r="B16" s="311">
        <v>69.790000000000006</v>
      </c>
    </row>
    <row r="17" spans="1:2" ht="19.5" customHeight="1" x14ac:dyDescent="0.2">
      <c r="A17" s="312">
        <v>15</v>
      </c>
      <c r="B17" s="313">
        <v>70.73</v>
      </c>
    </row>
  </sheetData>
  <mergeCells count="1">
    <mergeCell ref="A1:B1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7"/>
  <sheetViews>
    <sheetView view="pageBreakPreview" zoomScaleNormal="100" workbookViewId="0">
      <selection activeCell="F30" sqref="F30"/>
    </sheetView>
  </sheetViews>
  <sheetFormatPr defaultColWidth="9.140625" defaultRowHeight="12.75" x14ac:dyDescent="0.2"/>
  <cols>
    <col min="1" max="1" width="70.42578125" style="148" customWidth="1"/>
    <col min="2" max="3" width="9.140625" style="148"/>
    <col min="4" max="4" width="12.85546875" style="148" customWidth="1"/>
    <col min="5" max="16384" width="9.140625" style="148"/>
  </cols>
  <sheetData>
    <row r="1" spans="1:1" ht="18" x14ac:dyDescent="0.25">
      <c r="A1" s="314" t="s">
        <v>314</v>
      </c>
    </row>
    <row r="2" spans="1:1" x14ac:dyDescent="0.2">
      <c r="A2" s="315"/>
    </row>
    <row r="3" spans="1:1" x14ac:dyDescent="0.2">
      <c r="A3" s="315" t="s">
        <v>315</v>
      </c>
    </row>
    <row r="4" spans="1:1" x14ac:dyDescent="0.2">
      <c r="A4" s="315"/>
    </row>
    <row r="5" spans="1:1" x14ac:dyDescent="0.2">
      <c r="A5" s="315"/>
    </row>
    <row r="6" spans="1:1" x14ac:dyDescent="0.2">
      <c r="A6" s="315"/>
    </row>
    <row r="7" spans="1:1" x14ac:dyDescent="0.2">
      <c r="A7" s="315"/>
    </row>
    <row r="8" spans="1:1" x14ac:dyDescent="0.2">
      <c r="A8" s="315"/>
    </row>
    <row r="9" spans="1:1" x14ac:dyDescent="0.2">
      <c r="A9" s="315"/>
    </row>
    <row r="10" spans="1:1" x14ac:dyDescent="0.2">
      <c r="A10" s="315"/>
    </row>
    <row r="11" spans="1:1" x14ac:dyDescent="0.2">
      <c r="A11" s="315"/>
    </row>
    <row r="12" spans="1:1" ht="19.5" x14ac:dyDescent="0.35">
      <c r="A12" s="316" t="s">
        <v>316</v>
      </c>
    </row>
    <row r="13" spans="1:1" ht="15" x14ac:dyDescent="0.2">
      <c r="A13" s="316" t="s">
        <v>317</v>
      </c>
    </row>
    <row r="14" spans="1:1" ht="15" x14ac:dyDescent="0.2">
      <c r="A14" s="316" t="s">
        <v>318</v>
      </c>
    </row>
    <row r="15" spans="1:1" ht="19.5" x14ac:dyDescent="0.35">
      <c r="A15" s="316" t="s">
        <v>319</v>
      </c>
    </row>
    <row r="16" spans="1:1" ht="19.5" x14ac:dyDescent="0.35">
      <c r="A16" s="316" t="s">
        <v>320</v>
      </c>
    </row>
    <row r="17" spans="1:1" ht="15" x14ac:dyDescent="0.2">
      <c r="A17" s="317" t="s">
        <v>321</v>
      </c>
    </row>
  </sheetData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4"/>
  <sheetViews>
    <sheetView view="pageBreakPreview" zoomScaleNormal="100" workbookViewId="0">
      <selection activeCell="A27" sqref="A27"/>
    </sheetView>
  </sheetViews>
  <sheetFormatPr defaultColWidth="9.140625" defaultRowHeight="12.75" x14ac:dyDescent="0.2"/>
  <cols>
    <col min="1" max="1" width="58.28515625" style="148" customWidth="1"/>
    <col min="2" max="2" width="11.140625" style="148" customWidth="1"/>
    <col min="3" max="3" width="11.28515625" style="148" customWidth="1"/>
    <col min="4" max="16384" width="9.140625" style="148"/>
  </cols>
  <sheetData>
    <row r="1" spans="1:7" x14ac:dyDescent="0.2">
      <c r="A1" s="36" t="s">
        <v>0</v>
      </c>
    </row>
    <row r="2" spans="1:7" x14ac:dyDescent="0.2">
      <c r="A2" s="197" t="s">
        <v>322</v>
      </c>
    </row>
    <row r="3" spans="1:7" x14ac:dyDescent="0.2">
      <c r="A3" s="197" t="s">
        <v>323</v>
      </c>
    </row>
    <row r="4" spans="1:7" x14ac:dyDescent="0.2">
      <c r="A4" s="12" t="s">
        <v>324</v>
      </c>
    </row>
    <row r="5" spans="1:7" x14ac:dyDescent="0.2">
      <c r="A5" s="12"/>
    </row>
    <row r="6" spans="1:7" s="18" customFormat="1" ht="15" customHeight="1" x14ac:dyDescent="0.2">
      <c r="A6" s="198" t="s">
        <v>199</v>
      </c>
      <c r="B6" s="16"/>
      <c r="C6" s="16"/>
      <c r="D6" s="16"/>
      <c r="E6" s="16"/>
      <c r="F6" s="16"/>
      <c r="G6" s="17"/>
    </row>
    <row r="7" spans="1:7" s="18" customFormat="1" ht="16.5" customHeight="1" x14ac:dyDescent="0.2">
      <c r="A7" s="198" t="s">
        <v>200</v>
      </c>
      <c r="B7" s="199"/>
      <c r="C7" s="199"/>
      <c r="D7" s="17"/>
      <c r="E7" s="17"/>
      <c r="F7" s="17"/>
      <c r="G7" s="17"/>
    </row>
    <row r="9" spans="1:7" ht="18" x14ac:dyDescent="0.25">
      <c r="A9" s="3" t="s">
        <v>325</v>
      </c>
      <c r="B9" s="3"/>
      <c r="C9" s="3"/>
    </row>
    <row r="10" spans="1:7" s="321" customFormat="1" ht="18" x14ac:dyDescent="0.25">
      <c r="A10" s="318"/>
      <c r="B10" s="319"/>
      <c r="C10" s="320"/>
    </row>
    <row r="11" spans="1:7" s="234" customFormat="1" ht="15" x14ac:dyDescent="0.25">
      <c r="A11" s="322" t="s">
        <v>326</v>
      </c>
      <c r="B11" s="323" t="s">
        <v>327</v>
      </c>
      <c r="C11" s="324" t="s">
        <v>204</v>
      </c>
    </row>
    <row r="12" spans="1:7" ht="14.25" x14ac:dyDescent="0.2">
      <c r="A12" s="325" t="s">
        <v>328</v>
      </c>
      <c r="B12" s="326" t="s">
        <v>329</v>
      </c>
      <c r="C12" s="242"/>
    </row>
    <row r="13" spans="1:7" ht="14.25" x14ac:dyDescent="0.2">
      <c r="A13" s="241" t="s">
        <v>330</v>
      </c>
      <c r="B13" s="327" t="s">
        <v>331</v>
      </c>
      <c r="C13" s="328">
        <f>0.0362741*C12^0.2336249</f>
        <v>0</v>
      </c>
    </row>
    <row r="14" spans="1:7" ht="14.25" x14ac:dyDescent="0.2">
      <c r="A14" s="241" t="s">
        <v>332</v>
      </c>
      <c r="B14" s="327" t="s">
        <v>333</v>
      </c>
      <c r="C14" s="329">
        <f>C12*C13/1000</f>
        <v>0</v>
      </c>
    </row>
    <row r="15" spans="1:7" ht="14.25" x14ac:dyDescent="0.2">
      <c r="A15" s="241" t="s">
        <v>334</v>
      </c>
      <c r="B15" s="327" t="s">
        <v>335</v>
      </c>
      <c r="C15" s="330">
        <f>(C14*30)</f>
        <v>0</v>
      </c>
    </row>
    <row r="16" spans="1:7" ht="14.25" x14ac:dyDescent="0.2">
      <c r="A16" s="241" t="s">
        <v>336</v>
      </c>
      <c r="B16" s="327" t="s">
        <v>61</v>
      </c>
      <c r="C16" s="331"/>
    </row>
    <row r="17" spans="1:3" ht="14.25" x14ac:dyDescent="0.2">
      <c r="A17" s="241" t="s">
        <v>337</v>
      </c>
      <c r="B17" s="327" t="s">
        <v>333</v>
      </c>
      <c r="C17" s="329">
        <f>IFERROR(C14*7/C16,0)</f>
        <v>0</v>
      </c>
    </row>
    <row r="18" spans="1:3" ht="14.25" x14ac:dyDescent="0.2">
      <c r="A18" s="325" t="s">
        <v>338</v>
      </c>
      <c r="B18" s="327" t="s">
        <v>339</v>
      </c>
      <c r="C18" s="332">
        <v>500</v>
      </c>
    </row>
    <row r="19" spans="1:3" ht="14.25" x14ac:dyDescent="0.2">
      <c r="A19" s="241" t="s">
        <v>340</v>
      </c>
      <c r="B19" s="327"/>
      <c r="C19" s="242"/>
    </row>
    <row r="20" spans="1:3" ht="14.25" x14ac:dyDescent="0.2">
      <c r="A20" s="325" t="s">
        <v>341</v>
      </c>
      <c r="B20" s="327" t="s">
        <v>342</v>
      </c>
      <c r="C20" s="242"/>
    </row>
    <row r="21" spans="1:3" ht="14.25" x14ac:dyDescent="0.2">
      <c r="A21" s="241" t="s">
        <v>343</v>
      </c>
      <c r="B21" s="327" t="s">
        <v>335</v>
      </c>
      <c r="C21" s="332">
        <f>IF(AND(C20&gt;=15,C19=1),5.8,C20/2)</f>
        <v>0</v>
      </c>
    </row>
    <row r="22" spans="1:3" ht="14.25" x14ac:dyDescent="0.2">
      <c r="A22" s="325" t="s">
        <v>344</v>
      </c>
      <c r="B22" s="327"/>
      <c r="C22" s="329">
        <f>IFERROR(C17/C21,0)</f>
        <v>0</v>
      </c>
    </row>
    <row r="23" spans="1:3" ht="14.25" x14ac:dyDescent="0.2">
      <c r="A23" s="325" t="s">
        <v>345</v>
      </c>
      <c r="B23" s="327"/>
      <c r="C23" s="333"/>
    </row>
    <row r="24" spans="1:3" ht="14.25" x14ac:dyDescent="0.2">
      <c r="A24" s="334" t="s">
        <v>346</v>
      </c>
      <c r="B24" s="335"/>
      <c r="C24" s="336">
        <f>IFERROR(C22/C23,0)</f>
        <v>0</v>
      </c>
    </row>
  </sheetData>
  <mergeCells count="1">
    <mergeCell ref="A9:C9"/>
  </mergeCells>
  <conditionalFormatting sqref="C21">
    <cfRule type="expression" dxfId="0" priority="2">
      <formula>"SE(E(C20&gt;=15;C19=1))"</formula>
    </cfRule>
  </conditionalFormatting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5</vt:i4>
      </vt:variant>
    </vt:vector>
  </HeadingPairs>
  <TitlesOfParts>
    <vt:vector size="12" baseType="lpstr">
      <vt:lpstr>1. Coleta Domiciliar</vt:lpstr>
      <vt:lpstr>2.Encargos Sociais</vt:lpstr>
      <vt:lpstr>3.CAGED</vt:lpstr>
      <vt:lpstr>4.BDI</vt:lpstr>
      <vt:lpstr>5. Depreciação</vt:lpstr>
      <vt:lpstr>6.Remuneração de capital</vt:lpstr>
      <vt:lpstr>7. Dimensionamento</vt:lpstr>
      <vt:lpstr>AbaDeprec</vt:lpstr>
      <vt:lpstr>AbaRemun</vt:lpstr>
      <vt:lpstr>'1. Coleta Domiciliar'!Area_de_impressao</vt:lpstr>
      <vt:lpstr>'2.Encargos Sociais'!Area_de_impressao</vt:lpstr>
      <vt:lpstr>'1. Coleta Domiciliar'!Titulos_de_impressao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subject/>
  <dc:creator>Flavia Burmeister Martins</dc:creator>
  <dc:description/>
  <cp:lastModifiedBy>Verita</cp:lastModifiedBy>
  <cp:revision>2</cp:revision>
  <cp:lastPrinted>2026-09-29T23:09:21Z</cp:lastPrinted>
  <dcterms:created xsi:type="dcterms:W3CDTF">2000-12-13T10:02:50Z</dcterms:created>
  <dcterms:modified xsi:type="dcterms:W3CDTF">2026-09-29T23:56:09Z</dcterms:modified>
  <dc:language>pt-BR</dc:language>
</cp:coreProperties>
</file>