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REGÕES\EDITAIS 2024\PE XX - ATERRO SANITÁRIO - recebido em 17.10 - devolvido em 19.10\"/>
    </mc:Choice>
  </mc:AlternateContent>
  <xr:revisionPtr revIDLastSave="0" documentId="13_ncr:1_{931EE697-6396-4EE4-8B88-86B8235D5BFF}" xr6:coauthVersionLast="47" xr6:coauthVersionMax="47" xr10:uidLastSave="{00000000-0000-0000-0000-000000000000}"/>
  <bookViews>
    <workbookView xWindow="23880" yWindow="-705" windowWidth="29040" windowHeight="15720" tabRatio="802" xr2:uid="{00000000-000D-0000-FFFF-FFFF00000000}"/>
  </bookViews>
  <sheets>
    <sheet name="Resumo" sheetId="19" r:id="rId1"/>
    <sheet name="6. Destino Final" sheetId="32" r:id="rId2"/>
    <sheet name="8.BDI Aterro" sheetId="40" r:id="rId3"/>
    <sheet name="9. Ton" sheetId="41" r:id="rId4"/>
    <sheet name="10. Horários" sheetId="11" r:id="rId5"/>
    <sheet name="11. Roteiros" sheetId="37" r:id="rId6"/>
    <sheet name="13. Rem capital" sheetId="7" r:id="rId7"/>
    <sheet name="15. Dias úteis" sheetId="30" r:id="rId8"/>
  </sheets>
  <definedNames>
    <definedName name="AbaDeprec">#REF!</definedName>
    <definedName name="AbaRemun" localSheetId="4">#REF!</definedName>
    <definedName name="AbaRemun" localSheetId="1">#REF!</definedName>
    <definedName name="AbaRemun" localSheetId="3">#REF!</definedName>
    <definedName name="AbaRemun" localSheetId="0">#REF!</definedName>
    <definedName name="AbaRemun">'13. Rem capital'!$A$1</definedName>
    <definedName name="_xlnm.Print_Area" localSheetId="4">'10. Horários'!$A$1:$I$97</definedName>
    <definedName name="_xlnm.Print_Area" localSheetId="1">'6. Destino Final'!$A$1:$F$39</definedName>
    <definedName name="Horário" localSheetId="2">#REF!</definedName>
    <definedName name="Horário" localSheetId="3">#REF!</definedName>
    <definedName name="Horário">#REF!</definedName>
    <definedName name="_xlnm.Print_Titles" localSheetId="1">'6. Destino Final'!#REF!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15" i="11" l="1"/>
  <c r="I18" i="11" l="1"/>
  <c r="I17" i="11"/>
  <c r="I16" i="11"/>
  <c r="I15" i="11"/>
  <c r="B12" i="41" l="1"/>
  <c r="B6" i="41"/>
  <c r="I18" i="41"/>
  <c r="H18" i="41"/>
  <c r="H20" i="41" s="1"/>
  <c r="J18" i="41" l="1"/>
  <c r="B18" i="41"/>
  <c r="B21" i="41" s="1"/>
  <c r="B23" i="41" l="1"/>
  <c r="B25" i="41" s="1"/>
  <c r="B26" i="41" s="1"/>
  <c r="C20" i="32" s="1"/>
  <c r="C16" i="40"/>
  <c r="C21" i="40" s="1"/>
  <c r="C31" i="32" s="1"/>
  <c r="F14" i="40"/>
  <c r="E14" i="40"/>
  <c r="D14" i="40"/>
  <c r="I23" i="11" l="1"/>
  <c r="I22" i="11"/>
  <c r="I21" i="11"/>
  <c r="I20" i="11"/>
  <c r="I19" i="11"/>
  <c r="S7" i="11"/>
  <c r="S5" i="11"/>
  <c r="U25" i="11" l="1"/>
  <c r="U27" i="11" s="1"/>
  <c r="U29" i="11" s="1"/>
  <c r="V25" i="11"/>
  <c r="V27" i="11" s="1"/>
  <c r="V29" i="11" s="1"/>
  <c r="T12" i="11"/>
  <c r="T6" i="11"/>
  <c r="T25" i="11" s="1"/>
  <c r="T27" i="11" s="1"/>
  <c r="T29" i="11" s="1"/>
  <c r="S25" i="11"/>
  <c r="S27" i="11" s="1"/>
  <c r="S29" i="11" s="1"/>
  <c r="S13" i="11"/>
  <c r="I14" i="11" l="1"/>
  <c r="I13" i="11"/>
  <c r="I12" i="11"/>
  <c r="I11" i="11"/>
  <c r="I10" i="11"/>
  <c r="I9" i="11"/>
  <c r="I8" i="11"/>
  <c r="I7" i="11"/>
  <c r="I6" i="11"/>
  <c r="I5" i="11"/>
  <c r="R7" i="11" l="1"/>
  <c r="R6" i="11"/>
  <c r="H76" i="11" l="1"/>
  <c r="G76" i="11"/>
  <c r="Q24" i="11"/>
  <c r="Q23" i="11"/>
  <c r="Q14" i="11"/>
  <c r="Q13" i="11"/>
  <c r="R13" i="11" s="1"/>
  <c r="P14" i="11" l="1"/>
  <c r="R14" i="11" s="1"/>
  <c r="K5" i="11"/>
  <c r="K7" i="11" s="1"/>
  <c r="K9" i="11" s="1"/>
  <c r="E127" i="37"/>
  <c r="K68" i="37" s="1"/>
  <c r="K71" i="37" s="1"/>
  <c r="S30" i="37" s="1"/>
  <c r="E113" i="37"/>
  <c r="K61" i="37" s="1"/>
  <c r="K64" i="37" s="1"/>
  <c r="S28" i="37" s="1"/>
  <c r="E99" i="37"/>
  <c r="K54" i="37" s="1"/>
  <c r="K57" i="37" s="1"/>
  <c r="S26" i="37" s="1"/>
  <c r="E84" i="37"/>
  <c r="K47" i="37" s="1"/>
  <c r="K50" i="37" s="1"/>
  <c r="S24" i="37" s="1"/>
  <c r="E69" i="37"/>
  <c r="K40" i="37" s="1"/>
  <c r="K43" i="37" s="1"/>
  <c r="S22" i="37" s="1"/>
  <c r="E55" i="37"/>
  <c r="K28" i="37" s="1"/>
  <c r="K31" i="37" s="1"/>
  <c r="S13" i="37" s="1"/>
  <c r="E42" i="37"/>
  <c r="K21" i="37" s="1"/>
  <c r="K24" i="37" s="1"/>
  <c r="S11" i="37" s="1"/>
  <c r="Q30" i="37"/>
  <c r="Q28" i="37"/>
  <c r="E27" i="37"/>
  <c r="K14" i="37" s="1"/>
  <c r="K17" i="37" s="1"/>
  <c r="S9" i="37" s="1"/>
  <c r="E14" i="37"/>
  <c r="K7" i="37" s="1"/>
  <c r="K10" i="37" s="1"/>
  <c r="S7" i="37" s="1"/>
  <c r="G84" i="11"/>
  <c r="K15" i="11"/>
  <c r="K16" i="11" s="1"/>
  <c r="K18" i="11" s="1"/>
  <c r="P24" i="11"/>
  <c r="O5" i="11" l="1"/>
  <c r="O7" i="11" s="1"/>
  <c r="O9" i="11" s="1"/>
  <c r="O15" i="11"/>
  <c r="O17" i="11" s="1"/>
  <c r="O19" i="11" s="1"/>
  <c r="S15" i="37"/>
  <c r="S16" i="37" s="1"/>
  <c r="P23" i="11"/>
  <c r="R23" i="11" s="1"/>
  <c r="R24" i="11"/>
  <c r="P27" i="11"/>
  <c r="S32" i="37"/>
  <c r="S33" i="37" s="1"/>
  <c r="K19" i="11"/>
  <c r="K10" i="11"/>
  <c r="O20" i="11" l="1"/>
  <c r="O10" i="11"/>
  <c r="P25" i="11"/>
  <c r="G90" i="11"/>
  <c r="G93" i="11" s="1"/>
  <c r="G95" i="11" s="1"/>
  <c r="G97" i="11" s="1"/>
  <c r="E20" i="32" l="1"/>
  <c r="F21" i="32" s="1"/>
  <c r="F23" i="32" s="1"/>
  <c r="E11" i="32" s="1"/>
  <c r="A12" i="32"/>
  <c r="A11" i="32"/>
  <c r="F26" i="32" l="1"/>
  <c r="D31" i="32" l="1"/>
  <c r="G65" i="11" l="1"/>
  <c r="G68" i="11" s="1"/>
  <c r="G70" i="11" s="1"/>
  <c r="G72" i="11" s="1"/>
  <c r="N17" i="11"/>
  <c r="N18" i="11" s="1"/>
  <c r="N27" i="11" s="1"/>
  <c r="C20" i="30"/>
  <c r="C23" i="30" s="1"/>
  <c r="C21" i="30"/>
  <c r="C5" i="30" l="1"/>
  <c r="C7" i="30" s="1"/>
  <c r="M17" i="11"/>
  <c r="M18" i="11" s="1"/>
  <c r="M27" i="11" s="1"/>
  <c r="L17" i="11"/>
  <c r="L18" i="11" s="1"/>
  <c r="L27" i="11" l="1"/>
  <c r="H82" i="11"/>
  <c r="H78" i="11"/>
  <c r="H81" i="11" s="1"/>
  <c r="H83" i="11" s="1"/>
  <c r="G82" i="11"/>
  <c r="G78" i="11" l="1"/>
  <c r="G81" i="11" s="1"/>
  <c r="G53" i="11"/>
  <c r="G56" i="11" s="1"/>
  <c r="G58" i="11" s="1"/>
  <c r="G60" i="11" l="1"/>
  <c r="G83" i="11"/>
  <c r="G41" i="11" l="1"/>
  <c r="G44" i="11" s="1"/>
  <c r="G46" i="11" s="1"/>
  <c r="G29" i="11"/>
  <c r="G32" i="11" s="1"/>
  <c r="G48" i="11" l="1"/>
  <c r="G34" i="11"/>
  <c r="G36" i="11" s="1"/>
  <c r="E31" i="32" l="1"/>
  <c r="F32" i="32" s="1"/>
  <c r="F34" i="32" s="1"/>
  <c r="E12" i="32" l="1"/>
  <c r="F37" i="32"/>
  <c r="E13" i="32" l="1"/>
  <c r="F11" i="32" s="1"/>
  <c r="C2" i="19"/>
  <c r="E38" i="32"/>
  <c r="F12" i="32" l="1"/>
  <c r="F13" i="3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C13" authorId="0" shapeId="0" xr:uid="{00000000-0006-0000-0900-000001000000}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00000000-0006-0000-0900-000002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900-000003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6" authorId="0" shapeId="0" xr:uid="{00000000-0006-0000-0900-000004000000}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17" authorId="0" shapeId="0" xr:uid="{00000000-0006-0000-0900-000005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7" authorId="0" shapeId="0" xr:uid="{00000000-0006-0000-0900-000006000000}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 xr:uid="{00000000-0006-0000-0900-000007000000}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<sst xmlns="http://schemas.openxmlformats.org/spreadsheetml/2006/main" count="687" uniqueCount="230">
  <si>
    <t>%</t>
  </si>
  <si>
    <t>km</t>
  </si>
  <si>
    <t>Benefícios e despesas indiretas</t>
  </si>
  <si>
    <t>Custo (R$/mês)</t>
  </si>
  <si>
    <t>Quantidade</t>
  </si>
  <si>
    <t>Planilha de Composição de Custos</t>
  </si>
  <si>
    <t>Motorista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</si>
  <si>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</si>
  <si>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</si>
  <si>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</si>
  <si>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</si>
  <si>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</si>
  <si>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</si>
  <si>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</si>
  <si>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</si>
  <si>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</si>
  <si>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</si>
  <si>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</si>
  <si>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</si>
  <si>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</si>
  <si>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</si>
  <si>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Fórmula para o cálculo do BDI:</t>
  </si>
  <si>
    <t>{[(1+AC+SRG) x (1+L) x (1+DF)] / (1-T)} -1</t>
  </si>
  <si>
    <t>Resultado do cálculo do BDI:</t>
  </si>
  <si>
    <t>i = taxa de juros do mercado (sugere-se adotar a taxa SELIC)</t>
  </si>
  <si>
    <t>n = vida útil do bem em anos</t>
  </si>
  <si>
    <t>Im = investimento médio</t>
  </si>
  <si>
    <t>1° Quartil</t>
  </si>
  <si>
    <t>Médio</t>
  </si>
  <si>
    <t>3° Quartil</t>
  </si>
  <si>
    <t>DU</t>
  </si>
  <si>
    <t>Descrição do Item</t>
  </si>
  <si>
    <t>Orçamento Sintético</t>
  </si>
  <si>
    <t>Orientações para preenchimento:</t>
  </si>
  <si>
    <t>2. Preencher somente células em amarelo</t>
  </si>
  <si>
    <t>CUSTO TOTAL MENSAL COM DESPESAS OPERACIONAIS (R$/mês)</t>
  </si>
  <si>
    <t>PREÇO MENSAL TOTAL (R$/mês)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</si>
  <si>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</si>
  <si>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</si>
  <si>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</si>
  <si>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Custo unitário</t>
  </si>
  <si>
    <t>CUSTO MENSAL COM BDI (R$/mês)</t>
  </si>
  <si>
    <t>Referência estudo TCE</t>
  </si>
  <si>
    <t>1. Esta planilha é somente um modelo-base e deve ser ajustada conforme cada caso concreto.</t>
  </si>
  <si>
    <t>Fórmula de cálculo da remuneração de capital:</t>
  </si>
  <si>
    <t>Unid</t>
  </si>
  <si>
    <t>i</t>
  </si>
  <si>
    <t>O TCE/RS não se responsabiliza pelo uso incorreto desta planilha.</t>
  </si>
  <si>
    <t xml:space="preserve">O orçamento deve ser realizado por responsável técnico habilitado e é </t>
  </si>
  <si>
    <t>de responsabilidade do seu autor.</t>
  </si>
  <si>
    <t xml:space="preserve">Periodicidade: Segunda a sábado </t>
  </si>
  <si>
    <t xml:space="preserve">Nr. Func. </t>
  </si>
  <si>
    <t xml:space="preserve">Cargo </t>
  </si>
  <si>
    <t xml:space="preserve">Dias </t>
  </si>
  <si>
    <t xml:space="preserve">Entrada </t>
  </si>
  <si>
    <t>Saída</t>
  </si>
  <si>
    <t xml:space="preserve">Total de horas por coletor </t>
  </si>
  <si>
    <t xml:space="preserve">Total de dias por semana </t>
  </si>
  <si>
    <t xml:space="preserve">Total de horas por semana </t>
  </si>
  <si>
    <t xml:space="preserve">Dias úteis semana </t>
  </si>
  <si>
    <t>Total de dias com (DSR) Descanso Semanal Remunerado</t>
  </si>
  <si>
    <t>Total de horas/dia com (DSR)</t>
  </si>
  <si>
    <t xml:space="preserve">Total de dias no mês (30 dias) </t>
  </si>
  <si>
    <t>Total geral de horas mês com (DSR)</t>
  </si>
  <si>
    <t xml:space="preserve">Total de horas por motorista </t>
  </si>
  <si>
    <t>Total geral de horas base mês com (DSR)</t>
  </si>
  <si>
    <t xml:space="preserve">Fator de utilização </t>
  </si>
  <si>
    <t>Distância</t>
  </si>
  <si>
    <t>Und.</t>
  </si>
  <si>
    <t>Cor Linha</t>
  </si>
  <si>
    <t>Ponto a Ponto</t>
  </si>
  <si>
    <t>m</t>
  </si>
  <si>
    <t>Trecho 01</t>
  </si>
  <si>
    <t>1 - 2</t>
  </si>
  <si>
    <t>Trecho 02</t>
  </si>
  <si>
    <t>2 - 3</t>
  </si>
  <si>
    <t>Trecho 03</t>
  </si>
  <si>
    <t>3 - 4</t>
  </si>
  <si>
    <t>Trecho 04</t>
  </si>
  <si>
    <t>4 - 5</t>
  </si>
  <si>
    <t>Trecho 05</t>
  </si>
  <si>
    <t>5 - 6</t>
  </si>
  <si>
    <t>Trecho 06</t>
  </si>
  <si>
    <t>6 - 7</t>
  </si>
  <si>
    <t>Trecho 07</t>
  </si>
  <si>
    <t>7 - 8</t>
  </si>
  <si>
    <t>Trecho 08</t>
  </si>
  <si>
    <t>Trecho 09</t>
  </si>
  <si>
    <t>Distância total da Rota:</t>
  </si>
  <si>
    <t>Dias da semana</t>
  </si>
  <si>
    <t>Nu. Coleta Semanal</t>
  </si>
  <si>
    <t>Trecho</t>
  </si>
  <si>
    <t>x</t>
  </si>
  <si>
    <t>Total Semanal</t>
  </si>
  <si>
    <t>Km</t>
  </si>
  <si>
    <t>Total Mensal</t>
  </si>
  <si>
    <t>8 - 9</t>
  </si>
  <si>
    <t xml:space="preserve">Cargo: Motorista da coleta do lixo orgânico </t>
  </si>
  <si>
    <t>Tributos - PIS/COFINS/ e CPP se houver</t>
  </si>
  <si>
    <t>ROTAS DE COLETA</t>
  </si>
  <si>
    <t xml:space="preserve">Total dos percursos Orgânicos </t>
  </si>
  <si>
    <t>Rota</t>
  </si>
  <si>
    <t>Distância: Coleta +  Transporte</t>
  </si>
  <si>
    <t>Rota 1</t>
  </si>
  <si>
    <t>Distância total diária:</t>
  </si>
  <si>
    <t>Rota 2</t>
  </si>
  <si>
    <t>Rota 3</t>
  </si>
  <si>
    <t>Composição do BDI - Benefícios e Despesas Indiretas</t>
  </si>
  <si>
    <t>Remuneração de Capital</t>
  </si>
  <si>
    <t xml:space="preserve"> TOTAL = ROTAS DE COLETA + TRANSPORTE </t>
  </si>
  <si>
    <t xml:space="preserve">TOTAL MENSAL = ROTAS DE COLETA + TRANSPORTE </t>
  </si>
  <si>
    <t>Sábado</t>
  </si>
  <si>
    <t>Segunda, Quarta e Sexta</t>
  </si>
  <si>
    <t>Coleta Rota 4</t>
  </si>
  <si>
    <t>Rota 4</t>
  </si>
  <si>
    <t>Coleta Rota 5</t>
  </si>
  <si>
    <t>Rota 5</t>
  </si>
  <si>
    <t>Rota 6</t>
  </si>
  <si>
    <t>Rota 7</t>
  </si>
  <si>
    <t>Horas/dia</t>
  </si>
  <si>
    <t>Orgânica</t>
  </si>
  <si>
    <t xml:space="preserve">Coleta </t>
  </si>
  <si>
    <t>Seletiva</t>
  </si>
  <si>
    <t xml:space="preserve">Total de horas por dia </t>
  </si>
  <si>
    <t>Total geral de horas mês</t>
  </si>
  <si>
    <t xml:space="preserve">Total geral de horas base mês </t>
  </si>
  <si>
    <t xml:space="preserve">Fator de utilização dos Caminhões Orgânico/Seletivo </t>
  </si>
  <si>
    <t>Orgânico</t>
  </si>
  <si>
    <t xml:space="preserve">Seletivo </t>
  </si>
  <si>
    <t>Fator de utilização Total (não pode ser maior que 100%)</t>
  </si>
  <si>
    <t xml:space="preserve">Fator de utilização por veículo </t>
  </si>
  <si>
    <t xml:space="preserve">Projeção de dias úteis por mês </t>
  </si>
  <si>
    <t xml:space="preserve">Total de dias no ano </t>
  </si>
  <si>
    <t xml:space="preserve">Total de domingos no ano </t>
  </si>
  <si>
    <t xml:space="preserve">Total de feriados no ano </t>
  </si>
  <si>
    <t>Saldo de dias úteis no ano</t>
  </si>
  <si>
    <t xml:space="preserve">Total de meses no ano </t>
  </si>
  <si>
    <t>Média de dias úteis por mês</t>
  </si>
  <si>
    <t xml:space="preserve">Coletor </t>
  </si>
  <si>
    <t>Planilha com os horários dos funcionários coleta de resíduos orgânicos e seletivos</t>
  </si>
  <si>
    <t xml:space="preserve">Cargo: Coletor de resíduos seletivos e interior </t>
  </si>
  <si>
    <t xml:space="preserve">Cargo: motorista de resíduos seletivos e interior </t>
  </si>
  <si>
    <t>Memória de cálculo horários</t>
  </si>
  <si>
    <t xml:space="preserve">Prefeitura Municipal de Nova Prata </t>
  </si>
  <si>
    <t>PREFEITURA MUNICIPAL DE NOVA PRATA</t>
  </si>
  <si>
    <t>1. Esta planilha é somente um modelo-base. Qualquer custo previsto no edital e não contemplado nesta planilha deverá ser devidamente incluído</t>
  </si>
  <si>
    <t>3. As células azuis deverão ter seus valores preenchidos em outra planilha do arquivo.</t>
  </si>
  <si>
    <t xml:space="preserve">Destinação Final </t>
  </si>
  <si>
    <t xml:space="preserve">Ton. </t>
  </si>
  <si>
    <t>Custo Mensal com Destinação Final (R$/mês)</t>
  </si>
  <si>
    <t xml:space="preserve">PREFEITURA MUNICIPAL DE NOVA PRATA </t>
  </si>
  <si>
    <t xml:space="preserve">Preço total por Ton em reais </t>
  </si>
  <si>
    <t xml:space="preserve">1. Destinação final </t>
  </si>
  <si>
    <t xml:space="preserve">Destino Final </t>
  </si>
  <si>
    <t>PREÇO TOTAL MENSAL COM O DESTINO FINAL</t>
  </si>
  <si>
    <t xml:space="preserve">Rota 1 </t>
  </si>
  <si>
    <t xml:space="preserve">Resumo do Percurso - Coleta de Resíduos Domiciliares - Orgânico </t>
  </si>
  <si>
    <t>Coleta Rota 1</t>
  </si>
  <si>
    <t>Central de Triagem - Garagem</t>
  </si>
  <si>
    <t>Terça, Quinta e Sábado</t>
  </si>
  <si>
    <t xml:space="preserve">Coleta Rota 2 </t>
  </si>
  <si>
    <t xml:space="preserve">Rota 2 </t>
  </si>
  <si>
    <t>Rota 8</t>
  </si>
  <si>
    <t xml:space="preserve">Terça e Quinta  </t>
  </si>
  <si>
    <t>Rota 9</t>
  </si>
  <si>
    <t xml:space="preserve">Coleta Rota 3 </t>
  </si>
  <si>
    <t xml:space="preserve">Rota 3 </t>
  </si>
  <si>
    <t>Quinta  (coleta a cada 15 dias )</t>
  </si>
  <si>
    <t>Resumo do Percurso - Coleta de Resíduos Domiciliares - Seletivo</t>
  </si>
  <si>
    <t xml:space="preserve">Coleta Rota 6 </t>
  </si>
  <si>
    <t xml:space="preserve">Coleta Rota 7 </t>
  </si>
  <si>
    <t xml:space="preserve">Rota 5 </t>
  </si>
  <si>
    <t xml:space="preserve">Coleta Rota 8  </t>
  </si>
  <si>
    <t xml:space="preserve">Coleta Rota 9 </t>
  </si>
  <si>
    <t xml:space="preserve">Rota 6 </t>
  </si>
  <si>
    <t xml:space="preserve">Rota 7 </t>
  </si>
  <si>
    <t>Locais de coleta: Interior Região Sul, Leste e Oeste</t>
  </si>
  <si>
    <t>Locais de coleta: Interior Região Norte e Leste</t>
  </si>
  <si>
    <t xml:space="preserve">Cargo: motorista de carreta </t>
  </si>
  <si>
    <t xml:space="preserve">Total de horas por funcionário </t>
  </si>
  <si>
    <t>Locais de coleta: Centro e Área Industrial da cidade</t>
  </si>
  <si>
    <t xml:space="preserve">Garagem - Pesagem - Inicio da Rota </t>
  </si>
  <si>
    <t xml:space="preserve">Início da Rota - Final da Rota </t>
  </si>
  <si>
    <t>Final da rota - Pesagem - Central de Triagem</t>
  </si>
  <si>
    <t>Locais de coleta: Centro e Bairro São Cristovão</t>
  </si>
  <si>
    <t>Locais de coleta:  Bairros da região norte da cidade</t>
  </si>
  <si>
    <t>Locais de coleta: Bairros Santa Cruz e Sagrada Família</t>
  </si>
  <si>
    <t>Locais de coleta: Centro e Área Industrial e São Cristóvão</t>
  </si>
  <si>
    <t>Locais de coleta: Bairros Santa Cruz, Sagrada Família e BR 470</t>
  </si>
  <si>
    <t>Segunda, quarta e sexta</t>
  </si>
  <si>
    <t xml:space="preserve">Terça e quinta </t>
  </si>
  <si>
    <t xml:space="preserve">Terça e quinta  </t>
  </si>
  <si>
    <t xml:space="preserve">Quarta </t>
  </si>
  <si>
    <t>Rota 8 e 9</t>
  </si>
  <si>
    <t>Seletiva Interior</t>
  </si>
  <si>
    <t>Quinta</t>
  </si>
  <si>
    <t>Hrs/se-mana</t>
  </si>
  <si>
    <t xml:space="preserve">Cargo: Coletor de resíduos orgânicos </t>
  </si>
  <si>
    <t xml:space="preserve">Total de horas </t>
  </si>
  <si>
    <t>9 - 10</t>
  </si>
  <si>
    <t>2. Benefícios e Despesas Indiretas - BDI</t>
  </si>
  <si>
    <t>Total dos percursos Seletivos e Interior</t>
  </si>
  <si>
    <t>MÊS</t>
  </si>
  <si>
    <t>ORGANICO</t>
  </si>
  <si>
    <t>SELETIVO</t>
  </si>
  <si>
    <t>ABRIL</t>
  </si>
  <si>
    <t>FEVEREIRO</t>
  </si>
  <si>
    <t>JANEIRO</t>
  </si>
  <si>
    <t>MAIO</t>
  </si>
  <si>
    <t>MARÇO</t>
  </si>
  <si>
    <t>TOTAL:</t>
  </si>
  <si>
    <t>C.O</t>
  </si>
  <si>
    <t>M.O</t>
  </si>
  <si>
    <t>C.S</t>
  </si>
  <si>
    <t>M.S</t>
  </si>
  <si>
    <t>Toneladas</t>
  </si>
  <si>
    <t>Total</t>
  </si>
  <si>
    <t xml:space="preserve">Meses </t>
  </si>
  <si>
    <t xml:space="preserve">Média Ton/mês </t>
  </si>
  <si>
    <t xml:space="preserve">Rejeito Final Aterro </t>
  </si>
  <si>
    <t>Período: Realizado 2024</t>
  </si>
  <si>
    <t xml:space="preserve">Mês/Ano </t>
  </si>
  <si>
    <t xml:space="preserve">Previsão Seletivo </t>
  </si>
  <si>
    <t>Reciclagem 20% do seletivo</t>
  </si>
  <si>
    <t xml:space="preserve">Segunda, quarta e Sexta </t>
  </si>
  <si>
    <t>Terça e quinta</t>
  </si>
  <si>
    <t>Segunda, quarta e Sexta</t>
  </si>
  <si>
    <t>Quarta e sábado</t>
  </si>
  <si>
    <t xml:space="preserve">Previsão de Toneladas de lixo coletados </t>
  </si>
  <si>
    <t xml:space="preserve">6. Destino Final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</si>
</sst>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8" formatCode="&quot;R$ &quot;#,##0.00"/>
    <numFmt numFmtId="169" formatCode="0.0000"/>
    <numFmt numFmtId="172" formatCode="_-* #,##0.0_-;\-* #,##0.0_-;_-* &quot;-&quot;??_-;_-@_-"/>
    <numFmt numFmtId="173" formatCode="_ * #,##0.00_ ;_ * \-#,##0.00_ ;_ * &quot;-&quot;??_ ;_ @_ "/>
    <numFmt numFmtId="174" formatCode="_(* #,##0.0000_);_(* \(#,##0.0000\);_(* &quot;-&quot;??_);_(@_)"/>
    <numFmt numFmtId="175" formatCode="0.0"/>
    <numFmt numFmtId="176" formatCode="0.000"/>
    <numFmt numFmtId="178" formatCode="dd/mm/yy"/>
  </numFmts>
  <fonts count="5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sz val="11"/>
      <color theme="1"/>
      <name val="Arial"/>
      <family val="2"/>
    </font>
    <font>
      <b/>
      <sz val="12"/>
      <color rgb="FFFF000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81D41A"/>
        <bgColor rgb="FF81D41A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4">
    <xf numFmtId="0" fontId="0" fillId="0" borderId="0"/>
    <xf numFmtId="9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44" fontId="30" fillId="0" borderId="0" applyFont="0" applyFill="0" applyBorder="0" applyAlignment="0" applyProtection="0"/>
    <xf numFmtId="172" fontId="46" fillId="0" borderId="0" applyFont="0" applyFill="0" applyBorder="0" applyAlignment="0" applyProtection="0"/>
    <xf numFmtId="0" fontId="29" fillId="0" borderId="0"/>
    <xf numFmtId="0" fontId="30" fillId="0" borderId="0"/>
    <xf numFmtId="0" fontId="46" fillId="0" borderId="0"/>
    <xf numFmtId="0" fontId="30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9" fontId="46" fillId="0" borderId="0" applyFont="0" applyFill="0" applyBorder="0" applyAlignment="0" applyProtection="0"/>
    <xf numFmtId="9" fontId="30" fillId="0" borderId="0" applyFont="0" applyFill="0" applyBorder="0" applyAlignment="0" applyProtection="0"/>
    <xf numFmtId="165" fontId="30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73" fontId="30" fillId="0" borderId="0" applyFont="0" applyFill="0" applyBorder="0" applyAlignment="0" applyProtection="0"/>
    <xf numFmtId="0" fontId="28" fillId="0" borderId="0"/>
    <xf numFmtId="0" fontId="27" fillId="0" borderId="0"/>
    <xf numFmtId="0" fontId="27" fillId="0" borderId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3" fillId="0" borderId="0"/>
    <xf numFmtId="44" fontId="23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1" fillId="0" borderId="0"/>
    <xf numFmtId="165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7" fillId="0" borderId="0"/>
    <xf numFmtId="0" fontId="15" fillId="0" borderId="0"/>
    <xf numFmtId="43" fontId="15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2" fillId="0" borderId="0"/>
    <xf numFmtId="43" fontId="12" fillId="0" borderId="0" applyFont="0" applyFill="0" applyBorder="0" applyAlignment="0" applyProtection="0"/>
    <xf numFmtId="0" fontId="10" fillId="0" borderId="0"/>
    <xf numFmtId="0" fontId="9" fillId="0" borderId="0"/>
    <xf numFmtId="0" fontId="4" fillId="0" borderId="0"/>
    <xf numFmtId="43" fontId="4" fillId="0" borderId="0" applyFont="0" applyFill="0" applyBorder="0" applyAlignment="0" applyProtection="0"/>
  </cellStyleXfs>
  <cellXfs count="362">
    <xf numFmtId="0" fontId="0" fillId="0" borderId="0" xfId="0"/>
    <xf numFmtId="0" fontId="34" fillId="0" borderId="0" xfId="0" applyFont="1"/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5" fontId="0" fillId="0" borderId="0" xfId="2" applyFont="1" applyAlignment="1">
      <alignment vertical="center"/>
    </xf>
    <xf numFmtId="0" fontId="33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165" fontId="31" fillId="2" borderId="4" xfId="2" applyFont="1" applyFill="1" applyBorder="1" applyAlignment="1">
      <alignment horizontal="center" vertical="center"/>
    </xf>
    <xf numFmtId="165" fontId="31" fillId="2" borderId="4" xfId="2" applyFont="1" applyFill="1" applyBorder="1" applyAlignment="1">
      <alignment vertical="center"/>
    </xf>
    <xf numFmtId="165" fontId="31" fillId="0" borderId="6" xfId="2" applyFont="1" applyBorder="1" applyAlignment="1">
      <alignment vertical="center"/>
    </xf>
    <xf numFmtId="165" fontId="31" fillId="0" borderId="7" xfId="2" applyFont="1" applyBorder="1" applyAlignment="1">
      <alignment vertical="center"/>
    </xf>
    <xf numFmtId="165" fontId="31" fillId="0" borderId="0" xfId="2" applyFont="1" applyFill="1" applyBorder="1" applyAlignment="1">
      <alignment horizontal="center" vertical="center"/>
    </xf>
    <xf numFmtId="165" fontId="31" fillId="0" borderId="0" xfId="2" applyFont="1" applyBorder="1" applyAlignment="1">
      <alignment vertical="center"/>
    </xf>
    <xf numFmtId="165" fontId="33" fillId="0" borderId="0" xfId="2" applyFont="1" applyAlignment="1">
      <alignment vertical="center"/>
    </xf>
    <xf numFmtId="165" fontId="32" fillId="0" borderId="0" xfId="2" applyFont="1" applyAlignment="1">
      <alignment vertical="center"/>
    </xf>
    <xf numFmtId="165" fontId="0" fillId="0" borderId="11" xfId="2" applyFont="1" applyBorder="1" applyAlignment="1">
      <alignment vertical="center"/>
    </xf>
    <xf numFmtId="165" fontId="31" fillId="0" borderId="12" xfId="2" applyFont="1" applyBorder="1" applyAlignment="1">
      <alignment horizontal="center" vertical="center"/>
    </xf>
    <xf numFmtId="165" fontId="31" fillId="0" borderId="5" xfId="2" applyFont="1" applyBorder="1" applyAlignment="1">
      <alignment horizontal="left" vertical="center"/>
    </xf>
    <xf numFmtId="165" fontId="31" fillId="0" borderId="0" xfId="2" applyFont="1" applyAlignment="1">
      <alignment vertical="center"/>
    </xf>
    <xf numFmtId="165" fontId="36" fillId="2" borderId="16" xfId="2" applyFont="1" applyFill="1" applyBorder="1" applyAlignment="1">
      <alignment horizontal="center" vertical="center"/>
    </xf>
    <xf numFmtId="165" fontId="36" fillId="2" borderId="17" xfId="2" applyFont="1" applyFill="1" applyBorder="1" applyAlignment="1">
      <alignment horizontal="center" vertical="center"/>
    </xf>
    <xf numFmtId="165" fontId="31" fillId="0" borderId="18" xfId="2" applyFont="1" applyBorder="1" applyAlignment="1">
      <alignment horizontal="center" vertical="center"/>
    </xf>
    <xf numFmtId="0" fontId="31" fillId="0" borderId="0" xfId="0" applyFont="1"/>
    <xf numFmtId="165" fontId="31" fillId="0" borderId="33" xfId="2" applyFont="1" applyBorder="1" applyAlignment="1">
      <alignment vertical="center"/>
    </xf>
    <xf numFmtId="0" fontId="0" fillId="0" borderId="0" xfId="0" applyAlignment="1">
      <alignment horizontal="center"/>
    </xf>
    <xf numFmtId="165" fontId="31" fillId="0" borderId="9" xfId="2" applyFont="1" applyBorder="1" applyAlignment="1">
      <alignment vertical="center"/>
    </xf>
    <xf numFmtId="10" fontId="31" fillId="0" borderId="14" xfId="1" applyNumberFormat="1" applyFont="1" applyBorder="1" applyAlignment="1">
      <alignment vertical="center"/>
    </xf>
    <xf numFmtId="165" fontId="31" fillId="0" borderId="13" xfId="2" applyFont="1" applyBorder="1" applyAlignment="1">
      <alignment horizontal="left" vertical="center"/>
    </xf>
    <xf numFmtId="4" fontId="34" fillId="0" borderId="0" xfId="0" applyNumberFormat="1" applyFont="1" applyAlignment="1">
      <alignment vertical="center"/>
    </xf>
    <xf numFmtId="9" fontId="31" fillId="0" borderId="17" xfId="1" applyFont="1" applyBorder="1" applyAlignment="1">
      <alignment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165" fontId="0" fillId="0" borderId="0" xfId="2" applyFont="1" applyFill="1" applyBorder="1" applyAlignment="1">
      <alignment vertical="center"/>
    </xf>
    <xf numFmtId="165" fontId="0" fillId="0" borderId="37" xfId="2" applyFont="1" applyFill="1" applyBorder="1" applyAlignment="1">
      <alignment vertical="center"/>
    </xf>
    <xf numFmtId="0" fontId="33" fillId="0" borderId="22" xfId="0" applyFont="1" applyBorder="1"/>
    <xf numFmtId="0" fontId="33" fillId="0" borderId="36" xfId="0" applyFont="1" applyBorder="1"/>
    <xf numFmtId="0" fontId="35" fillId="0" borderId="36" xfId="0" applyFont="1" applyBorder="1" applyAlignment="1">
      <alignment horizontal="left" vertical="center"/>
    </xf>
    <xf numFmtId="9" fontId="33" fillId="0" borderId="22" xfId="1" applyFont="1" applyBorder="1"/>
    <xf numFmtId="9" fontId="33" fillId="0" borderId="1" xfId="1" applyFont="1" applyBorder="1" applyAlignment="1">
      <alignment horizontal="center"/>
    </xf>
    <xf numFmtId="9" fontId="33" fillId="0" borderId="19" xfId="1" applyFont="1" applyBorder="1"/>
    <xf numFmtId="0" fontId="33" fillId="0" borderId="20" xfId="0" applyFont="1" applyBorder="1" applyAlignment="1">
      <alignment horizontal="left" vertical="center"/>
    </xf>
    <xf numFmtId="0" fontId="33" fillId="0" borderId="21" xfId="0" applyFont="1" applyBorder="1" applyAlignment="1">
      <alignment horizontal="center" vertical="center"/>
    </xf>
    <xf numFmtId="10" fontId="33" fillId="3" borderId="12" xfId="0" applyNumberFormat="1" applyFont="1" applyFill="1" applyBorder="1" applyAlignment="1">
      <alignment horizontal="center" vertical="center"/>
    </xf>
    <xf numFmtId="10" fontId="33" fillId="0" borderId="19" xfId="1" applyNumberFormat="1" applyFont="1" applyBorder="1"/>
    <xf numFmtId="0" fontId="33" fillId="0" borderId="22" xfId="0" applyFont="1" applyBorder="1" applyAlignment="1">
      <alignment horizontal="left" vertical="center"/>
    </xf>
    <xf numFmtId="0" fontId="33" fillId="0" borderId="1" xfId="0" applyFont="1" applyBorder="1" applyAlignment="1">
      <alignment horizontal="center" vertical="center"/>
    </xf>
    <xf numFmtId="10" fontId="33" fillId="3" borderId="19" xfId="0" applyNumberFormat="1" applyFont="1" applyFill="1" applyBorder="1" applyAlignment="1">
      <alignment horizontal="center" vertical="center"/>
    </xf>
    <xf numFmtId="10" fontId="33" fillId="0" borderId="19" xfId="0" applyNumberFormat="1" applyFont="1" applyBorder="1" applyAlignment="1">
      <alignment horizontal="center" vertical="center"/>
    </xf>
    <xf numFmtId="10" fontId="33" fillId="3" borderId="1" xfId="1" applyNumberFormat="1" applyFont="1" applyFill="1" applyBorder="1" applyAlignment="1">
      <alignment horizontal="center"/>
    </xf>
    <xf numFmtId="0" fontId="33" fillId="3" borderId="1" xfId="0" applyFont="1" applyFill="1" applyBorder="1" applyAlignment="1">
      <alignment horizontal="center"/>
    </xf>
    <xf numFmtId="0" fontId="33" fillId="0" borderId="19" xfId="0" applyFont="1" applyBorder="1"/>
    <xf numFmtId="0" fontId="33" fillId="0" borderId="23" xfId="0" applyFont="1" applyBorder="1" applyAlignment="1">
      <alignment horizontal="left" vertical="center"/>
    </xf>
    <xf numFmtId="10" fontId="33" fillId="3" borderId="35" xfId="0" applyNumberFormat="1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/>
    </xf>
    <xf numFmtId="0" fontId="33" fillId="0" borderId="24" xfId="0" applyFont="1" applyBorder="1" applyAlignment="1">
      <alignment vertical="center"/>
    </xf>
    <xf numFmtId="0" fontId="33" fillId="0" borderId="25" xfId="0" applyFont="1" applyBorder="1" applyAlignment="1">
      <alignment vertical="center"/>
    </xf>
    <xf numFmtId="10" fontId="33" fillId="0" borderId="26" xfId="0" applyNumberFormat="1" applyFont="1" applyBorder="1" applyAlignment="1">
      <alignment vertical="center"/>
    </xf>
    <xf numFmtId="0" fontId="33" fillId="0" borderId="27" xfId="0" applyFont="1" applyBorder="1" applyAlignment="1">
      <alignment horizontal="left" vertical="center"/>
    </xf>
    <xf numFmtId="0" fontId="33" fillId="0" borderId="28" xfId="0" applyFont="1" applyBorder="1" applyAlignment="1">
      <alignment horizontal="left" vertical="center"/>
    </xf>
    <xf numFmtId="0" fontId="33" fillId="0" borderId="29" xfId="0" applyFont="1" applyBorder="1" applyAlignment="1">
      <alignment vertical="center"/>
    </xf>
    <xf numFmtId="0" fontId="35" fillId="4" borderId="5" xfId="0" applyFont="1" applyFill="1" applyBorder="1" applyAlignment="1">
      <alignment vertical="center" wrapText="1"/>
    </xf>
    <xf numFmtId="0" fontId="33" fillId="4" borderId="6" xfId="0" applyFont="1" applyFill="1" applyBorder="1" applyAlignment="1">
      <alignment vertical="center"/>
    </xf>
    <xf numFmtId="10" fontId="35" fillId="4" borderId="7" xfId="0" applyNumberFormat="1" applyFont="1" applyFill="1" applyBorder="1" applyAlignment="1">
      <alignment horizontal="center" vertical="center" wrapText="1"/>
    </xf>
    <xf numFmtId="10" fontId="33" fillId="0" borderId="22" xfId="1" applyNumberFormat="1" applyFont="1" applyBorder="1" applyAlignment="1">
      <alignment horizontal="right"/>
    </xf>
    <xf numFmtId="10" fontId="33" fillId="0" borderId="1" xfId="1" applyNumberFormat="1" applyFont="1" applyBorder="1" applyAlignment="1">
      <alignment horizontal="right"/>
    </xf>
    <xf numFmtId="10" fontId="33" fillId="0" borderId="19" xfId="1" applyNumberFormat="1" applyFont="1" applyBorder="1" applyAlignment="1">
      <alignment horizontal="right"/>
    </xf>
    <xf numFmtId="10" fontId="33" fillId="0" borderId="23" xfId="1" applyNumberFormat="1" applyFont="1" applyBorder="1" applyAlignment="1">
      <alignment horizontal="right"/>
    </xf>
    <xf numFmtId="10" fontId="33" fillId="0" borderId="34" xfId="1" applyNumberFormat="1" applyFont="1" applyBorder="1" applyAlignment="1">
      <alignment horizontal="right"/>
    </xf>
    <xf numFmtId="10" fontId="33" fillId="0" borderId="35" xfId="1" applyNumberFormat="1" applyFont="1" applyBorder="1" applyAlignment="1">
      <alignment horizontal="right"/>
    </xf>
    <xf numFmtId="0" fontId="34" fillId="0" borderId="48" xfId="0" applyFont="1" applyBorder="1"/>
    <xf numFmtId="0" fontId="41" fillId="0" borderId="48" xfId="0" applyFont="1" applyBorder="1" applyAlignment="1">
      <alignment horizontal="justify"/>
    </xf>
    <xf numFmtId="0" fontId="41" fillId="0" borderId="49" xfId="0" applyFont="1" applyBorder="1" applyAlignment="1">
      <alignment horizontal="justify"/>
    </xf>
    <xf numFmtId="0" fontId="40" fillId="7" borderId="47" xfId="0" applyFont="1" applyFill="1" applyBorder="1" applyAlignment="1">
      <alignment horizontal="center"/>
    </xf>
    <xf numFmtId="165" fontId="31" fillId="0" borderId="11" xfId="2" applyFont="1" applyBorder="1" applyAlignment="1">
      <alignment vertical="center"/>
    </xf>
    <xf numFmtId="0" fontId="32" fillId="0" borderId="36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37" xfId="0" applyFont="1" applyBorder="1" applyAlignment="1">
      <alignment horizontal="center" vertical="center"/>
    </xf>
    <xf numFmtId="0" fontId="30" fillId="0" borderId="0" xfId="0" applyFont="1"/>
    <xf numFmtId="0" fontId="33" fillId="0" borderId="22" xfId="0" applyFont="1" applyBorder="1" applyAlignment="1">
      <alignment horizontal="right"/>
    </xf>
    <xf numFmtId="4" fontId="45" fillId="0" borderId="0" xfId="0" applyNumberFormat="1" applyFont="1" applyAlignment="1">
      <alignment vertical="center"/>
    </xf>
    <xf numFmtId="165" fontId="30" fillId="3" borderId="2" xfId="2" applyFont="1" applyFill="1" applyBorder="1" applyAlignment="1">
      <alignment horizontal="center" vertical="center"/>
    </xf>
    <xf numFmtId="0" fontId="47" fillId="0" borderId="0" xfId="24" applyFont="1"/>
    <xf numFmtId="0" fontId="28" fillId="0" borderId="0" xfId="24"/>
    <xf numFmtId="0" fontId="47" fillId="0" borderId="1" xfId="24" applyFont="1" applyBorder="1"/>
    <xf numFmtId="0" fontId="47" fillId="0" borderId="1" xfId="24" applyFont="1" applyBorder="1" applyAlignment="1">
      <alignment horizontal="center"/>
    </xf>
    <xf numFmtId="0" fontId="28" fillId="0" borderId="8" xfId="24" applyBorder="1"/>
    <xf numFmtId="0" fontId="28" fillId="0" borderId="9" xfId="24" applyBorder="1"/>
    <xf numFmtId="0" fontId="28" fillId="0" borderId="1" xfId="24" applyBorder="1"/>
    <xf numFmtId="0" fontId="47" fillId="0" borderId="8" xfId="24" applyFont="1" applyBorder="1"/>
    <xf numFmtId="0" fontId="47" fillId="0" borderId="9" xfId="24" applyFont="1" applyBorder="1"/>
    <xf numFmtId="10" fontId="47" fillId="0" borderId="1" xfId="1" applyNumberFormat="1" applyFont="1" applyBorder="1"/>
    <xf numFmtId="165" fontId="28" fillId="0" borderId="1" xfId="2" applyFont="1" applyBorder="1"/>
    <xf numFmtId="165" fontId="47" fillId="0" borderId="1" xfId="2" applyFont="1" applyBorder="1"/>
    <xf numFmtId="4" fontId="32" fillId="0" borderId="0" xfId="0" applyNumberFormat="1" applyFont="1" applyAlignment="1">
      <alignment vertical="center"/>
    </xf>
    <xf numFmtId="0" fontId="48" fillId="0" borderId="0" xfId="3" applyFont="1"/>
    <xf numFmtId="165" fontId="30" fillId="0" borderId="0" xfId="2" applyFont="1" applyAlignment="1">
      <alignment vertical="center"/>
    </xf>
    <xf numFmtId="165" fontId="30" fillId="0" borderId="1" xfId="2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165" fontId="0" fillId="0" borderId="1" xfId="2" applyFont="1" applyBorder="1"/>
    <xf numFmtId="0" fontId="31" fillId="0" borderId="1" xfId="0" applyFont="1" applyBorder="1"/>
    <xf numFmtId="0" fontId="30" fillId="0" borderId="1" xfId="0" applyFont="1" applyBorder="1"/>
    <xf numFmtId="165" fontId="0" fillId="0" borderId="0" xfId="0" applyNumberFormat="1"/>
    <xf numFmtId="165" fontId="31" fillId="0" borderId="0" xfId="0" applyNumberFormat="1" applyFont="1"/>
    <xf numFmtId="176" fontId="28" fillId="0" borderId="0" xfId="24" applyNumberFormat="1"/>
    <xf numFmtId="165" fontId="0" fillId="0" borderId="0" xfId="2" applyFont="1" applyFill="1"/>
    <xf numFmtId="0" fontId="16" fillId="0" borderId="8" xfId="24" applyFont="1" applyBorder="1"/>
    <xf numFmtId="2" fontId="28" fillId="0" borderId="1" xfId="24" applyNumberFormat="1" applyBorder="1"/>
    <xf numFmtId="2" fontId="28" fillId="0" borderId="0" xfId="24" applyNumberFormat="1"/>
    <xf numFmtId="169" fontId="47" fillId="0" borderId="1" xfId="24" applyNumberFormat="1" applyFont="1" applyBorder="1"/>
    <xf numFmtId="174" fontId="28" fillId="0" borderId="0" xfId="2" applyNumberFormat="1" applyFont="1"/>
    <xf numFmtId="10" fontId="47" fillId="0" borderId="0" xfId="1" applyNumberFormat="1" applyFont="1" applyBorder="1"/>
    <xf numFmtId="169" fontId="28" fillId="0" borderId="1" xfId="24" applyNumberFormat="1" applyBorder="1"/>
    <xf numFmtId="169" fontId="28" fillId="0" borderId="0" xfId="24" applyNumberFormat="1"/>
    <xf numFmtId="0" fontId="31" fillId="0" borderId="0" xfId="8" applyFont="1" applyAlignment="1">
      <alignment vertical="center"/>
    </xf>
    <xf numFmtId="0" fontId="30" fillId="0" borderId="0" xfId="8" applyAlignment="1">
      <alignment vertical="center"/>
    </xf>
    <xf numFmtId="4" fontId="30" fillId="0" borderId="0" xfId="8" applyNumberFormat="1" applyAlignment="1">
      <alignment vertical="center"/>
    </xf>
    <xf numFmtId="0" fontId="33" fillId="0" borderId="0" xfId="8" applyFont="1" applyAlignment="1">
      <alignment vertical="center"/>
    </xf>
    <xf numFmtId="0" fontId="30" fillId="0" borderId="36" xfId="8" applyBorder="1" applyAlignment="1">
      <alignment vertical="center"/>
    </xf>
    <xf numFmtId="168" fontId="31" fillId="0" borderId="1" xfId="8" applyNumberFormat="1" applyFont="1" applyBorder="1" applyAlignment="1">
      <alignment vertical="center"/>
    </xf>
    <xf numFmtId="4" fontId="31" fillId="0" borderId="9" xfId="8" applyNumberFormat="1" applyFont="1" applyBorder="1" applyAlignment="1">
      <alignment horizontal="centerContinuous" vertical="center"/>
    </xf>
    <xf numFmtId="168" fontId="31" fillId="0" borderId="34" xfId="8" applyNumberFormat="1" applyFont="1" applyBorder="1" applyAlignment="1">
      <alignment vertical="center"/>
    </xf>
    <xf numFmtId="4" fontId="31" fillId="0" borderId="6" xfId="8" applyNumberFormat="1" applyFont="1" applyBorder="1" applyAlignment="1">
      <alignment horizontal="centerContinuous" vertical="center"/>
    </xf>
    <xf numFmtId="164" fontId="31" fillId="0" borderId="32" xfId="8" applyNumberFormat="1" applyFont="1" applyBorder="1" applyAlignment="1">
      <alignment vertical="center"/>
    </xf>
    <xf numFmtId="0" fontId="36" fillId="2" borderId="15" xfId="8" applyFont="1" applyFill="1" applyBorder="1" applyAlignment="1">
      <alignment horizontal="center" vertical="center"/>
    </xf>
    <xf numFmtId="0" fontId="36" fillId="2" borderId="16" xfId="8" applyFont="1" applyFill="1" applyBorder="1" applyAlignment="1">
      <alignment horizontal="center" vertical="center"/>
    </xf>
    <xf numFmtId="0" fontId="30" fillId="0" borderId="2" xfId="8" applyBorder="1" applyAlignment="1">
      <alignment vertical="center"/>
    </xf>
    <xf numFmtId="0" fontId="30" fillId="0" borderId="2" xfId="8" applyBorder="1" applyAlignment="1">
      <alignment horizontal="center" vertical="center"/>
    </xf>
    <xf numFmtId="165" fontId="30" fillId="0" borderId="2" xfId="2" applyFont="1" applyBorder="1" applyAlignment="1">
      <alignment horizontal="center" vertical="center"/>
    </xf>
    <xf numFmtId="0" fontId="30" fillId="0" borderId="1" xfId="8" applyBorder="1" applyAlignment="1">
      <alignment vertical="center"/>
    </xf>
    <xf numFmtId="0" fontId="30" fillId="0" borderId="1" xfId="8" applyBorder="1" applyAlignment="1">
      <alignment horizontal="center" vertical="center"/>
    </xf>
    <xf numFmtId="165" fontId="30" fillId="5" borderId="1" xfId="2" applyFont="1" applyFill="1" applyBorder="1" applyAlignment="1">
      <alignment horizontal="center" vertical="center"/>
    </xf>
    <xf numFmtId="0" fontId="31" fillId="0" borderId="5" xfId="8" applyFont="1" applyBorder="1" applyAlignment="1">
      <alignment vertical="center"/>
    </xf>
    <xf numFmtId="0" fontId="31" fillId="0" borderId="6" xfId="8" applyFont="1" applyBorder="1" applyAlignment="1">
      <alignment vertical="center"/>
    </xf>
    <xf numFmtId="0" fontId="30" fillId="0" borderId="6" xfId="8" applyBorder="1" applyAlignment="1">
      <alignment vertical="center"/>
    </xf>
    <xf numFmtId="165" fontId="30" fillId="0" borderId="6" xfId="2" applyFont="1" applyBorder="1" applyAlignment="1">
      <alignment vertical="center"/>
    </xf>
    <xf numFmtId="165" fontId="30" fillId="0" borderId="7" xfId="2" applyFont="1" applyBorder="1" applyAlignment="1">
      <alignment vertical="center"/>
    </xf>
    <xf numFmtId="165" fontId="30" fillId="0" borderId="0" xfId="2" applyFont="1" applyFill="1" applyAlignment="1">
      <alignment vertical="center"/>
    </xf>
    <xf numFmtId="165" fontId="30" fillId="0" borderId="0" xfId="2" applyFont="1" applyFill="1" applyBorder="1" applyAlignment="1">
      <alignment horizontal="center" vertical="center"/>
    </xf>
    <xf numFmtId="0" fontId="31" fillId="0" borderId="24" xfId="8" applyFont="1" applyBorder="1" applyAlignment="1">
      <alignment vertical="center"/>
    </xf>
    <xf numFmtId="0" fontId="30" fillId="0" borderId="25" xfId="8" applyBorder="1" applyAlignment="1">
      <alignment vertical="center"/>
    </xf>
    <xf numFmtId="165" fontId="30" fillId="0" borderId="25" xfId="2" applyFont="1" applyBorder="1" applyAlignment="1">
      <alignment vertical="center"/>
    </xf>
    <xf numFmtId="165" fontId="30" fillId="0" borderId="26" xfId="2" applyFont="1" applyBorder="1" applyAlignment="1">
      <alignment vertical="center"/>
    </xf>
    <xf numFmtId="165" fontId="31" fillId="2" borderId="47" xfId="2" applyFont="1" applyFill="1" applyBorder="1" applyAlignment="1">
      <alignment vertical="center"/>
    </xf>
    <xf numFmtId="0" fontId="32" fillId="0" borderId="8" xfId="8" applyFont="1" applyBorder="1" applyAlignment="1">
      <alignment vertical="center"/>
    </xf>
    <xf numFmtId="0" fontId="32" fillId="0" borderId="9" xfId="8" applyFont="1" applyBorder="1" applyAlignment="1">
      <alignment vertical="center"/>
    </xf>
    <xf numFmtId="43" fontId="32" fillId="0" borderId="9" xfId="8" applyNumberFormat="1" applyFont="1" applyBorder="1" applyAlignment="1">
      <alignment vertical="center"/>
    </xf>
    <xf numFmtId="165" fontId="32" fillId="0" borderId="9" xfId="2" applyFont="1" applyFill="1" applyBorder="1" applyAlignment="1">
      <alignment vertical="center"/>
    </xf>
    <xf numFmtId="165" fontId="32" fillId="0" borderId="10" xfId="2" applyFont="1" applyBorder="1" applyAlignment="1">
      <alignment vertical="center"/>
    </xf>
    <xf numFmtId="0" fontId="47" fillId="0" borderId="0" xfId="50" applyFont="1"/>
    <xf numFmtId="0" fontId="14" fillId="0" borderId="8" xfId="24" applyFont="1" applyBorder="1"/>
    <xf numFmtId="0" fontId="13" fillId="0" borderId="0" xfId="57"/>
    <xf numFmtId="0" fontId="47" fillId="0" borderId="15" xfId="57" applyFont="1" applyBorder="1" applyAlignment="1">
      <alignment horizontal="center" vertical="center"/>
    </xf>
    <xf numFmtId="0" fontId="47" fillId="0" borderId="16" xfId="57" applyFont="1" applyBorder="1" applyAlignment="1">
      <alignment horizontal="center" vertical="center"/>
    </xf>
    <xf numFmtId="0" fontId="13" fillId="0" borderId="21" xfId="57" applyBorder="1" applyAlignment="1">
      <alignment horizontal="center"/>
    </xf>
    <xf numFmtId="0" fontId="13" fillId="0" borderId="21" xfId="57" applyBorder="1"/>
    <xf numFmtId="20" fontId="13" fillId="0" borderId="21" xfId="57" applyNumberFormat="1" applyBorder="1"/>
    <xf numFmtId="2" fontId="47" fillId="0" borderId="12" xfId="57" applyNumberFormat="1" applyFont="1" applyBorder="1" applyAlignment="1">
      <alignment horizontal="right"/>
    </xf>
    <xf numFmtId="0" fontId="13" fillId="0" borderId="34" xfId="57" applyBorder="1" applyAlignment="1">
      <alignment horizontal="center"/>
    </xf>
    <xf numFmtId="0" fontId="13" fillId="0" borderId="34" xfId="57" applyBorder="1"/>
    <xf numFmtId="20" fontId="13" fillId="0" borderId="34" xfId="57" applyNumberFormat="1" applyBorder="1"/>
    <xf numFmtId="2" fontId="47" fillId="0" borderId="35" xfId="57" applyNumberFormat="1" applyFont="1" applyBorder="1" applyAlignment="1">
      <alignment horizontal="right"/>
    </xf>
    <xf numFmtId="0" fontId="13" fillId="0" borderId="1" xfId="57" applyBorder="1" applyAlignment="1">
      <alignment horizontal="center"/>
    </xf>
    <xf numFmtId="0" fontId="13" fillId="0" borderId="1" xfId="57" applyBorder="1"/>
    <xf numFmtId="20" fontId="13" fillId="0" borderId="1" xfId="57" applyNumberFormat="1" applyBorder="1"/>
    <xf numFmtId="2" fontId="47" fillId="0" borderId="19" xfId="57" applyNumberFormat="1" applyFont="1" applyBorder="1" applyAlignment="1">
      <alignment horizontal="right"/>
    </xf>
    <xf numFmtId="2" fontId="13" fillId="0" borderId="0" xfId="57" applyNumberFormat="1"/>
    <xf numFmtId="0" fontId="47" fillId="0" borderId="16" xfId="57" applyFont="1" applyBorder="1" applyAlignment="1">
      <alignment horizontal="center" vertical="center" wrapText="1"/>
    </xf>
    <xf numFmtId="0" fontId="47" fillId="0" borderId="17" xfId="57" applyFont="1" applyBorder="1" applyAlignment="1">
      <alignment horizontal="center" vertical="center" wrapText="1"/>
    </xf>
    <xf numFmtId="169" fontId="13" fillId="0" borderId="0" xfId="57" applyNumberFormat="1"/>
    <xf numFmtId="2" fontId="47" fillId="0" borderId="1" xfId="24" applyNumberFormat="1" applyFont="1" applyBorder="1"/>
    <xf numFmtId="0" fontId="13" fillId="0" borderId="8" xfId="24" applyFont="1" applyBorder="1"/>
    <xf numFmtId="0" fontId="12" fillId="0" borderId="0" xfId="58"/>
    <xf numFmtId="4" fontId="12" fillId="0" borderId="0" xfId="58" applyNumberFormat="1"/>
    <xf numFmtId="0" fontId="12" fillId="0" borderId="0" xfId="58" applyAlignment="1">
      <alignment wrapText="1"/>
    </xf>
    <xf numFmtId="0" fontId="12" fillId="0" borderId="0" xfId="58" applyAlignment="1">
      <alignment horizontal="center"/>
    </xf>
    <xf numFmtId="2" fontId="12" fillId="0" borderId="0" xfId="58" applyNumberFormat="1" applyAlignment="1">
      <alignment horizontal="center"/>
    </xf>
    <xf numFmtId="0" fontId="12" fillId="0" borderId="22" xfId="58" applyBorder="1" applyAlignment="1">
      <alignment horizontal="center"/>
    </xf>
    <xf numFmtId="0" fontId="12" fillId="0" borderId="1" xfId="58" applyBorder="1" applyAlignment="1">
      <alignment horizontal="center"/>
    </xf>
    <xf numFmtId="0" fontId="12" fillId="0" borderId="19" xfId="58" applyBorder="1" applyAlignment="1">
      <alignment horizontal="center"/>
    </xf>
    <xf numFmtId="4" fontId="0" fillId="0" borderId="1" xfId="59" applyNumberFormat="1" applyFont="1" applyFill="1" applyBorder="1" applyAlignment="1">
      <alignment horizontal="right"/>
    </xf>
    <xf numFmtId="0" fontId="12" fillId="0" borderId="19" xfId="58" applyBorder="1"/>
    <xf numFmtId="49" fontId="12" fillId="0" borderId="1" xfId="58" applyNumberFormat="1" applyBorder="1" applyAlignment="1">
      <alignment horizontal="center"/>
    </xf>
    <xf numFmtId="4" fontId="0" fillId="0" borderId="1" xfId="59" applyNumberFormat="1" applyFont="1" applyBorder="1" applyAlignment="1">
      <alignment horizontal="right"/>
    </xf>
    <xf numFmtId="4" fontId="12" fillId="0" borderId="1" xfId="58" applyNumberFormat="1" applyBorder="1"/>
    <xf numFmtId="2" fontId="12" fillId="0" borderId="22" xfId="58" applyNumberFormat="1" applyBorder="1" applyAlignment="1">
      <alignment horizontal="center"/>
    </xf>
    <xf numFmtId="0" fontId="12" fillId="0" borderId="8" xfId="58" applyBorder="1" applyAlignment="1">
      <alignment horizontal="center" vertical="center"/>
    </xf>
    <xf numFmtId="1" fontId="12" fillId="0" borderId="8" xfId="58" applyNumberFormat="1" applyBorder="1" applyAlignment="1">
      <alignment horizontal="right" vertical="center"/>
    </xf>
    <xf numFmtId="0" fontId="12" fillId="0" borderId="10" xfId="58" applyBorder="1" applyAlignment="1">
      <alignment horizontal="left" vertical="center"/>
    </xf>
    <xf numFmtId="2" fontId="12" fillId="0" borderId="10" xfId="58" applyNumberFormat="1" applyBorder="1"/>
    <xf numFmtId="2" fontId="12" fillId="0" borderId="19" xfId="58" applyNumberFormat="1" applyBorder="1"/>
    <xf numFmtId="2" fontId="12" fillId="0" borderId="0" xfId="58" applyNumberFormat="1"/>
    <xf numFmtId="4" fontId="47" fillId="0" borderId="1" xfId="59" applyNumberFormat="1" applyFont="1" applyBorder="1"/>
    <xf numFmtId="0" fontId="47" fillId="0" borderId="19" xfId="58" applyFont="1" applyBorder="1"/>
    <xf numFmtId="175" fontId="47" fillId="0" borderId="0" xfId="58" applyNumberFormat="1" applyFont="1" applyAlignment="1">
      <alignment horizontal="center"/>
    </xf>
    <xf numFmtId="2" fontId="47" fillId="0" borderId="34" xfId="59" applyNumberFormat="1" applyFont="1" applyBorder="1"/>
    <xf numFmtId="0" fontId="47" fillId="0" borderId="35" xfId="58" applyFont="1" applyBorder="1"/>
    <xf numFmtId="2" fontId="47" fillId="0" borderId="1" xfId="58" applyNumberFormat="1" applyFont="1" applyBorder="1"/>
    <xf numFmtId="2" fontId="47" fillId="0" borderId="19" xfId="58" applyNumberFormat="1" applyFont="1" applyBorder="1"/>
    <xf numFmtId="4" fontId="47" fillId="0" borderId="34" xfId="58" applyNumberFormat="1" applyFont="1" applyBorder="1"/>
    <xf numFmtId="2" fontId="47" fillId="0" borderId="35" xfId="58" applyNumberFormat="1" applyFont="1" applyBorder="1"/>
    <xf numFmtId="0" fontId="12" fillId="0" borderId="38" xfId="58" applyBorder="1" applyAlignment="1">
      <alignment horizontal="center"/>
    </xf>
    <xf numFmtId="0" fontId="12" fillId="0" borderId="39" xfId="58" applyBorder="1" applyAlignment="1">
      <alignment horizontal="center"/>
    </xf>
    <xf numFmtId="0" fontId="12" fillId="0" borderId="51" xfId="58" applyBorder="1" applyAlignment="1">
      <alignment horizontal="center"/>
    </xf>
    <xf numFmtId="0" fontId="12" fillId="0" borderId="3" xfId="58" applyBorder="1" applyAlignment="1">
      <alignment horizontal="center"/>
    </xf>
    <xf numFmtId="4" fontId="0" fillId="0" borderId="3" xfId="59" applyNumberFormat="1" applyFont="1" applyBorder="1" applyAlignment="1">
      <alignment horizontal="right"/>
    </xf>
    <xf numFmtId="2" fontId="12" fillId="0" borderId="0" xfId="58" applyNumberFormat="1" applyAlignment="1">
      <alignment vertical="center" wrapText="1"/>
    </xf>
    <xf numFmtId="0" fontId="12" fillId="0" borderId="0" xfId="58" applyAlignment="1">
      <alignment vertical="center" wrapText="1"/>
    </xf>
    <xf numFmtId="176" fontId="12" fillId="0" borderId="0" xfId="58" applyNumberFormat="1" applyAlignment="1">
      <alignment vertical="center"/>
    </xf>
    <xf numFmtId="0" fontId="12" fillId="0" borderId="0" xfId="58" applyAlignment="1">
      <alignment vertical="center"/>
    </xf>
    <xf numFmtId="2" fontId="12" fillId="0" borderId="0" xfId="58" applyNumberFormat="1" applyAlignment="1">
      <alignment vertical="center"/>
    </xf>
    <xf numFmtId="4" fontId="0" fillId="0" borderId="0" xfId="59" applyNumberFormat="1" applyFont="1" applyBorder="1" applyAlignment="1">
      <alignment horizontal="right"/>
    </xf>
    <xf numFmtId="0" fontId="11" fillId="0" borderId="0" xfId="58" applyFont="1" applyAlignment="1">
      <alignment horizontal="center"/>
    </xf>
    <xf numFmtId="10" fontId="28" fillId="0" borderId="0" xfId="24" applyNumberFormat="1"/>
    <xf numFmtId="0" fontId="12" fillId="0" borderId="1" xfId="58" applyBorder="1" applyAlignment="1">
      <alignment horizontal="center" vertical="center" wrapText="1"/>
    </xf>
    <xf numFmtId="0" fontId="8" fillId="0" borderId="44" xfId="58" applyFont="1" applyBorder="1"/>
    <xf numFmtId="0" fontId="8" fillId="0" borderId="0" xfId="58" applyFont="1"/>
    <xf numFmtId="1" fontId="12" fillId="0" borderId="1" xfId="58" applyNumberFormat="1" applyBorder="1" applyAlignment="1">
      <alignment horizontal="right" vertical="center"/>
    </xf>
    <xf numFmtId="0" fontId="12" fillId="0" borderId="1" xfId="58" applyBorder="1" applyAlignment="1">
      <alignment horizontal="left" vertical="center"/>
    </xf>
    <xf numFmtId="2" fontId="12" fillId="0" borderId="1" xfId="58" applyNumberFormat="1" applyBorder="1"/>
    <xf numFmtId="176" fontId="12" fillId="0" borderId="1" xfId="58" applyNumberFormat="1" applyBorder="1" applyAlignment="1">
      <alignment vertical="center"/>
    </xf>
    <xf numFmtId="0" fontId="12" fillId="0" borderId="1" xfId="58" applyBorder="1" applyAlignment="1">
      <alignment vertical="center"/>
    </xf>
    <xf numFmtId="2" fontId="12" fillId="0" borderId="1" xfId="58" applyNumberFormat="1" applyBorder="1" applyAlignment="1">
      <alignment vertical="center"/>
    </xf>
    <xf numFmtId="2" fontId="12" fillId="0" borderId="22" xfId="58" applyNumberFormat="1" applyBorder="1" applyAlignment="1">
      <alignment horizontal="center" vertical="center" wrapText="1"/>
    </xf>
    <xf numFmtId="2" fontId="12" fillId="0" borderId="19" xfId="58" applyNumberFormat="1" applyBorder="1" applyAlignment="1">
      <alignment vertical="center"/>
    </xf>
    <xf numFmtId="0" fontId="7" fillId="0" borderId="0" xfId="50" applyFont="1"/>
    <xf numFmtId="3" fontId="15" fillId="0" borderId="0" xfId="50" applyNumberFormat="1"/>
    <xf numFmtId="0" fontId="6" fillId="0" borderId="0" xfId="24" applyFont="1"/>
    <xf numFmtId="0" fontId="28" fillId="3" borderId="0" xfId="24" applyFill="1"/>
    <xf numFmtId="0" fontId="5" fillId="0" borderId="0" xfId="24" applyFont="1"/>
    <xf numFmtId="0" fontId="48" fillId="0" borderId="0" xfId="62" applyFont="1"/>
    <xf numFmtId="0" fontId="4" fillId="0" borderId="0" xfId="62"/>
    <xf numFmtId="0" fontId="47" fillId="0" borderId="0" xfId="62" applyFont="1"/>
    <xf numFmtId="178" fontId="49" fillId="0" borderId="56" xfId="0" applyNumberFormat="1" applyFont="1" applyBorder="1" applyAlignment="1">
      <alignment horizontal="center"/>
    </xf>
    <xf numFmtId="0" fontId="49" fillId="0" borderId="56" xfId="0" applyFont="1" applyBorder="1" applyAlignment="1">
      <alignment horizontal="center"/>
    </xf>
    <xf numFmtId="165" fontId="44" fillId="0" borderId="56" xfId="2" applyFont="1" applyBorder="1" applyAlignment="1">
      <alignment horizontal="center"/>
    </xf>
    <xf numFmtId="0" fontId="49" fillId="8" borderId="57" xfId="0" applyFont="1" applyFill="1" applyBorder="1" applyAlignment="1">
      <alignment horizontal="center"/>
    </xf>
    <xf numFmtId="165" fontId="49" fillId="8" borderId="57" xfId="2" applyFont="1" applyFill="1" applyBorder="1" applyAlignment="1">
      <alignment horizontal="center"/>
    </xf>
    <xf numFmtId="0" fontId="4" fillId="0" borderId="1" xfId="62" applyBorder="1"/>
    <xf numFmtId="43" fontId="4" fillId="0" borderId="0" xfId="62" applyNumberFormat="1"/>
    <xf numFmtId="43" fontId="0" fillId="0" borderId="0" xfId="63" applyFont="1"/>
    <xf numFmtId="0" fontId="50" fillId="0" borderId="1" xfId="62" applyFont="1" applyBorder="1"/>
    <xf numFmtId="0" fontId="47" fillId="9" borderId="1" xfId="62" applyFont="1" applyFill="1" applyBorder="1"/>
    <xf numFmtId="165" fontId="49" fillId="8" borderId="1" xfId="2" applyFont="1" applyFill="1" applyBorder="1" applyAlignment="1">
      <alignment horizontal="center"/>
    </xf>
    <xf numFmtId="165" fontId="4" fillId="0" borderId="0" xfId="2" applyFont="1"/>
    <xf numFmtId="17" fontId="44" fillId="0" borderId="56" xfId="0" applyNumberFormat="1" applyFont="1" applyBorder="1" applyAlignment="1">
      <alignment horizontal="center"/>
    </xf>
    <xf numFmtId="3" fontId="4" fillId="0" borderId="0" xfId="62" applyNumberFormat="1"/>
    <xf numFmtId="43" fontId="47" fillId="0" borderId="1" xfId="62" applyNumberFormat="1" applyFont="1" applyBorder="1"/>
    <xf numFmtId="0" fontId="47" fillId="0" borderId="1" xfId="62" applyFont="1" applyBorder="1"/>
    <xf numFmtId="0" fontId="3" fillId="0" borderId="2" xfId="62" applyFont="1" applyBorder="1" applyAlignment="1">
      <alignment wrapText="1"/>
    </xf>
    <xf numFmtId="165" fontId="49" fillId="0" borderId="58" xfId="2" applyFont="1" applyBorder="1" applyAlignment="1">
      <alignment horizontal="center"/>
    </xf>
    <xf numFmtId="43" fontId="0" fillId="0" borderId="0" xfId="0" applyNumberFormat="1"/>
    <xf numFmtId="0" fontId="1" fillId="0" borderId="1" xfId="58" applyFont="1" applyBorder="1" applyAlignment="1">
      <alignment horizontal="center" vertical="center"/>
    </xf>
    <xf numFmtId="43" fontId="30" fillId="10" borderId="1" xfId="8" applyNumberFormat="1" applyFill="1" applyBorder="1" applyAlignment="1">
      <alignment vertical="center"/>
    </xf>
    <xf numFmtId="165" fontId="32" fillId="6" borderId="5" xfId="2" applyFont="1" applyFill="1" applyBorder="1" applyAlignment="1">
      <alignment horizontal="center" vertical="center"/>
    </xf>
    <xf numFmtId="165" fontId="32" fillId="6" borderId="6" xfId="2" applyFont="1" applyFill="1" applyBorder="1" applyAlignment="1">
      <alignment horizontal="center" vertical="center"/>
    </xf>
    <xf numFmtId="165" fontId="32" fillId="6" borderId="7" xfId="2" applyFont="1" applyFill="1" applyBorder="1" applyAlignment="1">
      <alignment horizontal="center" vertical="center"/>
    </xf>
    <xf numFmtId="0" fontId="40" fillId="6" borderId="24" xfId="8" applyFont="1" applyFill="1" applyBorder="1" applyAlignment="1">
      <alignment horizontal="center" vertical="center"/>
    </xf>
    <xf numFmtId="0" fontId="40" fillId="6" borderId="25" xfId="8" applyFont="1" applyFill="1" applyBorder="1" applyAlignment="1">
      <alignment horizontal="center" vertical="center"/>
    </xf>
    <xf numFmtId="0" fontId="40" fillId="6" borderId="26" xfId="8" applyFont="1" applyFill="1" applyBorder="1" applyAlignment="1">
      <alignment horizontal="center" vertical="center"/>
    </xf>
    <xf numFmtId="0" fontId="35" fillId="6" borderId="41" xfId="8" applyFont="1" applyFill="1" applyBorder="1" applyAlignment="1">
      <alignment horizontal="center" vertical="center"/>
    </xf>
    <xf numFmtId="0" fontId="35" fillId="6" borderId="40" xfId="8" applyFont="1" applyFill="1" applyBorder="1" applyAlignment="1">
      <alignment horizontal="center" vertical="center"/>
    </xf>
    <xf numFmtId="0" fontId="35" fillId="6" borderId="42" xfId="8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3" fillId="0" borderId="34" xfId="0" applyFont="1" applyBorder="1" applyAlignment="1">
      <alignment horizontal="center" vertical="center"/>
    </xf>
    <xf numFmtId="9" fontId="35" fillId="0" borderId="20" xfId="1" applyFont="1" applyBorder="1" applyAlignment="1">
      <alignment horizontal="center"/>
    </xf>
    <xf numFmtId="9" fontId="35" fillId="0" borderId="21" xfId="1" applyFont="1" applyBorder="1" applyAlignment="1">
      <alignment horizontal="center"/>
    </xf>
    <xf numFmtId="9" fontId="35" fillId="0" borderId="12" xfId="1" applyFont="1" applyBorder="1" applyAlignment="1">
      <alignment horizontal="center"/>
    </xf>
    <xf numFmtId="0" fontId="32" fillId="7" borderId="24" xfId="0" applyFont="1" applyFill="1" applyBorder="1" applyAlignment="1">
      <alignment horizontal="center" vertical="center"/>
    </xf>
    <xf numFmtId="0" fontId="32" fillId="7" borderId="25" xfId="0" applyFont="1" applyFill="1" applyBorder="1" applyAlignment="1">
      <alignment horizontal="center" vertical="center"/>
    </xf>
    <xf numFmtId="0" fontId="32" fillId="7" borderId="26" xfId="0" applyFont="1" applyFill="1" applyBorder="1" applyAlignment="1">
      <alignment horizontal="center" vertical="center"/>
    </xf>
    <xf numFmtId="0" fontId="47" fillId="0" borderId="20" xfId="57" applyFont="1" applyBorder="1" applyAlignment="1">
      <alignment horizontal="center" vertical="center"/>
    </xf>
    <xf numFmtId="0" fontId="47" fillId="0" borderId="23" xfId="57" applyFont="1" applyBorder="1" applyAlignment="1">
      <alignment horizontal="center" vertical="center"/>
    </xf>
    <xf numFmtId="0" fontId="13" fillId="0" borderId="31" xfId="57" applyBorder="1" applyAlignment="1">
      <alignment horizontal="left" vertical="center"/>
    </xf>
    <xf numFmtId="0" fontId="13" fillId="0" borderId="53" xfId="57" applyBorder="1" applyAlignment="1">
      <alignment horizontal="left" vertical="center"/>
    </xf>
    <xf numFmtId="0" fontId="13" fillId="0" borderId="31" xfId="57" applyBorder="1" applyAlignment="1">
      <alignment horizontal="center" vertical="center" wrapText="1"/>
    </xf>
    <xf numFmtId="0" fontId="13" fillId="0" borderId="53" xfId="57" applyBorder="1" applyAlignment="1">
      <alignment horizontal="center" vertical="center" wrapText="1"/>
    </xf>
    <xf numFmtId="0" fontId="47" fillId="0" borderId="30" xfId="57" applyFont="1" applyBorder="1" applyAlignment="1">
      <alignment horizontal="center" vertical="center"/>
    </xf>
    <xf numFmtId="0" fontId="47" fillId="0" borderId="54" xfId="57" applyFont="1" applyBorder="1" applyAlignment="1">
      <alignment horizontal="center" vertical="center"/>
    </xf>
    <xf numFmtId="0" fontId="47" fillId="0" borderId="52" xfId="57" applyFont="1" applyBorder="1" applyAlignment="1">
      <alignment horizontal="center" vertical="center"/>
    </xf>
    <xf numFmtId="0" fontId="13" fillId="0" borderId="55" xfId="57" applyBorder="1" applyAlignment="1">
      <alignment horizontal="left" vertical="center"/>
    </xf>
    <xf numFmtId="0" fontId="13" fillId="0" borderId="2" xfId="57" applyBorder="1" applyAlignment="1">
      <alignment horizontal="left" vertical="center"/>
    </xf>
    <xf numFmtId="0" fontId="13" fillId="0" borderId="3" xfId="57" applyBorder="1" applyAlignment="1">
      <alignment horizontal="left" vertical="center"/>
    </xf>
    <xf numFmtId="0" fontId="2" fillId="0" borderId="31" xfId="57" applyFont="1" applyBorder="1" applyAlignment="1">
      <alignment horizontal="left" vertical="center" wrapText="1"/>
    </xf>
    <xf numFmtId="0" fontId="13" fillId="0" borderId="53" xfId="57" applyBorder="1" applyAlignment="1">
      <alignment horizontal="left" vertical="center" wrapText="1"/>
    </xf>
    <xf numFmtId="0" fontId="2" fillId="0" borderId="31" xfId="57" applyFont="1" applyBorder="1" applyAlignment="1">
      <alignment horizontal="left" vertical="center"/>
    </xf>
    <xf numFmtId="0" fontId="13" fillId="0" borderId="31" xfId="57" applyBorder="1" applyAlignment="1">
      <alignment horizontal="left" vertical="center" wrapText="1"/>
    </xf>
    <xf numFmtId="0" fontId="12" fillId="0" borderId="24" xfId="58" applyBorder="1" applyAlignment="1">
      <alignment horizontal="center"/>
    </xf>
    <xf numFmtId="0" fontId="12" fillId="0" borderId="25" xfId="58" applyBorder="1" applyAlignment="1">
      <alignment horizontal="center"/>
    </xf>
    <xf numFmtId="0" fontId="12" fillId="0" borderId="26" xfId="58" applyBorder="1" applyAlignment="1">
      <alignment horizontal="center"/>
    </xf>
    <xf numFmtId="0" fontId="12" fillId="0" borderId="27" xfId="58" applyBorder="1" applyAlignment="1">
      <alignment horizontal="center"/>
    </xf>
    <xf numFmtId="0" fontId="12" fillId="0" borderId="28" xfId="58" applyBorder="1" applyAlignment="1">
      <alignment horizontal="center"/>
    </xf>
    <xf numFmtId="0" fontId="12" fillId="0" borderId="29" xfId="58" applyBorder="1" applyAlignment="1">
      <alignment horizontal="center"/>
    </xf>
    <xf numFmtId="0" fontId="47" fillId="0" borderId="15" xfId="58" applyFont="1" applyBorder="1" applyAlignment="1">
      <alignment horizontal="center"/>
    </xf>
    <xf numFmtId="0" fontId="47" fillId="0" borderId="16" xfId="58" applyFont="1" applyBorder="1" applyAlignment="1">
      <alignment horizontal="center"/>
    </xf>
    <xf numFmtId="0" fontId="47" fillId="0" borderId="17" xfId="58" applyFont="1" applyBorder="1" applyAlignment="1">
      <alignment horizontal="center"/>
    </xf>
    <xf numFmtId="0" fontId="12" fillId="0" borderId="20" xfId="58" applyBorder="1" applyAlignment="1">
      <alignment horizontal="center"/>
    </xf>
    <xf numFmtId="0" fontId="12" fillId="0" borderId="21" xfId="58" applyBorder="1" applyAlignment="1">
      <alignment horizontal="center"/>
    </xf>
    <xf numFmtId="0" fontId="12" fillId="0" borderId="12" xfId="58" applyBorder="1" applyAlignment="1">
      <alignment horizontal="center"/>
    </xf>
    <xf numFmtId="0" fontId="12" fillId="0" borderId="23" xfId="58" applyBorder="1" applyAlignment="1">
      <alignment horizontal="right"/>
    </xf>
    <xf numFmtId="0" fontId="12" fillId="0" borderId="34" xfId="58" applyBorder="1" applyAlignment="1">
      <alignment horizontal="right"/>
    </xf>
    <xf numFmtId="0" fontId="12" fillId="0" borderId="38" xfId="58" applyBorder="1" applyAlignment="1">
      <alignment horizontal="center"/>
    </xf>
    <xf numFmtId="0" fontId="12" fillId="0" borderId="39" xfId="58" applyBorder="1" applyAlignment="1">
      <alignment horizontal="center"/>
    </xf>
    <xf numFmtId="0" fontId="12" fillId="0" borderId="51" xfId="58" applyBorder="1" applyAlignment="1">
      <alignment horizontal="center"/>
    </xf>
    <xf numFmtId="0" fontId="47" fillId="0" borderId="18" xfId="58" applyFont="1" applyBorder="1" applyAlignment="1">
      <alignment horizontal="center"/>
    </xf>
    <xf numFmtId="0" fontId="47" fillId="0" borderId="11" xfId="58" applyFont="1" applyBorder="1" applyAlignment="1">
      <alignment horizontal="center"/>
    </xf>
    <xf numFmtId="0" fontId="47" fillId="0" borderId="43" xfId="58" applyFont="1" applyBorder="1" applyAlignment="1">
      <alignment horizontal="center"/>
    </xf>
    <xf numFmtId="0" fontId="12" fillId="0" borderId="13" xfId="58" applyBorder="1" applyAlignment="1">
      <alignment horizontal="center"/>
    </xf>
    <xf numFmtId="0" fontId="12" fillId="0" borderId="9" xfId="58" applyBorder="1" applyAlignment="1">
      <alignment horizontal="center"/>
    </xf>
    <xf numFmtId="0" fontId="12" fillId="0" borderId="10" xfId="58" applyBorder="1" applyAlignment="1">
      <alignment horizontal="center"/>
    </xf>
    <xf numFmtId="0" fontId="12" fillId="0" borderId="13" xfId="58" applyBorder="1" applyAlignment="1">
      <alignment horizontal="right"/>
    </xf>
    <xf numFmtId="0" fontId="12" fillId="0" borderId="9" xfId="58" applyBorder="1" applyAlignment="1">
      <alignment horizontal="right"/>
    </xf>
    <xf numFmtId="0" fontId="12" fillId="0" borderId="10" xfId="58" applyBorder="1" applyAlignment="1">
      <alignment horizontal="right"/>
    </xf>
    <xf numFmtId="0" fontId="12" fillId="0" borderId="5" xfId="58" applyBorder="1" applyAlignment="1">
      <alignment horizontal="center"/>
    </xf>
    <xf numFmtId="0" fontId="12" fillId="0" borderId="6" xfId="58" applyBorder="1" applyAlignment="1">
      <alignment horizontal="center"/>
    </xf>
    <xf numFmtId="0" fontId="12" fillId="0" borderId="7" xfId="58" applyBorder="1" applyAlignment="1">
      <alignment horizontal="center"/>
    </xf>
    <xf numFmtId="0" fontId="47" fillId="0" borderId="5" xfId="58" applyFont="1" applyBorder="1" applyAlignment="1">
      <alignment horizontal="center"/>
    </xf>
    <xf numFmtId="0" fontId="47" fillId="0" borderId="6" xfId="58" applyFont="1" applyBorder="1" applyAlignment="1">
      <alignment horizontal="center"/>
    </xf>
    <xf numFmtId="0" fontId="47" fillId="0" borderId="7" xfId="58" applyFont="1" applyBorder="1" applyAlignment="1">
      <alignment horizontal="center"/>
    </xf>
    <xf numFmtId="2" fontId="12" fillId="0" borderId="22" xfId="58" applyNumberFormat="1" applyBorder="1" applyAlignment="1">
      <alignment horizontal="center"/>
    </xf>
    <xf numFmtId="2" fontId="12" fillId="0" borderId="1" xfId="58" applyNumberFormat="1" applyBorder="1" applyAlignment="1">
      <alignment horizontal="center"/>
    </xf>
    <xf numFmtId="2" fontId="12" fillId="0" borderId="19" xfId="58" applyNumberFormat="1" applyBorder="1" applyAlignment="1">
      <alignment horizontal="center"/>
    </xf>
    <xf numFmtId="0" fontId="47" fillId="0" borderId="22" xfId="58" applyFont="1" applyBorder="1" applyAlignment="1">
      <alignment horizontal="center" vertical="center" wrapText="1"/>
    </xf>
    <xf numFmtId="0" fontId="47" fillId="0" borderId="1" xfId="58" applyFont="1" applyBorder="1" applyAlignment="1">
      <alignment horizontal="center" vertical="center" wrapText="1"/>
    </xf>
    <xf numFmtId="0" fontId="47" fillId="0" borderId="23" xfId="58" applyFont="1" applyBorder="1" applyAlignment="1">
      <alignment horizontal="center" vertical="center" wrapText="1"/>
    </xf>
    <xf numFmtId="0" fontId="47" fillId="0" borderId="34" xfId="58" applyFont="1" applyBorder="1" applyAlignment="1">
      <alignment horizontal="center" vertical="center" wrapText="1"/>
    </xf>
    <xf numFmtId="0" fontId="12" fillId="0" borderId="22" xfId="58" applyBorder="1" applyAlignment="1">
      <alignment horizontal="center"/>
    </xf>
    <xf numFmtId="0" fontId="12" fillId="0" borderId="1" xfId="58" applyBorder="1" applyAlignment="1">
      <alignment horizontal="center"/>
    </xf>
    <xf numFmtId="0" fontId="12" fillId="0" borderId="19" xfId="58" applyBorder="1" applyAlignment="1">
      <alignment horizontal="center"/>
    </xf>
    <xf numFmtId="0" fontId="47" fillId="0" borderId="24" xfId="58" applyFont="1" applyBorder="1" applyAlignment="1">
      <alignment horizontal="center" vertical="center" wrapText="1"/>
    </xf>
    <xf numFmtId="0" fontId="47" fillId="0" borderId="25" xfId="58" applyFont="1" applyBorder="1" applyAlignment="1">
      <alignment horizontal="center" vertical="center" wrapText="1"/>
    </xf>
    <xf numFmtId="0" fontId="47" fillId="0" borderId="26" xfId="58" applyFont="1" applyBorder="1" applyAlignment="1">
      <alignment horizontal="center" vertical="center" wrapText="1"/>
    </xf>
    <xf numFmtId="2" fontId="12" fillId="0" borderId="20" xfId="58" applyNumberFormat="1" applyBorder="1" applyAlignment="1">
      <alignment horizontal="center" vertical="center"/>
    </xf>
    <xf numFmtId="2" fontId="12" fillId="0" borderId="22" xfId="58" applyNumberFormat="1" applyBorder="1" applyAlignment="1">
      <alignment horizontal="center" vertical="center"/>
    </xf>
    <xf numFmtId="0" fontId="12" fillId="0" borderId="21" xfId="58" applyBorder="1" applyAlignment="1">
      <alignment horizontal="center" vertical="center" wrapText="1"/>
    </xf>
    <xf numFmtId="0" fontId="12" fillId="0" borderId="1" xfId="58" applyBorder="1" applyAlignment="1">
      <alignment horizontal="center" vertical="center" wrapText="1"/>
    </xf>
    <xf numFmtId="0" fontId="12" fillId="0" borderId="12" xfId="58" applyBorder="1" applyAlignment="1">
      <alignment horizontal="center" vertical="center" wrapText="1"/>
    </xf>
    <xf numFmtId="0" fontId="12" fillId="0" borderId="19" xfId="58" applyBorder="1" applyAlignment="1">
      <alignment horizontal="center" vertical="center" wrapText="1"/>
    </xf>
    <xf numFmtId="175" fontId="47" fillId="0" borderId="45" xfId="58" applyNumberFormat="1" applyFont="1" applyBorder="1" applyAlignment="1">
      <alignment horizontal="center"/>
    </xf>
    <xf numFmtId="175" fontId="47" fillId="0" borderId="2" xfId="58" applyNumberFormat="1" applyFont="1" applyBorder="1" applyAlignment="1">
      <alignment horizontal="center"/>
    </xf>
    <xf numFmtId="175" fontId="47" fillId="0" borderId="46" xfId="58" applyNumberFormat="1" applyFont="1" applyBorder="1" applyAlignment="1">
      <alignment horizontal="center"/>
    </xf>
    <xf numFmtId="175" fontId="47" fillId="0" borderId="23" xfId="58" applyNumberFormat="1" applyFont="1" applyBorder="1" applyAlignment="1">
      <alignment horizontal="center"/>
    </xf>
    <xf numFmtId="175" fontId="47" fillId="0" borderId="34" xfId="58" applyNumberFormat="1" applyFont="1" applyBorder="1" applyAlignment="1">
      <alignment horizontal="center"/>
    </xf>
    <xf numFmtId="175" fontId="47" fillId="0" borderId="35" xfId="58" applyNumberFormat="1" applyFont="1" applyBorder="1" applyAlignment="1">
      <alignment horizontal="center"/>
    </xf>
    <xf numFmtId="0" fontId="12" fillId="0" borderId="40" xfId="58" applyBorder="1" applyAlignment="1">
      <alignment horizontal="center"/>
    </xf>
    <xf numFmtId="0" fontId="12" fillId="0" borderId="14" xfId="58" applyBorder="1" applyAlignment="1">
      <alignment horizontal="center"/>
    </xf>
    <xf numFmtId="0" fontId="12" fillId="0" borderId="50" xfId="58" applyBorder="1" applyAlignment="1">
      <alignment horizontal="center"/>
    </xf>
    <xf numFmtId="0" fontId="12" fillId="0" borderId="3" xfId="58" applyBorder="1" applyAlignment="1">
      <alignment horizontal="center" vertical="center" wrapText="1"/>
    </xf>
    <xf numFmtId="2" fontId="12" fillId="0" borderId="13" xfId="58" applyNumberFormat="1" applyBorder="1" applyAlignment="1">
      <alignment horizontal="center"/>
    </xf>
    <xf numFmtId="2" fontId="12" fillId="0" borderId="9" xfId="58" applyNumberFormat="1" applyBorder="1" applyAlignment="1">
      <alignment horizontal="center"/>
    </xf>
    <xf numFmtId="2" fontId="12" fillId="0" borderId="50" xfId="58" applyNumberFormat="1" applyBorder="1" applyAlignment="1">
      <alignment horizontal="center"/>
    </xf>
    <xf numFmtId="2" fontId="12" fillId="0" borderId="14" xfId="58" applyNumberFormat="1" applyBorder="1" applyAlignment="1">
      <alignment horizontal="center"/>
    </xf>
    <xf numFmtId="0" fontId="47" fillId="0" borderId="5" xfId="58" applyFont="1" applyBorder="1" applyAlignment="1">
      <alignment horizontal="center" wrapText="1"/>
    </xf>
    <xf numFmtId="0" fontId="47" fillId="0" borderId="6" xfId="58" applyFont="1" applyBorder="1" applyAlignment="1">
      <alignment horizontal="center" wrapText="1"/>
    </xf>
    <xf numFmtId="0" fontId="47" fillId="0" borderId="7" xfId="58" applyFont="1" applyBorder="1" applyAlignment="1">
      <alignment horizontal="center" wrapText="1"/>
    </xf>
    <xf numFmtId="0" fontId="12" fillId="0" borderId="5" xfId="58" applyBorder="1" applyAlignment="1">
      <alignment horizontal="center" wrapText="1"/>
    </xf>
    <xf numFmtId="0" fontId="12" fillId="0" borderId="6" xfId="58" applyBorder="1" applyAlignment="1">
      <alignment horizontal="center" wrapText="1"/>
    </xf>
    <xf numFmtId="0" fontId="12" fillId="0" borderId="7" xfId="58" applyBorder="1" applyAlignment="1">
      <alignment horizontal="center" wrapText="1"/>
    </xf>
    <xf numFmtId="0" fontId="47" fillId="0" borderId="5" xfId="58" applyFont="1" applyBorder="1" applyAlignment="1">
      <alignment horizontal="center" vertical="center" wrapText="1"/>
    </xf>
    <xf numFmtId="0" fontId="47" fillId="0" borderId="6" xfId="58" applyFont="1" applyBorder="1" applyAlignment="1">
      <alignment horizontal="center" vertical="center" wrapText="1"/>
    </xf>
    <xf numFmtId="0" fontId="47" fillId="0" borderId="7" xfId="58" applyFont="1" applyBorder="1" applyAlignment="1">
      <alignment horizontal="center" vertical="center" wrapText="1"/>
    </xf>
  </cellXfs>
  <cellStyles count="64">
    <cellStyle name="Moeda 2" xfId="5" xr:uid="{00000000-0005-0000-0000-000001000000}"/>
    <cellStyle name="Moeda 3" xfId="6" xr:uid="{00000000-0005-0000-0000-000002000000}"/>
    <cellStyle name="Moeda 4" xfId="37" xr:uid="{00000000-0005-0000-0000-000003000000}"/>
    <cellStyle name="Moeda 5" xfId="42" xr:uid="{00000000-0005-0000-0000-000004000000}"/>
    <cellStyle name="Normal" xfId="0" builtinId="0"/>
    <cellStyle name="Normal 10" xfId="25" xr:uid="{00000000-0005-0000-0000-000006000000}"/>
    <cellStyle name="Normal 11" xfId="26" xr:uid="{00000000-0005-0000-0000-000007000000}"/>
    <cellStyle name="Normal 12" xfId="29" xr:uid="{00000000-0005-0000-0000-000008000000}"/>
    <cellStyle name="Normal 13" xfId="31" xr:uid="{00000000-0005-0000-0000-000009000000}"/>
    <cellStyle name="Normal 14" xfId="33" xr:uid="{00000000-0005-0000-0000-00000A000000}"/>
    <cellStyle name="Normal 15" xfId="36" xr:uid="{00000000-0005-0000-0000-00000B000000}"/>
    <cellStyle name="Normal 16" xfId="38" xr:uid="{00000000-0005-0000-0000-00000C000000}"/>
    <cellStyle name="Normal 17" xfId="40" xr:uid="{00000000-0005-0000-0000-00000D000000}"/>
    <cellStyle name="Normal 18" xfId="43" xr:uid="{00000000-0005-0000-0000-00000E000000}"/>
    <cellStyle name="Normal 19" xfId="45" xr:uid="{00000000-0005-0000-0000-00000F000000}"/>
    <cellStyle name="Normal 2" xfId="7" xr:uid="{00000000-0005-0000-0000-000010000000}"/>
    <cellStyle name="Normal 2 2" xfId="8" xr:uid="{00000000-0005-0000-0000-000011000000}"/>
    <cellStyle name="Normal 2 3" xfId="24" xr:uid="{00000000-0005-0000-0000-000012000000}"/>
    <cellStyle name="Normal 2 3 2" xfId="57" xr:uid="{00000000-0005-0000-0000-000013000000}"/>
    <cellStyle name="Normal 20" xfId="47" xr:uid="{00000000-0005-0000-0000-000014000000}"/>
    <cellStyle name="Normal 21" xfId="49" xr:uid="{00000000-0005-0000-0000-000015000000}"/>
    <cellStyle name="Normal 22" xfId="52" xr:uid="{00000000-0005-0000-0000-000016000000}"/>
    <cellStyle name="Normal 23" xfId="54" xr:uid="{00000000-0005-0000-0000-000017000000}"/>
    <cellStyle name="Normal 24" xfId="58" xr:uid="{00000000-0005-0000-0000-000018000000}"/>
    <cellStyle name="Normal 25" xfId="60" xr:uid="{00000000-0005-0000-0000-000019000000}"/>
    <cellStyle name="Normal 26" xfId="61" xr:uid="{00000000-0005-0000-0000-00001A000000}"/>
    <cellStyle name="Normal 3" xfId="9" xr:uid="{00000000-0005-0000-0000-00001B000000}"/>
    <cellStyle name="Normal 4" xfId="10" xr:uid="{00000000-0005-0000-0000-00001C000000}"/>
    <cellStyle name="Normal 5" xfId="11" xr:uid="{00000000-0005-0000-0000-00001D000000}"/>
    <cellStyle name="Normal 6" xfId="3" xr:uid="{00000000-0005-0000-0000-00001E000000}"/>
    <cellStyle name="Normal 6 2" xfId="50" xr:uid="{00000000-0005-0000-0000-00001F000000}"/>
    <cellStyle name="Normal 6 2 2" xfId="62" xr:uid="{00000000-0005-0000-0000-000020000000}"/>
    <cellStyle name="Normal 6 3" xfId="56" xr:uid="{00000000-0005-0000-0000-000021000000}"/>
    <cellStyle name="Normal 7" xfId="12" xr:uid="{00000000-0005-0000-0000-000022000000}"/>
    <cellStyle name="Normal 8" xfId="13" xr:uid="{00000000-0005-0000-0000-000023000000}"/>
    <cellStyle name="Normal 9" xfId="14" xr:uid="{00000000-0005-0000-0000-000024000000}"/>
    <cellStyle name="Porcentagem" xfId="1" builtinId="5"/>
    <cellStyle name="Porcentagem 2" xfId="15" xr:uid="{00000000-0005-0000-0000-000026000000}"/>
    <cellStyle name="Porcentagem 3" xfId="16" xr:uid="{00000000-0005-0000-0000-000027000000}"/>
    <cellStyle name="Separador de milhares 10" xfId="27" xr:uid="{00000000-0005-0000-0000-000028000000}"/>
    <cellStyle name="Separador de milhares 11" xfId="30" xr:uid="{00000000-0005-0000-0000-000029000000}"/>
    <cellStyle name="Separador de milhares 12" xfId="32" xr:uid="{00000000-0005-0000-0000-00002A000000}"/>
    <cellStyle name="Separador de milhares 13" xfId="34" xr:uid="{00000000-0005-0000-0000-00002B000000}"/>
    <cellStyle name="Separador de milhares 14" xfId="35" xr:uid="{00000000-0005-0000-0000-00002C000000}"/>
    <cellStyle name="Separador de milhares 15" xfId="39" xr:uid="{00000000-0005-0000-0000-00002D000000}"/>
    <cellStyle name="Separador de milhares 16" xfId="41" xr:uid="{00000000-0005-0000-0000-00002E000000}"/>
    <cellStyle name="Separador de milhares 17" xfId="44" xr:uid="{00000000-0005-0000-0000-00002F000000}"/>
    <cellStyle name="Separador de milhares 18" xfId="46" xr:uid="{00000000-0005-0000-0000-000030000000}"/>
    <cellStyle name="Separador de milhares 19" xfId="48" xr:uid="{00000000-0005-0000-0000-000031000000}"/>
    <cellStyle name="Separador de milhares 2" xfId="17" xr:uid="{00000000-0005-0000-0000-000032000000}"/>
    <cellStyle name="Separador de milhares 20" xfId="53" xr:uid="{00000000-0005-0000-0000-000033000000}"/>
    <cellStyle name="Separador de milhares 21" xfId="55" xr:uid="{00000000-0005-0000-0000-000034000000}"/>
    <cellStyle name="Separador de milhares 22" xfId="59" xr:uid="{00000000-0005-0000-0000-000035000000}"/>
    <cellStyle name="Separador de milhares 3" xfId="18" xr:uid="{00000000-0005-0000-0000-000036000000}"/>
    <cellStyle name="Separador de milhares 4" xfId="19" xr:uid="{00000000-0005-0000-0000-000037000000}"/>
    <cellStyle name="Separador de milhares 5" xfId="4" xr:uid="{00000000-0005-0000-0000-000038000000}"/>
    <cellStyle name="Separador de milhares 5 2" xfId="51" xr:uid="{00000000-0005-0000-0000-000039000000}"/>
    <cellStyle name="Separador de milhares 5 2 2" xfId="63" xr:uid="{00000000-0005-0000-0000-00003A000000}"/>
    <cellStyle name="Separador de milhares 6" xfId="20" xr:uid="{00000000-0005-0000-0000-00003B000000}"/>
    <cellStyle name="Separador de milhares 7" xfId="21" xr:uid="{00000000-0005-0000-0000-00003C000000}"/>
    <cellStyle name="Separador de milhares 8" xfId="22" xr:uid="{00000000-0005-0000-0000-00003D000000}"/>
    <cellStyle name="Separador de milhares 9" xfId="28" xr:uid="{00000000-0005-0000-0000-00003E000000}"/>
    <cellStyle name="Vírgula" xfId="2" builtinId="3"/>
    <cellStyle name="Vírgula 2" xfId="23" xr:uid="{00000000-0005-0000-0000-00004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28575</xdr:rowOff>
    </xdr:from>
    <xdr:to>
      <xdr:col>0</xdr:col>
      <xdr:colOff>1419225</xdr:colOff>
      <xdr:row>6</xdr:row>
      <xdr:rowOff>66675</xdr:rowOff>
    </xdr:to>
    <xdr:pic>
      <xdr:nvPicPr>
        <xdr:cNvPr id="6506" name="Picture 2">
          <a:extLst>
            <a:ext uri="{FF2B5EF4-FFF2-40B4-BE49-F238E27FC236}">
              <a16:creationId xmlns:a16="http://schemas.microsoft.com/office/drawing/2014/main" id="{00000000-0008-0000-0D00-00006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2124075</xdr:colOff>
      <xdr:row>9</xdr:row>
      <xdr:rowOff>57150</xdr:rowOff>
    </xdr:to>
    <xdr:pic>
      <xdr:nvPicPr>
        <xdr:cNvPr id="6507" name="Picture 1">
          <a:extLst>
            <a:ext uri="{FF2B5EF4-FFF2-40B4-BE49-F238E27FC236}">
              <a16:creationId xmlns:a16="http://schemas.microsoft.com/office/drawing/2014/main" id="{00000000-0008-0000-0D00-00006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"/>
  <sheetViews>
    <sheetView tabSelected="1" workbookViewId="0">
      <selection activeCell="B19" sqref="B19"/>
    </sheetView>
  </sheetViews>
  <sheetFormatPr defaultRowHeight="12.75" x14ac:dyDescent="0.2"/>
  <cols>
    <col min="1" max="1" width="10.42578125" customWidth="1"/>
    <col min="2" max="2" width="26.85546875" customWidth="1"/>
    <col min="3" max="3" width="11.28515625" bestFit="1" customWidth="1"/>
    <col min="4" max="7" width="11.42578125" bestFit="1" customWidth="1"/>
    <col min="8" max="8" width="10.42578125" bestFit="1" customWidth="1"/>
  </cols>
  <sheetData>
    <row r="1" spans="1:3" x14ac:dyDescent="0.2">
      <c r="A1" s="23" t="s">
        <v>144</v>
      </c>
    </row>
    <row r="2" spans="1:3" x14ac:dyDescent="0.2">
      <c r="A2" s="98">
        <v>6</v>
      </c>
      <c r="B2" s="102" t="s">
        <v>153</v>
      </c>
      <c r="C2" s="100">
        <f>'6. Destino Final'!F37</f>
        <v>86513.760222562487</v>
      </c>
    </row>
    <row r="3" spans="1:3" x14ac:dyDescent="0.2">
      <c r="C3" s="106"/>
    </row>
    <row r="4" spans="1:3" x14ac:dyDescent="0.2">
      <c r="B4" s="104"/>
      <c r="C4" s="106"/>
    </row>
    <row r="5" spans="1:3" x14ac:dyDescent="0.2">
      <c r="B5" s="78"/>
      <c r="C5" s="103"/>
    </row>
    <row r="6" spans="1:3" x14ac:dyDescent="0.2">
      <c r="C6" s="252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69"/>
  <sheetViews>
    <sheetView zoomScaleSheetLayoutView="100" workbookViewId="0"/>
  </sheetViews>
  <sheetFormatPr defaultColWidth="9.140625" defaultRowHeight="12.75" x14ac:dyDescent="0.2"/>
  <cols>
    <col min="1" max="1" width="44.5703125" style="116" customWidth="1"/>
    <col min="2" max="2" width="16" style="116" bestFit="1" customWidth="1"/>
    <col min="3" max="3" width="11.85546875" style="116" customWidth="1"/>
    <col min="4" max="4" width="14.7109375" style="96" customWidth="1"/>
    <col min="5" max="5" width="15.42578125" style="96" customWidth="1"/>
    <col min="6" max="6" width="12.42578125" style="96" customWidth="1"/>
    <col min="7" max="7" width="28.140625" style="96" customWidth="1"/>
    <col min="8" max="8" width="9.140625" style="116"/>
    <col min="9" max="9" width="14.5703125" style="116" customWidth="1"/>
    <col min="10" max="10" width="13.42578125" style="116" customWidth="1"/>
    <col min="11" max="16384" width="9.140625" style="116"/>
  </cols>
  <sheetData>
    <row r="1" spans="1:7" x14ac:dyDescent="0.2">
      <c r="A1" s="115" t="s">
        <v>33</v>
      </c>
    </row>
    <row r="2" spans="1:7" x14ac:dyDescent="0.2">
      <c r="A2" s="117" t="s">
        <v>145</v>
      </c>
    </row>
    <row r="3" spans="1:7" x14ac:dyDescent="0.2">
      <c r="A3" s="116" t="s">
        <v>34</v>
      </c>
    </row>
    <row r="4" spans="1:7" x14ac:dyDescent="0.2">
      <c r="A4" s="117" t="s">
        <v>146</v>
      </c>
    </row>
    <row r="5" spans="1:7" ht="16.5" customHeight="1" thickBot="1" x14ac:dyDescent="0.25">
      <c r="A5" s="115" t="s">
        <v>150</v>
      </c>
      <c r="B5" s="117"/>
      <c r="C5" s="117"/>
      <c r="D5" s="4"/>
      <c r="E5" s="4"/>
      <c r="F5" s="4"/>
      <c r="G5" s="4"/>
    </row>
    <row r="6" spans="1:7" s="118" customFormat="1" ht="18" x14ac:dyDescent="0.2">
      <c r="A6" s="258" t="s">
        <v>229</v>
      </c>
      <c r="B6" s="259"/>
      <c r="C6" s="259"/>
      <c r="D6" s="259"/>
      <c r="E6" s="259"/>
      <c r="F6" s="260"/>
      <c r="G6" s="14"/>
    </row>
    <row r="7" spans="1:7" s="118" customFormat="1" ht="21.75" customHeight="1" x14ac:dyDescent="0.2">
      <c r="A7" s="261" t="s">
        <v>5</v>
      </c>
      <c r="B7" s="262"/>
      <c r="C7" s="262"/>
      <c r="D7" s="262"/>
      <c r="E7" s="262"/>
      <c r="F7" s="263"/>
      <c r="G7" s="14"/>
    </row>
    <row r="8" spans="1:7" ht="10.9" customHeight="1" thickBot="1" x14ac:dyDescent="0.25">
      <c r="A8" s="119"/>
      <c r="B8" s="117"/>
      <c r="C8" s="117"/>
      <c r="D8" s="33"/>
      <c r="E8" s="33"/>
      <c r="F8" s="34"/>
      <c r="G8" s="4"/>
    </row>
    <row r="9" spans="1:7" ht="15.75" customHeight="1" thickBot="1" x14ac:dyDescent="0.25">
      <c r="A9" s="255" t="s">
        <v>32</v>
      </c>
      <c r="B9" s="256"/>
      <c r="C9" s="256"/>
      <c r="D9" s="256"/>
      <c r="E9" s="256"/>
      <c r="F9" s="257"/>
      <c r="G9" s="4"/>
    </row>
    <row r="10" spans="1:7" ht="15.75" customHeight="1" x14ac:dyDescent="0.2">
      <c r="A10" s="22" t="s">
        <v>31</v>
      </c>
      <c r="B10" s="16"/>
      <c r="C10" s="16"/>
      <c r="D10" s="74"/>
      <c r="E10" s="24" t="s">
        <v>3</v>
      </c>
      <c r="F10" s="17" t="s">
        <v>0</v>
      </c>
      <c r="G10" s="4"/>
    </row>
    <row r="11" spans="1:7" s="115" customFormat="1" ht="15.75" customHeight="1" x14ac:dyDescent="0.2">
      <c r="A11" s="28" t="str">
        <f>A17</f>
        <v xml:space="preserve">1. Destinação final </v>
      </c>
      <c r="B11" s="121"/>
      <c r="C11" s="26"/>
      <c r="D11" s="26"/>
      <c r="E11" s="120">
        <f>+F23</f>
        <v>74625.860624999987</v>
      </c>
      <c r="F11" s="27">
        <f>IFERROR(E11/$E$13,0)</f>
        <v>0.86258949365996718</v>
      </c>
      <c r="G11" s="19"/>
    </row>
    <row r="12" spans="1:7" s="115" customFormat="1" ht="15.75" customHeight="1" thickBot="1" x14ac:dyDescent="0.25">
      <c r="A12" s="28" t="str">
        <f>A28</f>
        <v>2. Benefícios e Despesas Indiretas - BDI</v>
      </c>
      <c r="B12" s="121"/>
      <c r="C12" s="26"/>
      <c r="D12" s="26"/>
      <c r="E12" s="122">
        <f>+F34</f>
        <v>11887.899597562498</v>
      </c>
      <c r="F12" s="27">
        <f>IFERROR(E12/$E$13,0)</f>
        <v>0.13741050634003277</v>
      </c>
      <c r="G12" s="19"/>
    </row>
    <row r="13" spans="1:7" ht="15.75" customHeight="1" thickBot="1" x14ac:dyDescent="0.25">
      <c r="A13" s="18" t="s">
        <v>154</v>
      </c>
      <c r="B13" s="123"/>
      <c r="C13" s="10"/>
      <c r="D13" s="10"/>
      <c r="E13" s="124">
        <f>E11+E12</f>
        <v>86513.760222562487</v>
      </c>
      <c r="F13" s="30">
        <f>F11+F12</f>
        <v>1</v>
      </c>
      <c r="G13" s="4"/>
    </row>
    <row r="16" spans="1:7" ht="11.25" customHeight="1" x14ac:dyDescent="0.2">
      <c r="G16" s="116"/>
    </row>
    <row r="17" spans="1:7" x14ac:dyDescent="0.2">
      <c r="A17" s="115" t="s">
        <v>152</v>
      </c>
      <c r="B17" s="115"/>
      <c r="C17" s="115"/>
      <c r="D17" s="13"/>
      <c r="E17" s="13"/>
      <c r="F17" s="12"/>
      <c r="G17" s="116"/>
    </row>
    <row r="18" spans="1:7" ht="11.25" customHeight="1" thickBot="1" x14ac:dyDescent="0.25">
      <c r="G18" s="116"/>
    </row>
    <row r="19" spans="1:7" ht="13.5" thickBot="1" x14ac:dyDescent="0.25">
      <c r="A19" s="125" t="s">
        <v>7</v>
      </c>
      <c r="B19" s="126" t="s">
        <v>8</v>
      </c>
      <c r="C19" s="126" t="s">
        <v>4</v>
      </c>
      <c r="D19" s="20" t="s">
        <v>40</v>
      </c>
      <c r="E19" s="20" t="s">
        <v>9</v>
      </c>
      <c r="F19" s="21" t="s">
        <v>10</v>
      </c>
      <c r="G19" s="116"/>
    </row>
    <row r="20" spans="1:7" ht="13.5" thickBot="1" x14ac:dyDescent="0.25">
      <c r="A20" s="130" t="s">
        <v>147</v>
      </c>
      <c r="B20" s="131" t="s">
        <v>148</v>
      </c>
      <c r="C20" s="254">
        <f>'9. Ton'!B26</f>
        <v>540.70833333333326</v>
      </c>
      <c r="D20" s="81">
        <v>138.01499999999999</v>
      </c>
      <c r="E20" s="97">
        <f>C20*D20</f>
        <v>74625.860624999987</v>
      </c>
      <c r="F20" s="139"/>
      <c r="G20" s="116"/>
    </row>
    <row r="21" spans="1:7" ht="13.5" thickBot="1" x14ac:dyDescent="0.25">
      <c r="A21" s="115"/>
      <c r="B21" s="115"/>
      <c r="C21" s="115"/>
      <c r="D21" s="115"/>
      <c r="E21" s="13"/>
      <c r="F21" s="8">
        <f>SUM(E20:E20)</f>
        <v>74625.860624999987</v>
      </c>
      <c r="G21" s="116"/>
    </row>
    <row r="22" spans="1:7" ht="11.25" customHeight="1" thickBot="1" x14ac:dyDescent="0.25">
      <c r="G22" s="116"/>
    </row>
    <row r="23" spans="1:7" ht="13.5" thickBot="1" x14ac:dyDescent="0.25">
      <c r="A23" s="133" t="s">
        <v>149</v>
      </c>
      <c r="B23" s="134"/>
      <c r="C23" s="134"/>
      <c r="D23" s="10"/>
      <c r="E23" s="11"/>
      <c r="F23" s="8">
        <f>+F21</f>
        <v>74625.860624999987</v>
      </c>
      <c r="G23" s="116"/>
    </row>
    <row r="24" spans="1:7" ht="11.25" customHeight="1" x14ac:dyDescent="0.2">
      <c r="G24" s="116"/>
    </row>
    <row r="25" spans="1:7" ht="11.25" customHeight="1" thickBot="1" x14ac:dyDescent="0.25"/>
    <row r="26" spans="1:7" ht="17.25" customHeight="1" thickBot="1" x14ac:dyDescent="0.25">
      <c r="A26" s="133" t="s">
        <v>35</v>
      </c>
      <c r="B26" s="135"/>
      <c r="C26" s="135"/>
      <c r="D26" s="136"/>
      <c r="E26" s="137"/>
      <c r="F26" s="9">
        <f>F23</f>
        <v>74625.860624999987</v>
      </c>
    </row>
    <row r="27" spans="1:7" ht="11.25" customHeight="1" x14ac:dyDescent="0.2"/>
    <row r="28" spans="1:7" x14ac:dyDescent="0.2">
      <c r="A28" s="115" t="s">
        <v>200</v>
      </c>
    </row>
    <row r="29" spans="1:7" ht="11.25" customHeight="1" thickBot="1" x14ac:dyDescent="0.25"/>
    <row r="30" spans="1:7" ht="13.5" thickBot="1" x14ac:dyDescent="0.25">
      <c r="A30" s="125" t="s">
        <v>7</v>
      </c>
      <c r="B30" s="126" t="s">
        <v>8</v>
      </c>
      <c r="C30" s="126" t="s">
        <v>4</v>
      </c>
      <c r="D30" s="20" t="s">
        <v>40</v>
      </c>
      <c r="E30" s="20" t="s">
        <v>9</v>
      </c>
      <c r="F30" s="21" t="s">
        <v>10</v>
      </c>
    </row>
    <row r="31" spans="1:7" ht="13.5" thickBot="1" x14ac:dyDescent="0.25">
      <c r="A31" s="127" t="s">
        <v>2</v>
      </c>
      <c r="B31" s="128" t="s">
        <v>0</v>
      </c>
      <c r="C31" s="132">
        <f>'8.BDI Aterro'!C21*100</f>
        <v>15.93</v>
      </c>
      <c r="D31" s="129">
        <f>+F26</f>
        <v>74625.860624999987</v>
      </c>
      <c r="E31" s="129">
        <f>C31*D31/100</f>
        <v>11887.899597562498</v>
      </c>
    </row>
    <row r="32" spans="1:7" ht="13.5" thickBot="1" x14ac:dyDescent="0.25">
      <c r="F32" s="8">
        <f>+E31</f>
        <v>11887.899597562498</v>
      </c>
    </row>
    <row r="33" spans="1:7" ht="11.25" customHeight="1" thickBot="1" x14ac:dyDescent="0.25"/>
    <row r="34" spans="1:7" ht="13.5" thickBot="1" x14ac:dyDescent="0.25">
      <c r="A34" s="133" t="s">
        <v>41</v>
      </c>
      <c r="B34" s="135"/>
      <c r="C34" s="135"/>
      <c r="D34" s="136"/>
      <c r="E34" s="137"/>
      <c r="F34" s="9">
        <f>F32</f>
        <v>11887.899597562498</v>
      </c>
    </row>
    <row r="35" spans="1:7" x14ac:dyDescent="0.2">
      <c r="A35" s="115"/>
      <c r="B35" s="115"/>
      <c r="C35" s="115"/>
      <c r="D35" s="13"/>
      <c r="E35" s="13"/>
      <c r="F35" s="12"/>
    </row>
    <row r="36" spans="1:7" ht="11.25" customHeight="1" thickBot="1" x14ac:dyDescent="0.25"/>
    <row r="37" spans="1:7" ht="24.75" customHeight="1" x14ac:dyDescent="0.2">
      <c r="A37" s="140" t="s">
        <v>36</v>
      </c>
      <c r="B37" s="141"/>
      <c r="C37" s="141"/>
      <c r="D37" s="142"/>
      <c r="E37" s="143"/>
      <c r="F37" s="144">
        <f>F26+F34</f>
        <v>86513.760222562487</v>
      </c>
    </row>
    <row r="38" spans="1:7" ht="12.6" customHeight="1" x14ac:dyDescent="0.2">
      <c r="A38" s="145" t="s">
        <v>151</v>
      </c>
      <c r="B38" s="146"/>
      <c r="C38" s="147"/>
      <c r="D38" s="148"/>
      <c r="E38" s="148">
        <f>F37/C20</f>
        <v>160.0007895</v>
      </c>
      <c r="F38" s="149"/>
    </row>
    <row r="39" spans="1:7" ht="9.75" customHeight="1" x14ac:dyDescent="0.2">
      <c r="A39" s="15"/>
      <c r="B39" s="96"/>
      <c r="C39" s="96"/>
      <c r="G39" s="4"/>
    </row>
    <row r="41" spans="1:7" x14ac:dyDescent="0.2">
      <c r="F41" s="138"/>
    </row>
    <row r="69" s="116" customFormat="1" ht="9" customHeight="1" x14ac:dyDescent="0.2"/>
  </sheetData>
  <mergeCells count="3">
    <mergeCell ref="A6:F6"/>
    <mergeCell ref="A7:F7"/>
    <mergeCell ref="A9:F9"/>
  </mergeCells>
  <pageMargins left="0.9055118110236221" right="0.51181102362204722" top="0.74803149606299213" bottom="0.74803149606299213" header="0.31496062992125984" footer="0.31496062992125984"/>
  <pageSetup paperSize="9" scale="76" orientation="portrait" r:id="rId1"/>
  <headerFooter alignWithMargins="0"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25"/>
  <sheetViews>
    <sheetView topLeftCell="A7" workbookViewId="0">
      <selection activeCell="A19" sqref="A19"/>
    </sheetView>
  </sheetViews>
  <sheetFormatPr defaultRowHeight="12.75" x14ac:dyDescent="0.2"/>
  <cols>
    <col min="1" max="1" width="41.85546875" bestFit="1" customWidth="1"/>
    <col min="2" max="2" width="5.5703125" bestFit="1" customWidth="1"/>
    <col min="4" max="4" width="9.7109375" bestFit="1" customWidth="1"/>
    <col min="5" max="5" width="8" style="25" bestFit="1" customWidth="1"/>
    <col min="6" max="6" width="9.7109375" bestFit="1" customWidth="1"/>
  </cols>
  <sheetData>
    <row r="1" spans="1:8" s="31" customFormat="1" ht="14.25" x14ac:dyDescent="0.2">
      <c r="A1" s="7" t="s">
        <v>33</v>
      </c>
      <c r="B1" s="5"/>
      <c r="C1" s="5"/>
      <c r="E1" s="32"/>
    </row>
    <row r="2" spans="1:8" s="31" customFormat="1" ht="14.25" x14ac:dyDescent="0.2">
      <c r="A2" s="29" t="s">
        <v>43</v>
      </c>
      <c r="B2" s="5"/>
      <c r="C2" s="5"/>
      <c r="E2" s="32"/>
    </row>
    <row r="3" spans="1:8" s="31" customFormat="1" ht="14.25" x14ac:dyDescent="0.2">
      <c r="A3" s="6" t="s">
        <v>34</v>
      </c>
      <c r="B3" s="5"/>
      <c r="C3" s="5"/>
      <c r="E3" s="32"/>
    </row>
    <row r="4" spans="1:8" s="31" customFormat="1" ht="14.25" x14ac:dyDescent="0.2">
      <c r="A4" s="6"/>
      <c r="B4" s="5"/>
      <c r="C4" s="5"/>
      <c r="E4" s="32"/>
    </row>
    <row r="5" spans="1:8" s="2" customFormat="1" ht="15.6" hidden="1" customHeight="1" x14ac:dyDescent="0.2">
      <c r="A5" s="80" t="s">
        <v>47</v>
      </c>
      <c r="B5" s="3"/>
      <c r="C5" s="3"/>
      <c r="D5" s="3"/>
      <c r="E5" s="3"/>
      <c r="F5" s="3"/>
      <c r="G5" s="4"/>
    </row>
    <row r="6" spans="1:8" s="2" customFormat="1" ht="16.5" customHeight="1" x14ac:dyDescent="0.2">
      <c r="A6" s="94" t="s">
        <v>48</v>
      </c>
      <c r="B6" s="3"/>
      <c r="C6" s="3"/>
      <c r="D6" s="4"/>
      <c r="E6" s="4"/>
      <c r="F6" s="4"/>
      <c r="G6" s="4"/>
    </row>
    <row r="7" spans="1:8" s="2" customFormat="1" ht="16.5" customHeight="1" x14ac:dyDescent="0.2">
      <c r="A7" s="94" t="s">
        <v>49</v>
      </c>
      <c r="B7" s="3"/>
      <c r="C7" s="3"/>
      <c r="D7" s="4"/>
      <c r="E7" s="4"/>
      <c r="F7" s="4"/>
      <c r="G7" s="4"/>
    </row>
    <row r="8" spans="1:8" s="31" customFormat="1" ht="15" thickBot="1" x14ac:dyDescent="0.25">
      <c r="B8" s="5"/>
      <c r="C8" s="5"/>
      <c r="E8" s="32"/>
    </row>
    <row r="9" spans="1:8" ht="15.75" x14ac:dyDescent="0.2">
      <c r="A9" s="269" t="s">
        <v>107</v>
      </c>
      <c r="B9" s="270"/>
      <c r="C9" s="270"/>
      <c r="D9" s="270"/>
      <c r="E9" s="270"/>
      <c r="F9" s="271"/>
    </row>
    <row r="10" spans="1:8" ht="16.5" thickBot="1" x14ac:dyDescent="0.25">
      <c r="A10" s="75"/>
      <c r="B10" s="76"/>
      <c r="C10" s="76"/>
      <c r="D10" s="76"/>
      <c r="E10" s="76"/>
      <c r="F10" s="77"/>
    </row>
    <row r="11" spans="1:8" ht="15" x14ac:dyDescent="0.25">
      <c r="A11" s="37"/>
      <c r="B11" s="5"/>
      <c r="C11" s="5"/>
      <c r="D11" s="266" t="s">
        <v>42</v>
      </c>
      <c r="E11" s="267"/>
      <c r="F11" s="268"/>
      <c r="G11" s="31"/>
      <c r="H11" s="31"/>
    </row>
    <row r="12" spans="1:8" ht="15" thickBot="1" x14ac:dyDescent="0.25">
      <c r="A12" s="36"/>
      <c r="B12" s="31"/>
      <c r="C12" s="31"/>
      <c r="D12" s="38" t="s">
        <v>27</v>
      </c>
      <c r="E12" s="39" t="s">
        <v>28</v>
      </c>
      <c r="F12" s="40" t="s">
        <v>29</v>
      </c>
      <c r="G12" s="31"/>
      <c r="H12" s="31"/>
    </row>
    <row r="13" spans="1:8" ht="14.25" x14ac:dyDescent="0.2">
      <c r="A13" s="41" t="s">
        <v>11</v>
      </c>
      <c r="B13" s="42" t="s">
        <v>12</v>
      </c>
      <c r="C13" s="43">
        <v>0.03</v>
      </c>
      <c r="D13" s="64">
        <v>2.9700000000000001E-2</v>
      </c>
      <c r="E13" s="65">
        <v>5.0799999999999998E-2</v>
      </c>
      <c r="F13" s="66">
        <v>6.2700000000000006E-2</v>
      </c>
      <c r="G13" s="31"/>
      <c r="H13" s="31"/>
    </row>
    <row r="14" spans="1:8" ht="14.25" x14ac:dyDescent="0.2">
      <c r="A14" s="45" t="s">
        <v>13</v>
      </c>
      <c r="B14" s="46" t="s">
        <v>14</v>
      </c>
      <c r="C14" s="47">
        <v>8.6E-3</v>
      </c>
      <c r="D14" s="64">
        <f>0.3%+0.56%</f>
        <v>8.6E-3</v>
      </c>
      <c r="E14" s="65">
        <f>0.48%+0.85%</f>
        <v>1.3299999999999999E-2</v>
      </c>
      <c r="F14" s="66">
        <f>0.82%+0.89%</f>
        <v>1.7099999999999997E-2</v>
      </c>
      <c r="G14" s="31"/>
      <c r="H14" s="31"/>
    </row>
    <row r="15" spans="1:8" ht="14.25" x14ac:dyDescent="0.2">
      <c r="A15" s="45" t="s">
        <v>15</v>
      </c>
      <c r="B15" s="46" t="s">
        <v>16</v>
      </c>
      <c r="C15" s="47">
        <v>0.04</v>
      </c>
      <c r="D15" s="64">
        <v>7.7799999999999994E-2</v>
      </c>
      <c r="E15" s="65">
        <v>0.1085</v>
      </c>
      <c r="F15" s="66">
        <v>0.13550000000000001</v>
      </c>
      <c r="G15" s="31"/>
      <c r="H15" s="31"/>
    </row>
    <row r="16" spans="1:8" ht="14.25" x14ac:dyDescent="0.2">
      <c r="A16" s="45" t="s">
        <v>17</v>
      </c>
      <c r="B16" s="46" t="s">
        <v>18</v>
      </c>
      <c r="C16" s="48">
        <f>(1+E16)^(E17/252)-1</f>
        <v>1.8928642061037948E-3</v>
      </c>
      <c r="D16" s="64" t="s">
        <v>46</v>
      </c>
      <c r="E16" s="49">
        <v>0.1</v>
      </c>
      <c r="F16" s="44"/>
      <c r="G16" s="31"/>
      <c r="H16" s="31"/>
    </row>
    <row r="17" spans="1:8" ht="14.25" x14ac:dyDescent="0.2">
      <c r="A17" s="45" t="s">
        <v>19</v>
      </c>
      <c r="B17" s="264" t="s">
        <v>20</v>
      </c>
      <c r="C17" s="47">
        <v>0.03</v>
      </c>
      <c r="D17" s="79" t="s">
        <v>30</v>
      </c>
      <c r="E17" s="50">
        <v>5</v>
      </c>
      <c r="F17" s="51"/>
      <c r="G17" s="31"/>
      <c r="H17" s="31"/>
    </row>
    <row r="18" spans="1:8" ht="15" thickBot="1" x14ac:dyDescent="0.25">
      <c r="A18" s="52" t="s">
        <v>98</v>
      </c>
      <c r="B18" s="265"/>
      <c r="C18" s="53">
        <v>3.6499999999999998E-2</v>
      </c>
      <c r="D18" s="35"/>
      <c r="E18" s="54"/>
      <c r="F18" s="51"/>
      <c r="G18" s="31"/>
      <c r="H18" s="31"/>
    </row>
    <row r="19" spans="1:8" ht="14.25" x14ac:dyDescent="0.2">
      <c r="A19" s="55" t="s">
        <v>21</v>
      </c>
      <c r="B19" s="56"/>
      <c r="C19" s="57"/>
      <c r="D19" s="35"/>
      <c r="E19" s="54"/>
      <c r="F19" s="51"/>
      <c r="G19" s="31"/>
      <c r="H19" s="31"/>
    </row>
    <row r="20" spans="1:8" ht="15" thickBot="1" x14ac:dyDescent="0.25">
      <c r="A20" s="58" t="s">
        <v>22</v>
      </c>
      <c r="B20" s="59"/>
      <c r="C20" s="60"/>
      <c r="D20" s="35"/>
      <c r="E20" s="54"/>
      <c r="F20" s="51"/>
      <c r="G20" s="31"/>
      <c r="H20" s="31"/>
    </row>
    <row r="21" spans="1:8" ht="15.75" thickBot="1" x14ac:dyDescent="0.25">
      <c r="A21" s="61" t="s">
        <v>23</v>
      </c>
      <c r="B21" s="62"/>
      <c r="C21" s="63">
        <f>ROUND((((1+C13+C14)*(1+C15)*(1+C16))/(1-(C17+C18))-1),4)</f>
        <v>0.1593</v>
      </c>
      <c r="D21" s="67">
        <v>0.21429999999999999</v>
      </c>
      <c r="E21" s="68">
        <v>0.2717</v>
      </c>
      <c r="F21" s="69">
        <v>0.3362</v>
      </c>
      <c r="G21" s="31"/>
      <c r="H21" s="31"/>
    </row>
    <row r="22" spans="1:8" ht="14.25" x14ac:dyDescent="0.2">
      <c r="A22" s="31"/>
      <c r="B22" s="31"/>
      <c r="C22" s="31"/>
      <c r="D22" s="31"/>
      <c r="E22" s="32"/>
      <c r="F22" s="31"/>
      <c r="G22" s="31"/>
      <c r="H22" s="31"/>
    </row>
    <row r="23" spans="1:8" ht="14.25" x14ac:dyDescent="0.2">
      <c r="A23" s="31"/>
      <c r="B23" s="31"/>
      <c r="C23" s="31"/>
      <c r="D23" s="31"/>
      <c r="E23" s="32"/>
      <c r="F23" s="31"/>
      <c r="G23" s="31"/>
      <c r="H23" s="31"/>
    </row>
    <row r="24" spans="1:8" ht="14.25" x14ac:dyDescent="0.2">
      <c r="A24" s="31"/>
      <c r="B24" s="31"/>
      <c r="C24" s="31"/>
      <c r="D24" s="31"/>
      <c r="E24" s="32"/>
      <c r="F24" s="31"/>
      <c r="G24" s="31"/>
      <c r="H24" s="31"/>
    </row>
    <row r="25" spans="1:8" ht="14.25" x14ac:dyDescent="0.2">
      <c r="A25" s="31"/>
      <c r="B25" s="31"/>
      <c r="C25" s="31"/>
      <c r="D25" s="31"/>
      <c r="E25" s="32"/>
      <c r="F25" s="31"/>
      <c r="G25" s="31"/>
      <c r="H25" s="31"/>
    </row>
  </sheetData>
  <mergeCells count="3">
    <mergeCell ref="A9:F9"/>
    <mergeCell ref="D11:F11"/>
    <mergeCell ref="B17:B18"/>
  </mergeCells>
  <pageMargins left="0.90551181102362199" right="0.51181102362204722" top="0.74803149606299213" bottom="0.74803149606299213" header="0.31496062992125984" footer="0.31496062992125984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0"/>
  <sheetViews>
    <sheetView workbookViewId="0">
      <selection activeCell="A19" sqref="A19"/>
    </sheetView>
  </sheetViews>
  <sheetFormatPr defaultColWidth="8.85546875" defaultRowHeight="15" x14ac:dyDescent="0.25"/>
  <cols>
    <col min="1" max="1" width="18.28515625" style="232" customWidth="1"/>
    <col min="2" max="2" width="21.28515625" style="232" bestFit="1" customWidth="1"/>
    <col min="3" max="3" width="15.42578125" style="232" customWidth="1"/>
    <col min="4" max="4" width="0" style="232" hidden="1" customWidth="1"/>
    <col min="5" max="7" width="11.42578125" style="232" hidden="1" customWidth="1"/>
    <col min="8" max="8" width="9.140625" style="232" hidden="1" customWidth="1"/>
    <col min="9" max="10" width="11.28515625" style="232" hidden="1" customWidth="1"/>
    <col min="11" max="16384" width="8.85546875" style="232"/>
  </cols>
  <sheetData>
    <row r="1" spans="1:11" ht="15.75" x14ac:dyDescent="0.25">
      <c r="A1" s="231" t="s">
        <v>143</v>
      </c>
    </row>
    <row r="2" spans="1:11" ht="15.75" x14ac:dyDescent="0.25">
      <c r="A2" s="231" t="s">
        <v>228</v>
      </c>
    </row>
    <row r="3" spans="1:11" ht="15.75" x14ac:dyDescent="0.25">
      <c r="A3" s="231" t="s">
        <v>220</v>
      </c>
    </row>
    <row r="4" spans="1:11" x14ac:dyDescent="0.25">
      <c r="A4" s="233"/>
    </row>
    <row r="5" spans="1:11" x14ac:dyDescent="0.25">
      <c r="A5" s="234" t="s">
        <v>221</v>
      </c>
      <c r="B5" s="235" t="s">
        <v>215</v>
      </c>
    </row>
    <row r="6" spans="1:11" x14ac:dyDescent="0.25">
      <c r="A6" s="246">
        <v>45078</v>
      </c>
      <c r="B6" s="236">
        <f>404.64+125.42</f>
        <v>530.05999999999995</v>
      </c>
      <c r="G6" s="150" t="s">
        <v>202</v>
      </c>
      <c r="H6" s="150" t="s">
        <v>203</v>
      </c>
      <c r="I6" s="150" t="s">
        <v>204</v>
      </c>
    </row>
    <row r="7" spans="1:11" x14ac:dyDescent="0.25">
      <c r="A7" s="246">
        <v>45108</v>
      </c>
      <c r="B7" s="236">
        <v>540.46</v>
      </c>
      <c r="G7" s="226" t="s">
        <v>205</v>
      </c>
      <c r="H7" s="227">
        <v>516060</v>
      </c>
      <c r="I7" s="227">
        <v>156530</v>
      </c>
      <c r="K7" s="240"/>
    </row>
    <row r="8" spans="1:11" x14ac:dyDescent="0.25">
      <c r="A8" s="246">
        <v>45139</v>
      </c>
      <c r="B8" s="236">
        <v>558.24</v>
      </c>
      <c r="G8" s="226" t="s">
        <v>206</v>
      </c>
      <c r="H8" s="227">
        <v>437940</v>
      </c>
      <c r="I8" s="227">
        <v>146340</v>
      </c>
    </row>
    <row r="9" spans="1:11" x14ac:dyDescent="0.25">
      <c r="A9" s="246">
        <v>45170</v>
      </c>
      <c r="B9" s="236">
        <v>554.41999999999996</v>
      </c>
      <c r="G9" s="226" t="s">
        <v>207</v>
      </c>
      <c r="H9" s="227">
        <v>431460</v>
      </c>
      <c r="I9" s="227">
        <v>169840</v>
      </c>
    </row>
    <row r="10" spans="1:11" x14ac:dyDescent="0.25">
      <c r="A10" s="246">
        <v>45200</v>
      </c>
      <c r="B10" s="236">
        <v>529.54</v>
      </c>
      <c r="G10" s="226" t="s">
        <v>208</v>
      </c>
      <c r="H10" s="227">
        <v>437140</v>
      </c>
      <c r="I10" s="227">
        <v>150860</v>
      </c>
    </row>
    <row r="11" spans="1:11" x14ac:dyDescent="0.25">
      <c r="A11" s="246">
        <v>45231</v>
      </c>
      <c r="B11" s="236">
        <v>562.26</v>
      </c>
      <c r="G11" s="226" t="s">
        <v>209</v>
      </c>
      <c r="H11" s="227">
        <v>424000</v>
      </c>
      <c r="I11" s="227">
        <v>139040</v>
      </c>
    </row>
    <row r="12" spans="1:11" x14ac:dyDescent="0.25">
      <c r="A12" s="246">
        <v>45261</v>
      </c>
      <c r="B12" s="236">
        <f>338.06+207.75</f>
        <v>545.80999999999995</v>
      </c>
      <c r="G12" s="226"/>
      <c r="H12" s="227"/>
      <c r="I12" s="227"/>
    </row>
    <row r="13" spans="1:11" x14ac:dyDescent="0.25">
      <c r="A13" s="246">
        <v>45292</v>
      </c>
      <c r="B13" s="236">
        <v>601.29999999999995</v>
      </c>
      <c r="G13" s="226"/>
      <c r="H13" s="227"/>
      <c r="I13" s="227"/>
    </row>
    <row r="14" spans="1:11" x14ac:dyDescent="0.25">
      <c r="A14" s="246">
        <v>45323</v>
      </c>
      <c r="B14" s="236">
        <v>584.28</v>
      </c>
      <c r="G14" s="226"/>
      <c r="H14" s="227"/>
      <c r="I14" s="227"/>
    </row>
    <row r="15" spans="1:11" x14ac:dyDescent="0.25">
      <c r="A15" s="246">
        <v>45352</v>
      </c>
      <c r="B15" s="236">
        <v>563.04</v>
      </c>
      <c r="G15" s="226"/>
      <c r="H15" s="227"/>
      <c r="I15" s="227"/>
    </row>
    <row r="16" spans="1:11" x14ac:dyDescent="0.25">
      <c r="A16" s="246">
        <v>45383</v>
      </c>
      <c r="B16" s="236">
        <v>672.59</v>
      </c>
      <c r="G16" s="226"/>
      <c r="H16" s="227"/>
      <c r="I16" s="227"/>
    </row>
    <row r="17" spans="1:10" x14ac:dyDescent="0.25">
      <c r="A17" s="246">
        <v>45413</v>
      </c>
      <c r="B17" s="236">
        <v>588</v>
      </c>
      <c r="G17" s="226"/>
      <c r="H17" s="227"/>
      <c r="I17" s="227"/>
    </row>
    <row r="18" spans="1:10" x14ac:dyDescent="0.25">
      <c r="A18" s="237" t="s">
        <v>216</v>
      </c>
      <c r="B18" s="238">
        <f>SUM(B5:B17)</f>
        <v>6829.9999999999991</v>
      </c>
      <c r="G18" s="226" t="s">
        <v>210</v>
      </c>
      <c r="H18" s="227">
        <f>SUM(H7:H11)</f>
        <v>2246600</v>
      </c>
      <c r="I18" s="227">
        <f>SUM(I7:I11)</f>
        <v>762610</v>
      </c>
      <c r="J18" s="232">
        <f>I18/H20</f>
        <v>0.25342531760827591</v>
      </c>
    </row>
    <row r="19" spans="1:10" x14ac:dyDescent="0.25">
      <c r="A19" s="239"/>
      <c r="B19" s="239"/>
      <c r="C19" s="240"/>
      <c r="E19" s="241"/>
    </row>
    <row r="20" spans="1:10" ht="15.75" x14ac:dyDescent="0.25">
      <c r="A20" s="242" t="s">
        <v>217</v>
      </c>
      <c r="B20" s="242">
        <v>12</v>
      </c>
      <c r="E20" s="240"/>
      <c r="H20" s="247">
        <f>SUM(H18:I18)</f>
        <v>3009210</v>
      </c>
    </row>
    <row r="21" spans="1:10" x14ac:dyDescent="0.25">
      <c r="A21" s="243" t="s">
        <v>218</v>
      </c>
      <c r="B21" s="244">
        <f>B18/B20</f>
        <v>569.16666666666663</v>
      </c>
    </row>
    <row r="22" spans="1:10" x14ac:dyDescent="0.25">
      <c r="A22" s="239"/>
      <c r="B22" s="239"/>
      <c r="E22" s="245"/>
    </row>
    <row r="23" spans="1:10" x14ac:dyDescent="0.25">
      <c r="A23" s="249" t="s">
        <v>222</v>
      </c>
      <c r="B23" s="248">
        <f>B21*0.25</f>
        <v>142.29166666666666</v>
      </c>
      <c r="E23" s="245"/>
    </row>
    <row r="24" spans="1:10" x14ac:dyDescent="0.25">
      <c r="A24" s="239"/>
      <c r="B24" s="239"/>
      <c r="E24" s="245"/>
    </row>
    <row r="25" spans="1:10" ht="30" x14ac:dyDescent="0.25">
      <c r="A25" s="250" t="s">
        <v>223</v>
      </c>
      <c r="B25" s="251">
        <f>B23*0.2</f>
        <v>28.458333333333332</v>
      </c>
    </row>
    <row r="26" spans="1:10" x14ac:dyDescent="0.25">
      <c r="A26" s="243" t="s">
        <v>219</v>
      </c>
      <c r="B26" s="244">
        <f>B21-B25</f>
        <v>540.70833333333326</v>
      </c>
    </row>
    <row r="28" spans="1:10" x14ac:dyDescent="0.25">
      <c r="B28" s="240"/>
    </row>
    <row r="30" spans="1:10" x14ac:dyDescent="0.25">
      <c r="B30" s="240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Y97"/>
  <sheetViews>
    <sheetView workbookViewId="0">
      <selection activeCell="A19" sqref="A19:A22"/>
    </sheetView>
  </sheetViews>
  <sheetFormatPr defaultColWidth="8.85546875" defaultRowHeight="15" x14ac:dyDescent="0.25"/>
  <cols>
    <col min="1" max="1" width="8.140625" style="83" customWidth="1"/>
    <col min="2" max="2" width="8.7109375" style="83" customWidth="1"/>
    <col min="3" max="3" width="14.42578125" style="83" customWidth="1"/>
    <col min="4" max="4" width="7.140625" style="83" customWidth="1"/>
    <col min="5" max="5" width="10.42578125" style="83" customWidth="1"/>
    <col min="6" max="6" width="6.85546875" style="83" customWidth="1"/>
    <col min="7" max="7" width="9.28515625" style="83" bestFit="1" customWidth="1"/>
    <col min="8" max="8" width="10.5703125" style="83" customWidth="1"/>
    <col min="9" max="10" width="8.85546875" style="83" customWidth="1"/>
    <col min="11" max="20" width="0" style="83" hidden="1" customWidth="1"/>
    <col min="21" max="22" width="12" style="83" hidden="1" customWidth="1"/>
    <col min="23" max="23" width="6.85546875" style="83" customWidth="1"/>
    <col min="24" max="16384" width="8.85546875" style="83"/>
  </cols>
  <sheetData>
    <row r="1" spans="1:22" ht="15.75" x14ac:dyDescent="0.25">
      <c r="A1" s="95" t="s">
        <v>143</v>
      </c>
    </row>
    <row r="2" spans="1:22" x14ac:dyDescent="0.25">
      <c r="A2" s="82" t="s">
        <v>139</v>
      </c>
      <c r="U2" s="83">
        <v>4.5</v>
      </c>
    </row>
    <row r="3" spans="1:22" ht="15.75" thickBot="1" x14ac:dyDescent="0.3">
      <c r="A3" s="82" t="s">
        <v>50</v>
      </c>
    </row>
    <row r="4" spans="1:22" ht="30.75" thickBot="1" x14ac:dyDescent="0.3">
      <c r="A4" s="153" t="s">
        <v>101</v>
      </c>
      <c r="B4" s="154" t="s">
        <v>121</v>
      </c>
      <c r="C4" s="154" t="s">
        <v>53</v>
      </c>
      <c r="D4" s="168" t="s">
        <v>51</v>
      </c>
      <c r="E4" s="154" t="s">
        <v>52</v>
      </c>
      <c r="F4" s="154" t="s">
        <v>54</v>
      </c>
      <c r="G4" s="154" t="s">
        <v>55</v>
      </c>
      <c r="H4" s="169" t="s">
        <v>119</v>
      </c>
      <c r="I4" s="169" t="s">
        <v>196</v>
      </c>
      <c r="J4" s="152"/>
      <c r="K4" s="152"/>
      <c r="S4" s="228" t="s">
        <v>211</v>
      </c>
      <c r="T4" s="228" t="s">
        <v>212</v>
      </c>
      <c r="U4" s="228" t="s">
        <v>213</v>
      </c>
      <c r="V4" s="228" t="s">
        <v>214</v>
      </c>
    </row>
    <row r="5" spans="1:22" x14ac:dyDescent="0.25">
      <c r="A5" s="272" t="s">
        <v>103</v>
      </c>
      <c r="B5" s="274" t="s">
        <v>120</v>
      </c>
      <c r="C5" s="276" t="s">
        <v>189</v>
      </c>
      <c r="D5" s="155">
        <v>3</v>
      </c>
      <c r="E5" s="156" t="s">
        <v>138</v>
      </c>
      <c r="F5" s="157">
        <v>0.66666666666666663</v>
      </c>
      <c r="G5" s="157">
        <v>0.85416666666666663</v>
      </c>
      <c r="H5" s="157">
        <v>0.1875</v>
      </c>
      <c r="I5" s="158">
        <f>D5*4.5*3</f>
        <v>40.5</v>
      </c>
      <c r="J5" s="152"/>
      <c r="K5" s="167">
        <f>I5+I7+I9+I11+I13</f>
        <v>169.8</v>
      </c>
      <c r="O5" s="109">
        <f>I6+I8+I10+I12+I14</f>
        <v>73.5</v>
      </c>
      <c r="S5" s="83">
        <f>3*4.5</f>
        <v>13.5</v>
      </c>
    </row>
    <row r="6" spans="1:22" ht="15.75" thickBot="1" x14ac:dyDescent="0.3">
      <c r="A6" s="273"/>
      <c r="B6" s="275"/>
      <c r="C6" s="277"/>
      <c r="D6" s="159">
        <v>1</v>
      </c>
      <c r="E6" s="160" t="s">
        <v>6</v>
      </c>
      <c r="F6" s="161">
        <v>0.66666666666666663</v>
      </c>
      <c r="G6" s="161">
        <v>0.91666666666666663</v>
      </c>
      <c r="H6" s="161">
        <v>0.25</v>
      </c>
      <c r="I6" s="162">
        <f>D6*6*3</f>
        <v>18</v>
      </c>
      <c r="J6" s="152"/>
      <c r="K6" s="152">
        <v>6</v>
      </c>
      <c r="P6" s="83">
        <v>22</v>
      </c>
      <c r="Q6" s="83">
        <v>7</v>
      </c>
      <c r="R6" s="83">
        <f>P6/Q6*30</f>
        <v>94.285714285714278</v>
      </c>
      <c r="T6" s="83">
        <f>3*6</f>
        <v>18</v>
      </c>
    </row>
    <row r="7" spans="1:22" x14ac:dyDescent="0.25">
      <c r="A7" s="278" t="s">
        <v>105</v>
      </c>
      <c r="B7" s="274" t="s">
        <v>120</v>
      </c>
      <c r="C7" s="274" t="s">
        <v>190</v>
      </c>
      <c r="D7" s="155">
        <v>3</v>
      </c>
      <c r="E7" s="156" t="s">
        <v>138</v>
      </c>
      <c r="F7" s="157">
        <v>0.66666666666666663</v>
      </c>
      <c r="G7" s="157">
        <v>0.85416666666666663</v>
      </c>
      <c r="H7" s="157">
        <v>0.1875</v>
      </c>
      <c r="I7" s="158">
        <f>D7*4.3*2</f>
        <v>25.799999999999997</v>
      </c>
      <c r="J7" s="152"/>
      <c r="K7" s="152">
        <f>K5/K6</f>
        <v>28.3</v>
      </c>
      <c r="O7" s="83" t="e">
        <f>O5/#REF!</f>
        <v>#REF!</v>
      </c>
      <c r="P7" s="83">
        <v>11</v>
      </c>
      <c r="Q7" s="83">
        <v>7</v>
      </c>
      <c r="R7" s="83">
        <f>P7/Q7*30</f>
        <v>47.142857142857139</v>
      </c>
      <c r="S7" s="83">
        <f>2*U2</f>
        <v>9</v>
      </c>
    </row>
    <row r="8" spans="1:22" x14ac:dyDescent="0.25">
      <c r="A8" s="279"/>
      <c r="B8" s="281"/>
      <c r="C8" s="282"/>
      <c r="D8" s="163">
        <v>1</v>
      </c>
      <c r="E8" s="164" t="s">
        <v>6</v>
      </c>
      <c r="F8" s="165">
        <v>0.66666666666666663</v>
      </c>
      <c r="G8" s="165">
        <v>0.91666666666666663</v>
      </c>
      <c r="H8" s="165">
        <v>0.25</v>
      </c>
      <c r="I8" s="166">
        <f>D8*6*2</f>
        <v>12</v>
      </c>
      <c r="J8" s="152"/>
      <c r="K8" s="152">
        <v>44</v>
      </c>
      <c r="O8" s="83">
        <v>44</v>
      </c>
      <c r="T8" s="83">
        <v>12</v>
      </c>
    </row>
    <row r="9" spans="1:22" x14ac:dyDescent="0.25">
      <c r="A9" s="279"/>
      <c r="B9" s="281"/>
      <c r="C9" s="283" t="s">
        <v>111</v>
      </c>
      <c r="D9" s="163">
        <v>3</v>
      </c>
      <c r="E9" s="164" t="s">
        <v>138</v>
      </c>
      <c r="F9" s="165">
        <v>0.25</v>
      </c>
      <c r="G9" s="165">
        <v>0.4375</v>
      </c>
      <c r="H9" s="165">
        <v>0.1875</v>
      </c>
      <c r="I9" s="166">
        <f>D9*4.5*1</f>
        <v>13.5</v>
      </c>
      <c r="J9" s="152"/>
      <c r="K9" s="152">
        <f>K7/K8</f>
        <v>0.64318181818181819</v>
      </c>
      <c r="O9" s="152" t="e">
        <f>O7/O8</f>
        <v>#REF!</v>
      </c>
      <c r="S9" s="83">
        <v>4.5</v>
      </c>
    </row>
    <row r="10" spans="1:22" ht="15.75" thickBot="1" x14ac:dyDescent="0.3">
      <c r="A10" s="280"/>
      <c r="B10" s="275"/>
      <c r="C10" s="275"/>
      <c r="D10" s="159">
        <v>1</v>
      </c>
      <c r="E10" s="160" t="s">
        <v>6</v>
      </c>
      <c r="F10" s="161">
        <v>0.25</v>
      </c>
      <c r="G10" s="161">
        <v>0.5</v>
      </c>
      <c r="H10" s="161">
        <v>0.25</v>
      </c>
      <c r="I10" s="162">
        <f>D10*6*1</f>
        <v>6</v>
      </c>
      <c r="J10" s="152"/>
      <c r="K10" s="83">
        <f>K7/6</f>
        <v>4.7166666666666668</v>
      </c>
      <c r="O10" s="83" t="e">
        <f>O7/6</f>
        <v>#REF!</v>
      </c>
      <c r="T10" s="83">
        <v>6</v>
      </c>
    </row>
    <row r="11" spans="1:22" x14ac:dyDescent="0.25">
      <c r="A11" s="272" t="s">
        <v>106</v>
      </c>
      <c r="B11" s="274" t="s">
        <v>120</v>
      </c>
      <c r="C11" s="276" t="s">
        <v>189</v>
      </c>
      <c r="D11" s="155">
        <v>3</v>
      </c>
      <c r="E11" s="156" t="s">
        <v>138</v>
      </c>
      <c r="F11" s="157">
        <v>0.4375</v>
      </c>
      <c r="G11" s="157">
        <v>0.72916666666666663</v>
      </c>
      <c r="H11" s="157">
        <v>0.29166666666666669</v>
      </c>
      <c r="I11" s="158">
        <f>D11*7*3</f>
        <v>63</v>
      </c>
      <c r="J11" s="152"/>
      <c r="K11" s="152"/>
      <c r="S11" s="83">
        <v>21</v>
      </c>
    </row>
    <row r="12" spans="1:22" ht="13.9" customHeight="1" thickBot="1" x14ac:dyDescent="0.3">
      <c r="A12" s="273"/>
      <c r="B12" s="275"/>
      <c r="C12" s="277"/>
      <c r="D12" s="159">
        <v>1</v>
      </c>
      <c r="E12" s="160" t="s">
        <v>6</v>
      </c>
      <c r="F12" s="161">
        <v>0.4375</v>
      </c>
      <c r="G12" s="161">
        <v>0.79166666666666663</v>
      </c>
      <c r="H12" s="161">
        <v>0.35416666666666669</v>
      </c>
      <c r="I12" s="162">
        <f>D12*8.5*3</f>
        <v>25.5</v>
      </c>
      <c r="J12" s="152"/>
      <c r="K12" s="152"/>
      <c r="T12" s="83">
        <f>3*8.5</f>
        <v>25.5</v>
      </c>
    </row>
    <row r="13" spans="1:22" x14ac:dyDescent="0.25">
      <c r="A13" s="272" t="s">
        <v>114</v>
      </c>
      <c r="B13" s="274" t="s">
        <v>120</v>
      </c>
      <c r="C13" s="274" t="s">
        <v>191</v>
      </c>
      <c r="D13" s="155">
        <v>3</v>
      </c>
      <c r="E13" s="156" t="s">
        <v>138</v>
      </c>
      <c r="F13" s="157">
        <v>0.4375</v>
      </c>
      <c r="G13" s="157">
        <v>0.625</v>
      </c>
      <c r="H13" s="157">
        <v>0.1875</v>
      </c>
      <c r="I13" s="158">
        <f>D13*4.5*2</f>
        <v>27</v>
      </c>
      <c r="J13" s="152"/>
      <c r="K13" s="152"/>
      <c r="L13" s="82" t="s">
        <v>142</v>
      </c>
      <c r="P13" s="83">
        <v>136.80000000000001</v>
      </c>
      <c r="Q13" s="83">
        <f>6*44</f>
        <v>264</v>
      </c>
      <c r="R13" s="83">
        <f>P13/Q13</f>
        <v>0.51818181818181819</v>
      </c>
      <c r="S13" s="83">
        <f>2*4.5</f>
        <v>9</v>
      </c>
    </row>
    <row r="14" spans="1:22" ht="15.75" thickBot="1" x14ac:dyDescent="0.3">
      <c r="A14" s="273"/>
      <c r="B14" s="275"/>
      <c r="C14" s="275"/>
      <c r="D14" s="159">
        <v>1</v>
      </c>
      <c r="E14" s="160" t="s">
        <v>6</v>
      </c>
      <c r="F14" s="161">
        <v>42.916666666666664</v>
      </c>
      <c r="G14" s="161">
        <v>0.6875</v>
      </c>
      <c r="H14" s="161">
        <v>0.25</v>
      </c>
      <c r="I14" s="162">
        <f>D14*6*2</f>
        <v>12</v>
      </c>
      <c r="J14" s="152"/>
      <c r="K14" s="152"/>
      <c r="L14" s="88">
        <v>126</v>
      </c>
      <c r="M14" s="88">
        <v>84</v>
      </c>
      <c r="N14" s="88">
        <v>28</v>
      </c>
      <c r="P14" s="109">
        <f>I6+I8+I10+I12+I14</f>
        <v>73.5</v>
      </c>
      <c r="Q14" s="83">
        <f>2*44</f>
        <v>88</v>
      </c>
      <c r="R14" s="83">
        <f>P14/Q14</f>
        <v>0.83522727272727271</v>
      </c>
      <c r="T14" s="83">
        <v>12</v>
      </c>
    </row>
    <row r="15" spans="1:22" x14ac:dyDescent="0.25">
      <c r="A15" s="272" t="s">
        <v>116</v>
      </c>
      <c r="B15" s="274" t="s">
        <v>122</v>
      </c>
      <c r="C15" s="284" t="s">
        <v>224</v>
      </c>
      <c r="D15" s="155">
        <v>3</v>
      </c>
      <c r="E15" s="156" t="s">
        <v>138</v>
      </c>
      <c r="F15" s="157">
        <v>0.25</v>
      </c>
      <c r="G15" s="157">
        <v>0.47916666666666669</v>
      </c>
      <c r="H15" s="157">
        <v>0.22916666666666666</v>
      </c>
      <c r="I15" s="158">
        <f>D15*5.5*3</f>
        <v>49.5</v>
      </c>
      <c r="J15" s="152"/>
      <c r="K15" s="167">
        <f>I15+I17+I19+I23+I21</f>
        <v>145.5</v>
      </c>
      <c r="L15" s="88">
        <v>15</v>
      </c>
      <c r="M15" s="88">
        <v>12</v>
      </c>
      <c r="N15" s="88">
        <v>6</v>
      </c>
      <c r="O15" s="109">
        <f>I16+I18+I20+I22+I24</f>
        <v>59.5</v>
      </c>
      <c r="U15" s="83">
        <f>3*5.5</f>
        <v>16.5</v>
      </c>
    </row>
    <row r="16" spans="1:22" ht="15.75" thickBot="1" x14ac:dyDescent="0.3">
      <c r="A16" s="273"/>
      <c r="B16" s="275"/>
      <c r="C16" s="285"/>
      <c r="D16" s="159">
        <v>1</v>
      </c>
      <c r="E16" s="160" t="s">
        <v>6</v>
      </c>
      <c r="F16" s="161">
        <v>0.25</v>
      </c>
      <c r="G16" s="161">
        <v>0.54166666666666663</v>
      </c>
      <c r="H16" s="161">
        <v>0.29166666666666669</v>
      </c>
      <c r="I16" s="162">
        <f>D16*7*3</f>
        <v>21</v>
      </c>
      <c r="J16" s="152"/>
      <c r="K16" s="152">
        <f>K15/3</f>
        <v>48.5</v>
      </c>
      <c r="L16" s="88">
        <v>45</v>
      </c>
      <c r="M16" s="88">
        <v>30</v>
      </c>
      <c r="N16" s="88">
        <v>10</v>
      </c>
      <c r="O16" s="83">
        <v>1</v>
      </c>
      <c r="V16" s="83">
        <v>21</v>
      </c>
    </row>
    <row r="17" spans="1:25" x14ac:dyDescent="0.25">
      <c r="A17" s="272" t="s">
        <v>117</v>
      </c>
      <c r="B17" s="274" t="s">
        <v>122</v>
      </c>
      <c r="C17" s="286" t="s">
        <v>225</v>
      </c>
      <c r="D17" s="155">
        <v>3</v>
      </c>
      <c r="E17" s="156" t="s">
        <v>138</v>
      </c>
      <c r="F17" s="157">
        <v>0.25</v>
      </c>
      <c r="G17" s="157">
        <v>0.54166666666666663</v>
      </c>
      <c r="H17" s="157">
        <v>0.29166666666666669</v>
      </c>
      <c r="I17" s="158">
        <f>D17*7*2</f>
        <v>42</v>
      </c>
      <c r="J17" s="152"/>
      <c r="K17" s="152">
        <v>44</v>
      </c>
      <c r="L17" s="88">
        <f>SUM(L14:L16)</f>
        <v>186</v>
      </c>
      <c r="M17" s="88">
        <f>SUM(M14:M16)</f>
        <v>126</v>
      </c>
      <c r="N17" s="88">
        <f>SUM(N14:N16)</f>
        <v>44</v>
      </c>
      <c r="O17" s="83">
        <f>O15/O16</f>
        <v>59.5</v>
      </c>
      <c r="U17" s="83">
        <v>14</v>
      </c>
    </row>
    <row r="18" spans="1:25" ht="15.75" thickBot="1" x14ac:dyDescent="0.3">
      <c r="A18" s="273"/>
      <c r="B18" s="275"/>
      <c r="C18" s="275"/>
      <c r="D18" s="159">
        <v>1</v>
      </c>
      <c r="E18" s="160" t="s">
        <v>6</v>
      </c>
      <c r="F18" s="161">
        <v>0.25</v>
      </c>
      <c r="G18" s="161">
        <v>0.60416666666666663</v>
      </c>
      <c r="H18" s="161">
        <v>0.35416666666666669</v>
      </c>
      <c r="I18" s="162">
        <f>D18*8.5*2</f>
        <v>17</v>
      </c>
      <c r="J18" s="152"/>
      <c r="K18" s="152">
        <f>K16/K17</f>
        <v>1.1022727272727273</v>
      </c>
      <c r="L18" s="88">
        <f>L17/9</f>
        <v>20.666666666666668</v>
      </c>
      <c r="M18" s="88">
        <f>M17/9</f>
        <v>14</v>
      </c>
      <c r="N18" s="113">
        <f>N17/3</f>
        <v>14.666666666666666</v>
      </c>
      <c r="O18" s="83">
        <v>44</v>
      </c>
      <c r="V18" s="83">
        <v>17</v>
      </c>
    </row>
    <row r="19" spans="1:25" x14ac:dyDescent="0.25">
      <c r="A19" s="278" t="s">
        <v>118</v>
      </c>
      <c r="B19" s="274" t="s">
        <v>122</v>
      </c>
      <c r="C19" s="274" t="s">
        <v>192</v>
      </c>
      <c r="D19" s="155">
        <v>3</v>
      </c>
      <c r="E19" s="156" t="s">
        <v>138</v>
      </c>
      <c r="F19" s="157">
        <v>0.25</v>
      </c>
      <c r="G19" s="157">
        <v>0.47916666666666669</v>
      </c>
      <c r="H19" s="157">
        <v>0.22916666666666666</v>
      </c>
      <c r="I19" s="158">
        <f>D19*6*1</f>
        <v>18</v>
      </c>
      <c r="J19" s="152"/>
      <c r="K19" s="170">
        <f>K16/6</f>
        <v>8.0833333333333339</v>
      </c>
      <c r="L19" s="88">
        <v>44</v>
      </c>
      <c r="M19" s="88">
        <v>44</v>
      </c>
      <c r="N19" s="88">
        <v>44</v>
      </c>
      <c r="O19" s="152">
        <f>O17/O18</f>
        <v>1.3522727272727273</v>
      </c>
      <c r="U19" s="83">
        <v>5.5</v>
      </c>
    </row>
    <row r="20" spans="1:25" ht="15.75" thickBot="1" x14ac:dyDescent="0.3">
      <c r="A20" s="279"/>
      <c r="B20" s="281"/>
      <c r="C20" s="282"/>
      <c r="D20" s="163">
        <v>1</v>
      </c>
      <c r="E20" s="164" t="s">
        <v>6</v>
      </c>
      <c r="F20" s="161">
        <v>0.25</v>
      </c>
      <c r="G20" s="161">
        <v>0.54166666666666663</v>
      </c>
      <c r="H20" s="161">
        <v>0.29166666666666669</v>
      </c>
      <c r="I20" s="162">
        <f>D20*7*1</f>
        <v>7</v>
      </c>
      <c r="J20" s="152"/>
      <c r="K20" s="152"/>
      <c r="L20" s="88"/>
      <c r="M20" s="88"/>
      <c r="N20" s="88"/>
      <c r="O20" s="83">
        <f>O17/6</f>
        <v>9.9166666666666661</v>
      </c>
      <c r="V20" s="83">
        <v>7</v>
      </c>
    </row>
    <row r="21" spans="1:25" x14ac:dyDescent="0.25">
      <c r="A21" s="279"/>
      <c r="B21" s="281"/>
      <c r="C21" s="283" t="s">
        <v>111</v>
      </c>
      <c r="D21" s="163">
        <v>3</v>
      </c>
      <c r="E21" s="164" t="s">
        <v>138</v>
      </c>
      <c r="F21" s="157">
        <v>0.25</v>
      </c>
      <c r="G21" s="157">
        <v>0.47916666666666669</v>
      </c>
      <c r="H21" s="157">
        <v>0.22916666666666666</v>
      </c>
      <c r="I21" s="158">
        <f>D21*6*1</f>
        <v>18</v>
      </c>
      <c r="J21" s="152"/>
      <c r="K21" s="152"/>
      <c r="L21" s="88"/>
      <c r="M21" s="88"/>
      <c r="N21" s="88"/>
      <c r="U21" s="83">
        <v>5.5</v>
      </c>
    </row>
    <row r="22" spans="1:25" ht="15.75" thickBot="1" x14ac:dyDescent="0.3">
      <c r="A22" s="280"/>
      <c r="B22" s="275"/>
      <c r="C22" s="275"/>
      <c r="D22" s="159">
        <v>1</v>
      </c>
      <c r="E22" s="160" t="s">
        <v>6</v>
      </c>
      <c r="F22" s="161">
        <v>0.25</v>
      </c>
      <c r="G22" s="161">
        <v>0.54166666666666663</v>
      </c>
      <c r="H22" s="161">
        <v>0.29166666666666669</v>
      </c>
      <c r="I22" s="162">
        <f>D22*7*1</f>
        <v>7</v>
      </c>
      <c r="J22" s="152"/>
      <c r="K22" s="152"/>
      <c r="L22" s="88"/>
      <c r="M22" s="88"/>
      <c r="N22" s="88"/>
      <c r="V22" s="83">
        <v>7</v>
      </c>
    </row>
    <row r="23" spans="1:25" x14ac:dyDescent="0.25">
      <c r="A23" s="278" t="s">
        <v>193</v>
      </c>
      <c r="B23" s="287" t="s">
        <v>194</v>
      </c>
      <c r="C23" s="274" t="s">
        <v>195</v>
      </c>
      <c r="D23" s="155">
        <v>3</v>
      </c>
      <c r="E23" s="156" t="s">
        <v>138</v>
      </c>
      <c r="F23" s="157">
        <v>0.25</v>
      </c>
      <c r="G23" s="157">
        <v>0.5</v>
      </c>
      <c r="H23" s="157">
        <v>0.25</v>
      </c>
      <c r="I23" s="158">
        <f>D23*6*1</f>
        <v>18</v>
      </c>
      <c r="J23" s="152"/>
      <c r="K23" s="152"/>
      <c r="L23" s="88"/>
      <c r="M23" s="88"/>
      <c r="N23" s="88"/>
      <c r="P23" s="109">
        <f>I15+I17+I19+I21+I23</f>
        <v>145.5</v>
      </c>
      <c r="Q23" s="83">
        <f>3*44</f>
        <v>132</v>
      </c>
      <c r="R23" s="83">
        <f>P23/Q23</f>
        <v>1.1022727272727273</v>
      </c>
      <c r="U23" s="83">
        <v>6</v>
      </c>
    </row>
    <row r="24" spans="1:25" ht="15.75" thickBot="1" x14ac:dyDescent="0.3">
      <c r="A24" s="280"/>
      <c r="B24" s="285"/>
      <c r="C24" s="275"/>
      <c r="D24" s="159">
        <v>1</v>
      </c>
      <c r="E24" s="160" t="s">
        <v>6</v>
      </c>
      <c r="F24" s="161">
        <v>0.25</v>
      </c>
      <c r="G24" s="161">
        <v>0.5625</v>
      </c>
      <c r="H24" s="161">
        <v>0.3125</v>
      </c>
      <c r="I24" s="162">
        <v>7.5</v>
      </c>
      <c r="J24" s="152"/>
      <c r="K24" s="152"/>
      <c r="L24" s="88"/>
      <c r="M24" s="88"/>
      <c r="N24" s="88"/>
      <c r="P24" s="109">
        <f>I16+I18+I20+I22+I24</f>
        <v>59.5</v>
      </c>
      <c r="Q24" s="83">
        <f>1*44</f>
        <v>44</v>
      </c>
      <c r="R24" s="83">
        <f>P24/Q24</f>
        <v>1.3522727272727273</v>
      </c>
      <c r="V24" s="83">
        <v>7.5</v>
      </c>
    </row>
    <row r="25" spans="1:25" x14ac:dyDescent="0.25">
      <c r="A25" s="82"/>
      <c r="B25" s="82"/>
      <c r="C25" s="82"/>
      <c r="D25" s="82"/>
      <c r="E25" s="82"/>
      <c r="F25" s="82"/>
      <c r="G25" s="82"/>
      <c r="H25" s="82"/>
      <c r="L25" s="88"/>
      <c r="M25" s="88"/>
      <c r="N25" s="88"/>
      <c r="P25" s="114">
        <f>P23/3/6</f>
        <v>8.0833333333333339</v>
      </c>
      <c r="S25" s="83">
        <f>SUM(S5:S24)</f>
        <v>57</v>
      </c>
      <c r="T25" s="83">
        <f>SUM(T5:T24)</f>
        <v>73.5</v>
      </c>
      <c r="U25" s="83">
        <f>SUM(U5:U24)</f>
        <v>47.5</v>
      </c>
      <c r="V25" s="83">
        <f>SUM(V5:V24)</f>
        <v>59.5</v>
      </c>
      <c r="Y25" s="230"/>
    </row>
    <row r="26" spans="1:25" x14ac:dyDescent="0.25">
      <c r="A26" s="82" t="s">
        <v>197</v>
      </c>
      <c r="S26" s="83">
        <v>2</v>
      </c>
      <c r="T26" s="83">
        <v>2</v>
      </c>
      <c r="U26" s="83">
        <v>2</v>
      </c>
      <c r="V26" s="83">
        <v>2</v>
      </c>
    </row>
    <row r="27" spans="1:25" x14ac:dyDescent="0.25">
      <c r="A27" s="86" t="s">
        <v>56</v>
      </c>
      <c r="B27" s="87"/>
      <c r="C27" s="87"/>
      <c r="D27" s="87"/>
      <c r="E27" s="87"/>
      <c r="F27" s="87"/>
      <c r="G27" s="88">
        <v>4.75</v>
      </c>
      <c r="L27" s="111">
        <f>L18/4</f>
        <v>5.166666666666667</v>
      </c>
      <c r="M27" s="114">
        <f>M18/3</f>
        <v>4.666666666666667</v>
      </c>
      <c r="N27" s="114">
        <f>N18/3</f>
        <v>4.8888888888888884</v>
      </c>
      <c r="P27" s="83">
        <f>P24/1/6</f>
        <v>9.9166666666666661</v>
      </c>
      <c r="S27" s="83">
        <f>S25/S26</f>
        <v>28.5</v>
      </c>
      <c r="T27" s="83">
        <f>T25/T26</f>
        <v>36.75</v>
      </c>
      <c r="U27" s="83">
        <f>U25/U26</f>
        <v>23.75</v>
      </c>
      <c r="V27" s="83">
        <f>V25/V26</f>
        <v>29.75</v>
      </c>
    </row>
    <row r="28" spans="1:25" x14ac:dyDescent="0.25">
      <c r="A28" s="86" t="s">
        <v>57</v>
      </c>
      <c r="B28" s="87"/>
      <c r="C28" s="87"/>
      <c r="D28" s="87"/>
      <c r="E28" s="87"/>
      <c r="F28" s="87"/>
      <c r="G28" s="88">
        <v>6</v>
      </c>
      <c r="S28" s="83">
        <v>6</v>
      </c>
      <c r="T28" s="83">
        <v>6</v>
      </c>
      <c r="U28" s="83">
        <v>6</v>
      </c>
      <c r="V28" s="83">
        <v>6</v>
      </c>
    </row>
    <row r="29" spans="1:25" x14ac:dyDescent="0.25">
      <c r="A29" s="86" t="s">
        <v>58</v>
      </c>
      <c r="B29" s="87"/>
      <c r="C29" s="87"/>
      <c r="D29" s="87"/>
      <c r="E29" s="87"/>
      <c r="F29" s="87"/>
      <c r="G29" s="88">
        <f>G27*G28</f>
        <v>28.5</v>
      </c>
      <c r="S29" s="229">
        <f>S27/S28</f>
        <v>4.75</v>
      </c>
      <c r="T29" s="229">
        <f>T27/T28</f>
        <v>6.125</v>
      </c>
      <c r="U29" s="229">
        <f>U27/U28</f>
        <v>3.9583333333333335</v>
      </c>
      <c r="V29" s="229">
        <f>V27/V28</f>
        <v>4.958333333333333</v>
      </c>
    </row>
    <row r="30" spans="1:25" x14ac:dyDescent="0.25">
      <c r="A30" s="86" t="s">
        <v>59</v>
      </c>
      <c r="B30" s="87"/>
      <c r="C30" s="87"/>
      <c r="D30" s="87"/>
      <c r="E30" s="87"/>
      <c r="F30" s="87"/>
      <c r="G30" s="88">
        <v>6</v>
      </c>
    </row>
    <row r="31" spans="1:25" x14ac:dyDescent="0.25">
      <c r="A31" s="86" t="s">
        <v>60</v>
      </c>
      <c r="B31" s="87"/>
      <c r="C31" s="87"/>
      <c r="D31" s="87"/>
      <c r="E31" s="87"/>
      <c r="F31" s="87"/>
      <c r="G31" s="88">
        <v>7</v>
      </c>
    </row>
    <row r="32" spans="1:25" x14ac:dyDescent="0.25">
      <c r="A32" s="86" t="s">
        <v>61</v>
      </c>
      <c r="B32" s="87"/>
      <c r="C32" s="87"/>
      <c r="D32" s="87"/>
      <c r="E32" s="87"/>
      <c r="F32" s="87"/>
      <c r="G32" s="92">
        <f>G29/G30</f>
        <v>4.75</v>
      </c>
    </row>
    <row r="33" spans="1:7" x14ac:dyDescent="0.25">
      <c r="A33" s="86" t="s">
        <v>62</v>
      </c>
      <c r="B33" s="87"/>
      <c r="C33" s="87"/>
      <c r="D33" s="87"/>
      <c r="E33" s="87"/>
      <c r="F33" s="87"/>
      <c r="G33" s="88">
        <v>30</v>
      </c>
    </row>
    <row r="34" spans="1:7" x14ac:dyDescent="0.25">
      <c r="A34" s="89" t="s">
        <v>63</v>
      </c>
      <c r="B34" s="90"/>
      <c r="C34" s="90"/>
      <c r="D34" s="90"/>
      <c r="E34" s="90"/>
      <c r="F34" s="90"/>
      <c r="G34" s="84">
        <f>G32*G33</f>
        <v>142.5</v>
      </c>
    </row>
    <row r="35" spans="1:7" x14ac:dyDescent="0.25">
      <c r="A35" s="89" t="s">
        <v>65</v>
      </c>
      <c r="B35" s="90"/>
      <c r="C35" s="90"/>
      <c r="D35" s="90"/>
      <c r="E35" s="90"/>
      <c r="F35" s="90"/>
      <c r="G35" s="84">
        <v>220</v>
      </c>
    </row>
    <row r="36" spans="1:7" x14ac:dyDescent="0.25">
      <c r="A36" s="89" t="s">
        <v>66</v>
      </c>
      <c r="B36" s="90"/>
      <c r="C36" s="90"/>
      <c r="D36" s="90"/>
      <c r="E36" s="90"/>
      <c r="F36" s="90"/>
      <c r="G36" s="91">
        <f>G34/G35</f>
        <v>0.64772727272727271</v>
      </c>
    </row>
    <row r="38" spans="1:7" x14ac:dyDescent="0.25">
      <c r="A38" s="82" t="s">
        <v>97</v>
      </c>
    </row>
    <row r="39" spans="1:7" x14ac:dyDescent="0.25">
      <c r="A39" s="86" t="s">
        <v>64</v>
      </c>
      <c r="B39" s="87"/>
      <c r="C39" s="87"/>
      <c r="D39" s="87"/>
      <c r="E39" s="87"/>
      <c r="F39" s="87"/>
      <c r="G39" s="88">
        <v>6.13</v>
      </c>
    </row>
    <row r="40" spans="1:7" x14ac:dyDescent="0.25">
      <c r="A40" s="86" t="s">
        <v>57</v>
      </c>
      <c r="B40" s="87"/>
      <c r="C40" s="87"/>
      <c r="D40" s="87"/>
      <c r="E40" s="87"/>
      <c r="F40" s="87"/>
      <c r="G40" s="88">
        <v>6</v>
      </c>
    </row>
    <row r="41" spans="1:7" x14ac:dyDescent="0.25">
      <c r="A41" s="86" t="s">
        <v>58</v>
      </c>
      <c r="B41" s="87"/>
      <c r="C41" s="87"/>
      <c r="D41" s="87"/>
      <c r="E41" s="87"/>
      <c r="F41" s="87"/>
      <c r="G41" s="108">
        <f>G39*G40</f>
        <v>36.78</v>
      </c>
    </row>
    <row r="42" spans="1:7" x14ac:dyDescent="0.25">
      <c r="A42" s="86" t="s">
        <v>59</v>
      </c>
      <c r="B42" s="87"/>
      <c r="C42" s="87"/>
      <c r="D42" s="87"/>
      <c r="E42" s="87"/>
      <c r="F42" s="87"/>
      <c r="G42" s="88">
        <v>6</v>
      </c>
    </row>
    <row r="43" spans="1:7" x14ac:dyDescent="0.25">
      <c r="A43" s="86" t="s">
        <v>60</v>
      </c>
      <c r="B43" s="87"/>
      <c r="C43" s="87"/>
      <c r="D43" s="87"/>
      <c r="E43" s="87"/>
      <c r="F43" s="87"/>
      <c r="G43" s="88">
        <v>7</v>
      </c>
    </row>
    <row r="44" spans="1:7" x14ac:dyDescent="0.25">
      <c r="A44" s="86" t="s">
        <v>61</v>
      </c>
      <c r="B44" s="87"/>
      <c r="C44" s="87"/>
      <c r="D44" s="87"/>
      <c r="E44" s="87"/>
      <c r="F44" s="87"/>
      <c r="G44" s="92">
        <f>G41/G42</f>
        <v>6.13</v>
      </c>
    </row>
    <row r="45" spans="1:7" x14ac:dyDescent="0.25">
      <c r="A45" s="86" t="s">
        <v>62</v>
      </c>
      <c r="B45" s="87"/>
      <c r="C45" s="87"/>
      <c r="D45" s="87"/>
      <c r="E45" s="87"/>
      <c r="F45" s="87"/>
      <c r="G45" s="88">
        <v>30</v>
      </c>
    </row>
    <row r="46" spans="1:7" x14ac:dyDescent="0.25">
      <c r="A46" s="89" t="s">
        <v>63</v>
      </c>
      <c r="B46" s="90"/>
      <c r="C46" s="90"/>
      <c r="D46" s="90"/>
      <c r="E46" s="90"/>
      <c r="F46" s="90"/>
      <c r="G46" s="93">
        <f>G44*G45</f>
        <v>183.9</v>
      </c>
    </row>
    <row r="47" spans="1:7" x14ac:dyDescent="0.25">
      <c r="A47" s="89" t="s">
        <v>65</v>
      </c>
      <c r="B47" s="90"/>
      <c r="C47" s="90"/>
      <c r="D47" s="90"/>
      <c r="E47" s="90"/>
      <c r="F47" s="90"/>
      <c r="G47" s="84">
        <v>220</v>
      </c>
    </row>
    <row r="48" spans="1:7" x14ac:dyDescent="0.25">
      <c r="A48" s="89" t="s">
        <v>66</v>
      </c>
      <c r="B48" s="90"/>
      <c r="C48" s="90"/>
      <c r="D48" s="90"/>
      <c r="E48" s="90"/>
      <c r="F48" s="90"/>
      <c r="G48" s="91">
        <f>G46/G47</f>
        <v>0.83590909090909093</v>
      </c>
    </row>
    <row r="50" spans="1:9" x14ac:dyDescent="0.25">
      <c r="A50" s="82" t="s">
        <v>140</v>
      </c>
    </row>
    <row r="51" spans="1:9" x14ac:dyDescent="0.25">
      <c r="A51" s="86" t="s">
        <v>56</v>
      </c>
      <c r="B51" s="87"/>
      <c r="C51" s="87"/>
      <c r="D51" s="87"/>
      <c r="E51" s="87"/>
      <c r="F51" s="87"/>
      <c r="G51" s="88">
        <v>3.96</v>
      </c>
    </row>
    <row r="52" spans="1:9" x14ac:dyDescent="0.25">
      <c r="A52" s="86" t="s">
        <v>57</v>
      </c>
      <c r="B52" s="87"/>
      <c r="C52" s="87"/>
      <c r="D52" s="87"/>
      <c r="E52" s="87"/>
      <c r="F52" s="87"/>
      <c r="G52" s="88">
        <v>6</v>
      </c>
    </row>
    <row r="53" spans="1:9" x14ac:dyDescent="0.25">
      <c r="A53" s="86" t="s">
        <v>58</v>
      </c>
      <c r="B53" s="87"/>
      <c r="C53" s="87"/>
      <c r="D53" s="87"/>
      <c r="E53" s="87"/>
      <c r="F53" s="87"/>
      <c r="G53" s="88">
        <f>G51*G52</f>
        <v>23.759999999999998</v>
      </c>
      <c r="I53" s="105"/>
    </row>
    <row r="54" spans="1:9" x14ac:dyDescent="0.25">
      <c r="A54" s="86" t="s">
        <v>59</v>
      </c>
      <c r="B54" s="87"/>
      <c r="C54" s="87"/>
      <c r="D54" s="87"/>
      <c r="E54" s="87"/>
      <c r="F54" s="87"/>
      <c r="G54" s="88">
        <v>6</v>
      </c>
    </row>
    <row r="55" spans="1:9" x14ac:dyDescent="0.25">
      <c r="A55" s="86" t="s">
        <v>60</v>
      </c>
      <c r="B55" s="87"/>
      <c r="C55" s="87"/>
      <c r="D55" s="87"/>
      <c r="E55" s="87"/>
      <c r="F55" s="87"/>
      <c r="G55" s="88">
        <v>7</v>
      </c>
    </row>
    <row r="56" spans="1:9" x14ac:dyDescent="0.25">
      <c r="A56" s="86" t="s">
        <v>61</v>
      </c>
      <c r="B56" s="87"/>
      <c r="C56" s="87"/>
      <c r="D56" s="87"/>
      <c r="E56" s="87"/>
      <c r="F56" s="87"/>
      <c r="G56" s="92">
        <f>G53/G54</f>
        <v>3.9599999999999995</v>
      </c>
    </row>
    <row r="57" spans="1:9" x14ac:dyDescent="0.25">
      <c r="A57" s="86" t="s">
        <v>62</v>
      </c>
      <c r="B57" s="87"/>
      <c r="C57" s="87"/>
      <c r="D57" s="87"/>
      <c r="E57" s="87"/>
      <c r="F57" s="87"/>
      <c r="G57" s="88">
        <v>30</v>
      </c>
    </row>
    <row r="58" spans="1:9" x14ac:dyDescent="0.25">
      <c r="A58" s="89" t="s">
        <v>63</v>
      </c>
      <c r="B58" s="90"/>
      <c r="C58" s="90"/>
      <c r="D58" s="90"/>
      <c r="E58" s="90"/>
      <c r="F58" s="90"/>
      <c r="G58" s="171">
        <f>G56*G57</f>
        <v>118.79999999999998</v>
      </c>
    </row>
    <row r="59" spans="1:9" x14ac:dyDescent="0.25">
      <c r="A59" s="89" t="s">
        <v>65</v>
      </c>
      <c r="B59" s="90"/>
      <c r="C59" s="90"/>
      <c r="D59" s="90"/>
      <c r="E59" s="90"/>
      <c r="F59" s="90"/>
      <c r="G59" s="84">
        <v>220</v>
      </c>
    </row>
    <row r="60" spans="1:9" x14ac:dyDescent="0.25">
      <c r="A60" s="89" t="s">
        <v>66</v>
      </c>
      <c r="B60" s="90"/>
      <c r="C60" s="90"/>
      <c r="D60" s="90"/>
      <c r="E60" s="90"/>
      <c r="F60" s="90"/>
      <c r="G60" s="91">
        <f>G58/G59</f>
        <v>0.53999999999999992</v>
      </c>
    </row>
    <row r="61" spans="1:9" x14ac:dyDescent="0.25">
      <c r="A61" s="82"/>
      <c r="B61" s="82"/>
      <c r="C61" s="82"/>
      <c r="D61" s="82"/>
      <c r="E61" s="82"/>
      <c r="F61" s="82"/>
      <c r="G61" s="112"/>
    </row>
    <row r="62" spans="1:9" x14ac:dyDescent="0.25">
      <c r="A62" s="82" t="s">
        <v>141</v>
      </c>
    </row>
    <row r="63" spans="1:9" x14ac:dyDescent="0.25">
      <c r="A63" s="172" t="s">
        <v>198</v>
      </c>
      <c r="B63" s="87"/>
      <c r="C63" s="87"/>
      <c r="D63" s="87"/>
      <c r="E63" s="87"/>
      <c r="F63" s="87"/>
      <c r="G63" s="88">
        <v>4.96</v>
      </c>
    </row>
    <row r="64" spans="1:9" x14ac:dyDescent="0.25">
      <c r="A64" s="86" t="s">
        <v>57</v>
      </c>
      <c r="B64" s="87"/>
      <c r="C64" s="87"/>
      <c r="D64" s="87"/>
      <c r="E64" s="87"/>
      <c r="F64" s="87"/>
      <c r="G64" s="88">
        <v>6</v>
      </c>
    </row>
    <row r="65" spans="1:8" x14ac:dyDescent="0.25">
      <c r="A65" s="86" t="s">
        <v>58</v>
      </c>
      <c r="B65" s="87"/>
      <c r="C65" s="87"/>
      <c r="D65" s="87"/>
      <c r="E65" s="87"/>
      <c r="F65" s="87"/>
      <c r="G65" s="108">
        <f>G63*G64</f>
        <v>29.759999999999998</v>
      </c>
    </row>
    <row r="66" spans="1:8" x14ac:dyDescent="0.25">
      <c r="A66" s="86" t="s">
        <v>59</v>
      </c>
      <c r="B66" s="87"/>
      <c r="C66" s="87"/>
      <c r="D66" s="87"/>
      <c r="E66" s="87"/>
      <c r="F66" s="87"/>
      <c r="G66" s="88">
        <v>6</v>
      </c>
    </row>
    <row r="67" spans="1:8" x14ac:dyDescent="0.25">
      <c r="A67" s="86" t="s">
        <v>60</v>
      </c>
      <c r="B67" s="87"/>
      <c r="C67" s="87"/>
      <c r="D67" s="87"/>
      <c r="E67" s="87"/>
      <c r="F67" s="87"/>
      <c r="G67" s="88">
        <v>7</v>
      </c>
    </row>
    <row r="68" spans="1:8" x14ac:dyDescent="0.25">
      <c r="A68" s="86" t="s">
        <v>61</v>
      </c>
      <c r="B68" s="87"/>
      <c r="C68" s="87"/>
      <c r="D68" s="87"/>
      <c r="E68" s="87"/>
      <c r="F68" s="87"/>
      <c r="G68" s="92">
        <f>G65/G66</f>
        <v>4.96</v>
      </c>
    </row>
    <row r="69" spans="1:8" x14ac:dyDescent="0.25">
      <c r="A69" s="86" t="s">
        <v>62</v>
      </c>
      <c r="B69" s="87"/>
      <c r="C69" s="87"/>
      <c r="D69" s="87"/>
      <c r="E69" s="87"/>
      <c r="F69" s="87"/>
      <c r="G69" s="88">
        <v>30</v>
      </c>
    </row>
    <row r="70" spans="1:8" x14ac:dyDescent="0.25">
      <c r="A70" s="89" t="s">
        <v>63</v>
      </c>
      <c r="B70" s="90"/>
      <c r="C70" s="90"/>
      <c r="D70" s="90"/>
      <c r="E70" s="90"/>
      <c r="F70" s="90"/>
      <c r="G70" s="171">
        <f>G68*G69</f>
        <v>148.80000000000001</v>
      </c>
    </row>
    <row r="71" spans="1:8" x14ac:dyDescent="0.25">
      <c r="A71" s="89" t="s">
        <v>65</v>
      </c>
      <c r="B71" s="90"/>
      <c r="C71" s="90"/>
      <c r="D71" s="90"/>
      <c r="E71" s="90"/>
      <c r="F71" s="90"/>
      <c r="G71" s="84">
        <v>220</v>
      </c>
    </row>
    <row r="72" spans="1:8" x14ac:dyDescent="0.25">
      <c r="A72" s="89" t="s">
        <v>66</v>
      </c>
      <c r="B72" s="90"/>
      <c r="C72" s="90"/>
      <c r="D72" s="90"/>
      <c r="E72" s="90"/>
      <c r="F72" s="90"/>
      <c r="G72" s="91">
        <f>G70/G71</f>
        <v>0.67636363636363639</v>
      </c>
    </row>
    <row r="73" spans="1:8" x14ac:dyDescent="0.25">
      <c r="A73" s="82"/>
      <c r="B73" s="82"/>
      <c r="C73" s="82"/>
      <c r="D73" s="82"/>
      <c r="E73" s="82"/>
      <c r="F73" s="82"/>
      <c r="G73" s="112"/>
    </row>
    <row r="74" spans="1:8" ht="12" customHeight="1" x14ac:dyDescent="0.25"/>
    <row r="75" spans="1:8" x14ac:dyDescent="0.25">
      <c r="A75" s="84" t="s">
        <v>126</v>
      </c>
      <c r="B75" s="88"/>
      <c r="C75" s="88"/>
      <c r="D75" s="88"/>
      <c r="E75" s="88"/>
      <c r="F75" s="88"/>
      <c r="G75" s="85" t="s">
        <v>127</v>
      </c>
      <c r="H75" s="85" t="s">
        <v>128</v>
      </c>
    </row>
    <row r="76" spans="1:8" x14ac:dyDescent="0.25">
      <c r="A76" s="107" t="s">
        <v>123</v>
      </c>
      <c r="B76" s="87"/>
      <c r="C76" s="87"/>
      <c r="D76" s="87"/>
      <c r="E76" s="87"/>
      <c r="F76" s="87"/>
      <c r="G76" s="88">
        <f>G39</f>
        <v>6.13</v>
      </c>
      <c r="H76" s="88">
        <f>G63</f>
        <v>4.96</v>
      </c>
    </row>
    <row r="77" spans="1:8" x14ac:dyDescent="0.25">
      <c r="A77" s="86" t="s">
        <v>57</v>
      </c>
      <c r="B77" s="87"/>
      <c r="C77" s="87"/>
      <c r="D77" s="87"/>
      <c r="E77" s="87"/>
      <c r="F77" s="87"/>
      <c r="G77" s="88">
        <v>6</v>
      </c>
      <c r="H77" s="88">
        <v>6</v>
      </c>
    </row>
    <row r="78" spans="1:8" x14ac:dyDescent="0.25">
      <c r="A78" s="86" t="s">
        <v>58</v>
      </c>
      <c r="B78" s="87"/>
      <c r="C78" s="87"/>
      <c r="D78" s="87"/>
      <c r="E78" s="87"/>
      <c r="F78" s="87"/>
      <c r="G78" s="108">
        <f>G76*G77</f>
        <v>36.78</v>
      </c>
      <c r="H78" s="108">
        <f>H76*H77</f>
        <v>29.759999999999998</v>
      </c>
    </row>
    <row r="79" spans="1:8" x14ac:dyDescent="0.25">
      <c r="A79" s="86" t="s">
        <v>59</v>
      </c>
      <c r="B79" s="87"/>
      <c r="C79" s="87"/>
      <c r="D79" s="87"/>
      <c r="E79" s="87"/>
      <c r="F79" s="87"/>
      <c r="G79" s="88">
        <v>7</v>
      </c>
      <c r="H79" s="88">
        <v>7</v>
      </c>
    </row>
    <row r="80" spans="1:8" x14ac:dyDescent="0.25">
      <c r="A80" s="86" t="s">
        <v>62</v>
      </c>
      <c r="B80" s="87"/>
      <c r="C80" s="87"/>
      <c r="D80" s="87"/>
      <c r="E80" s="87"/>
      <c r="F80" s="87"/>
      <c r="G80" s="88">
        <v>30</v>
      </c>
      <c r="H80" s="88">
        <v>30</v>
      </c>
    </row>
    <row r="81" spans="1:10" x14ac:dyDescent="0.25">
      <c r="A81" s="89" t="s">
        <v>124</v>
      </c>
      <c r="B81" s="90"/>
      <c r="C81" s="90"/>
      <c r="D81" s="90"/>
      <c r="E81" s="90"/>
      <c r="F81" s="90"/>
      <c r="G81" s="93">
        <f>G78/G79*G80</f>
        <v>157.62857142857143</v>
      </c>
      <c r="H81" s="93">
        <f>H78/H79*H80</f>
        <v>127.54285714285713</v>
      </c>
    </row>
    <row r="82" spans="1:10" x14ac:dyDescent="0.25">
      <c r="A82" s="89" t="s">
        <v>125</v>
      </c>
      <c r="B82" s="90"/>
      <c r="C82" s="90"/>
      <c r="D82" s="90"/>
      <c r="E82" s="90"/>
      <c r="F82" s="90"/>
      <c r="G82" s="84">
        <f>44/7*30</f>
        <v>188.57142857142856</v>
      </c>
      <c r="H82" s="110">
        <f>44/7*30</f>
        <v>188.57142857142856</v>
      </c>
    </row>
    <row r="83" spans="1:10" x14ac:dyDescent="0.25">
      <c r="A83" s="89" t="s">
        <v>130</v>
      </c>
      <c r="B83" s="90"/>
      <c r="C83" s="90"/>
      <c r="D83" s="90"/>
      <c r="E83" s="90"/>
      <c r="F83" s="90"/>
      <c r="G83" s="91">
        <f>G81/G82</f>
        <v>0.83590909090909105</v>
      </c>
      <c r="H83" s="91">
        <f>H81/H82/1</f>
        <v>0.67636363636363639</v>
      </c>
    </row>
    <row r="84" spans="1:10" x14ac:dyDescent="0.25">
      <c r="A84" s="89" t="s">
        <v>129</v>
      </c>
      <c r="B84" s="90"/>
      <c r="C84" s="90"/>
      <c r="D84" s="90"/>
      <c r="E84" s="90"/>
      <c r="F84" s="90"/>
      <c r="G84" s="91">
        <f>75.55/125</f>
        <v>0.60439999999999994</v>
      </c>
      <c r="H84" s="91">
        <v>0.39560000000000001</v>
      </c>
      <c r="J84" s="214"/>
    </row>
    <row r="87" spans="1:10" x14ac:dyDescent="0.25">
      <c r="A87" s="82" t="s">
        <v>178</v>
      </c>
    </row>
    <row r="88" spans="1:10" x14ac:dyDescent="0.25">
      <c r="A88" s="151" t="s">
        <v>179</v>
      </c>
      <c r="B88" s="87"/>
      <c r="C88" s="87"/>
      <c r="D88" s="87"/>
      <c r="E88" s="87"/>
      <c r="F88" s="87"/>
      <c r="G88" s="88">
        <v>7</v>
      </c>
    </row>
    <row r="89" spans="1:10" x14ac:dyDescent="0.25">
      <c r="A89" s="86" t="s">
        <v>57</v>
      </c>
      <c r="B89" s="87"/>
      <c r="C89" s="87"/>
      <c r="D89" s="87"/>
      <c r="E89" s="87"/>
      <c r="F89" s="87"/>
      <c r="G89" s="88">
        <v>6</v>
      </c>
    </row>
    <row r="90" spans="1:10" x14ac:dyDescent="0.25">
      <c r="A90" s="86" t="s">
        <v>58</v>
      </c>
      <c r="B90" s="87"/>
      <c r="C90" s="87"/>
      <c r="D90" s="87"/>
      <c r="E90" s="87"/>
      <c r="F90" s="87"/>
      <c r="G90" s="88">
        <f>G88*G89</f>
        <v>42</v>
      </c>
    </row>
    <row r="91" spans="1:10" x14ac:dyDescent="0.25">
      <c r="A91" s="86" t="s">
        <v>59</v>
      </c>
      <c r="B91" s="87"/>
      <c r="C91" s="87"/>
      <c r="D91" s="87"/>
      <c r="E91" s="87"/>
      <c r="F91" s="87"/>
      <c r="G91" s="88">
        <v>6</v>
      </c>
    </row>
    <row r="92" spans="1:10" x14ac:dyDescent="0.25">
      <c r="A92" s="86" t="s">
        <v>60</v>
      </c>
      <c r="B92" s="87"/>
      <c r="C92" s="87"/>
      <c r="D92" s="87"/>
      <c r="E92" s="87"/>
      <c r="F92" s="87"/>
      <c r="G92" s="88">
        <v>7</v>
      </c>
    </row>
    <row r="93" spans="1:10" x14ac:dyDescent="0.25">
      <c r="A93" s="86" t="s">
        <v>61</v>
      </c>
      <c r="B93" s="87"/>
      <c r="C93" s="87"/>
      <c r="D93" s="87"/>
      <c r="E93" s="87"/>
      <c r="F93" s="87"/>
      <c r="G93" s="92">
        <f>G90/G91</f>
        <v>7</v>
      </c>
    </row>
    <row r="94" spans="1:10" x14ac:dyDescent="0.25">
      <c r="A94" s="86" t="s">
        <v>62</v>
      </c>
      <c r="B94" s="87"/>
      <c r="C94" s="87"/>
      <c r="D94" s="87"/>
      <c r="E94" s="87"/>
      <c r="F94" s="87"/>
      <c r="G94" s="88">
        <v>30</v>
      </c>
    </row>
    <row r="95" spans="1:10" x14ac:dyDescent="0.25">
      <c r="A95" s="89" t="s">
        <v>63</v>
      </c>
      <c r="B95" s="90"/>
      <c r="C95" s="90"/>
      <c r="D95" s="90"/>
      <c r="E95" s="90"/>
      <c r="F95" s="90"/>
      <c r="G95" s="84">
        <f>G93*G94</f>
        <v>210</v>
      </c>
    </row>
    <row r="96" spans="1:10" x14ac:dyDescent="0.25">
      <c r="A96" s="89" t="s">
        <v>65</v>
      </c>
      <c r="B96" s="90"/>
      <c r="C96" s="90"/>
      <c r="D96" s="90"/>
      <c r="E96" s="90"/>
      <c r="F96" s="90"/>
      <c r="G96" s="84">
        <v>220</v>
      </c>
    </row>
    <row r="97" spans="1:7" x14ac:dyDescent="0.25">
      <c r="A97" s="89" t="s">
        <v>66</v>
      </c>
      <c r="B97" s="90"/>
      <c r="C97" s="90"/>
      <c r="D97" s="90"/>
      <c r="E97" s="90"/>
      <c r="F97" s="90"/>
      <c r="G97" s="91">
        <f>G95/G96</f>
        <v>0.95454545454545459</v>
      </c>
    </row>
  </sheetData>
  <mergeCells count="26">
    <mergeCell ref="A19:A22"/>
    <mergeCell ref="B19:B22"/>
    <mergeCell ref="C19:C20"/>
    <mergeCell ref="C21:C22"/>
    <mergeCell ref="A23:A24"/>
    <mergeCell ref="B23:B24"/>
    <mergeCell ref="C23:C24"/>
    <mergeCell ref="A15:A16"/>
    <mergeCell ref="B15:B16"/>
    <mergeCell ref="C15:C16"/>
    <mergeCell ref="A17:A18"/>
    <mergeCell ref="B17:B18"/>
    <mergeCell ref="C17:C18"/>
    <mergeCell ref="A11:A12"/>
    <mergeCell ref="B11:B12"/>
    <mergeCell ref="C11:C12"/>
    <mergeCell ref="A13:A14"/>
    <mergeCell ref="B13:B14"/>
    <mergeCell ref="C13:C14"/>
    <mergeCell ref="A5:A6"/>
    <mergeCell ref="B5:B6"/>
    <mergeCell ref="C5:C6"/>
    <mergeCell ref="A7:A10"/>
    <mergeCell ref="B7:B10"/>
    <mergeCell ref="C7:C8"/>
    <mergeCell ref="C9:C10"/>
  </mergeCells>
  <pageMargins left="0.51181102362204722" right="0.51181102362204722" top="0.78740157480314965" bottom="0.78740157480314965" header="0.31496062992125984" footer="0.31496062992125984"/>
  <pageSetup paperSize="9" scale="97" fitToHeight="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U190"/>
  <sheetViews>
    <sheetView topLeftCell="D1" workbookViewId="0">
      <selection activeCell="A19" sqref="A19"/>
    </sheetView>
  </sheetViews>
  <sheetFormatPr defaultColWidth="8.85546875" defaultRowHeight="15" x14ac:dyDescent="0.25"/>
  <cols>
    <col min="1" max="1" width="6.5703125" style="173" customWidth="1"/>
    <col min="2" max="2" width="17.5703125" style="173" customWidth="1"/>
    <col min="3" max="3" width="12" style="173" customWidth="1"/>
    <col min="4" max="4" width="16.28515625" style="173" customWidth="1"/>
    <col min="5" max="5" width="13.140625" style="173" customWidth="1"/>
    <col min="6" max="6" width="8" style="173" customWidth="1"/>
    <col min="7" max="7" width="7.140625" style="173" customWidth="1"/>
    <col min="8" max="8" width="14.140625" style="173" customWidth="1"/>
    <col min="9" max="9" width="12.7109375" style="173" customWidth="1"/>
    <col min="10" max="10" width="16" style="173" customWidth="1"/>
    <col min="11" max="11" width="11.7109375" style="173" customWidth="1"/>
    <col min="12" max="12" width="8" style="173" customWidth="1"/>
    <col min="13" max="13" width="5.5703125" style="173" customWidth="1"/>
    <col min="14" max="14" width="12.5703125" style="173" customWidth="1"/>
    <col min="15" max="15" width="10.140625" style="173" customWidth="1"/>
    <col min="16" max="16" width="30.28515625" style="173" customWidth="1"/>
    <col min="17" max="17" width="6.140625" style="173" customWidth="1"/>
    <col min="18" max="18" width="5.85546875" style="173" customWidth="1"/>
    <col min="19" max="19" width="17.140625" style="173" customWidth="1"/>
    <col min="20" max="20" width="7.5703125" style="173" customWidth="1"/>
    <col min="21" max="16384" width="8.85546875" style="173"/>
  </cols>
  <sheetData>
    <row r="1" spans="1:21" ht="15.75" thickBot="1" x14ac:dyDescent="0.3">
      <c r="K1" s="174"/>
    </row>
    <row r="2" spans="1:21" ht="15.75" thickBot="1" x14ac:dyDescent="0.3">
      <c r="B2" s="317" t="s">
        <v>99</v>
      </c>
      <c r="C2" s="318"/>
      <c r="D2" s="318"/>
      <c r="E2" s="318"/>
      <c r="F2" s="319"/>
      <c r="H2" s="317" t="s">
        <v>109</v>
      </c>
      <c r="I2" s="318"/>
      <c r="J2" s="318"/>
      <c r="K2" s="318"/>
      <c r="L2" s="319"/>
      <c r="M2" s="175"/>
      <c r="N2" s="175"/>
      <c r="O2" s="353" t="s">
        <v>110</v>
      </c>
      <c r="P2" s="354"/>
      <c r="Q2" s="354"/>
      <c r="R2" s="354"/>
      <c r="S2" s="354"/>
      <c r="T2" s="355"/>
    </row>
    <row r="3" spans="1:21" ht="15.75" thickBot="1" x14ac:dyDescent="0.3">
      <c r="B3" s="314"/>
      <c r="C3" s="315"/>
      <c r="D3" s="315"/>
      <c r="E3" s="315"/>
      <c r="F3" s="316"/>
      <c r="G3" s="176"/>
      <c r="H3" s="314"/>
      <c r="I3" s="315"/>
      <c r="J3" s="315"/>
      <c r="K3" s="315"/>
      <c r="L3" s="316"/>
      <c r="M3" s="175"/>
      <c r="N3" s="175"/>
      <c r="O3" s="356"/>
      <c r="P3" s="357"/>
      <c r="Q3" s="357"/>
      <c r="R3" s="357"/>
      <c r="S3" s="357"/>
      <c r="T3" s="358"/>
    </row>
    <row r="4" spans="1:21" ht="15.75" thickBot="1" x14ac:dyDescent="0.3">
      <c r="B4" s="294" t="s">
        <v>155</v>
      </c>
      <c r="C4" s="295"/>
      <c r="D4" s="295"/>
      <c r="E4" s="295"/>
      <c r="F4" s="296"/>
      <c r="G4" s="176"/>
      <c r="H4" s="317" t="s">
        <v>156</v>
      </c>
      <c r="I4" s="318"/>
      <c r="J4" s="318"/>
      <c r="K4" s="318"/>
      <c r="L4" s="319"/>
      <c r="M4" s="177"/>
      <c r="N4" s="177"/>
      <c r="O4" s="359" t="s">
        <v>100</v>
      </c>
      <c r="P4" s="360"/>
      <c r="Q4" s="360"/>
      <c r="R4" s="360"/>
      <c r="S4" s="360"/>
      <c r="T4" s="361"/>
    </row>
    <row r="5" spans="1:21" x14ac:dyDescent="0.25">
      <c r="B5" s="297" t="s">
        <v>180</v>
      </c>
      <c r="C5" s="298"/>
      <c r="D5" s="298"/>
      <c r="E5" s="298"/>
      <c r="F5" s="299"/>
      <c r="G5" s="176"/>
      <c r="H5" s="305" t="s">
        <v>157</v>
      </c>
      <c r="I5" s="306"/>
      <c r="J5" s="306"/>
      <c r="K5" s="306"/>
      <c r="L5" s="307"/>
      <c r="M5" s="177"/>
      <c r="N5" s="177"/>
      <c r="O5" s="333" t="s">
        <v>101</v>
      </c>
      <c r="P5" s="335" t="s">
        <v>89</v>
      </c>
      <c r="Q5" s="335" t="s">
        <v>90</v>
      </c>
      <c r="R5" s="335"/>
      <c r="S5" s="335" t="s">
        <v>102</v>
      </c>
      <c r="T5" s="337" t="s">
        <v>68</v>
      </c>
    </row>
    <row r="6" spans="1:21" x14ac:dyDescent="0.25">
      <c r="A6" s="176"/>
      <c r="B6" s="178" t="s">
        <v>91</v>
      </c>
      <c r="C6" s="179" t="s">
        <v>69</v>
      </c>
      <c r="D6" s="179" t="s">
        <v>70</v>
      </c>
      <c r="E6" s="179" t="s">
        <v>67</v>
      </c>
      <c r="F6" s="180" t="s">
        <v>45</v>
      </c>
      <c r="G6" s="176"/>
      <c r="H6" s="308" t="s">
        <v>181</v>
      </c>
      <c r="I6" s="309"/>
      <c r="J6" s="310"/>
      <c r="K6" s="181">
        <v>5</v>
      </c>
      <c r="L6" s="182" t="s">
        <v>1</v>
      </c>
      <c r="M6" s="177"/>
      <c r="N6" s="177"/>
      <c r="O6" s="334"/>
      <c r="P6" s="336"/>
      <c r="Q6" s="348"/>
      <c r="R6" s="348"/>
      <c r="S6" s="336"/>
      <c r="T6" s="338"/>
      <c r="U6" s="176"/>
    </row>
    <row r="7" spans="1:21" x14ac:dyDescent="0.25">
      <c r="A7" s="176"/>
      <c r="B7" s="178" t="s">
        <v>72</v>
      </c>
      <c r="C7" s="179"/>
      <c r="D7" s="183" t="s">
        <v>73</v>
      </c>
      <c r="E7" s="184">
        <v>5445.66</v>
      </c>
      <c r="F7" s="182" t="s">
        <v>71</v>
      </c>
      <c r="H7" s="308" t="s">
        <v>182</v>
      </c>
      <c r="I7" s="309"/>
      <c r="J7" s="310"/>
      <c r="K7" s="184">
        <f>E14</f>
        <v>33.874610000000004</v>
      </c>
      <c r="L7" s="182" t="s">
        <v>1</v>
      </c>
      <c r="M7" s="177"/>
      <c r="N7" s="177"/>
      <c r="O7" s="186" t="s">
        <v>103</v>
      </c>
      <c r="P7" s="187" t="s">
        <v>112</v>
      </c>
      <c r="Q7" s="188">
        <v>3</v>
      </c>
      <c r="R7" s="189" t="s">
        <v>92</v>
      </c>
      <c r="S7" s="190">
        <f>K10</f>
        <v>100.97461000000001</v>
      </c>
      <c r="T7" s="191" t="s">
        <v>1</v>
      </c>
      <c r="U7" s="176"/>
    </row>
    <row r="8" spans="1:21" x14ac:dyDescent="0.25">
      <c r="B8" s="178" t="s">
        <v>74</v>
      </c>
      <c r="C8" s="179"/>
      <c r="D8" s="183" t="s">
        <v>75</v>
      </c>
      <c r="E8" s="184">
        <v>4644.63</v>
      </c>
      <c r="F8" s="182" t="s">
        <v>71</v>
      </c>
      <c r="H8" s="308" t="s">
        <v>183</v>
      </c>
      <c r="I8" s="309"/>
      <c r="J8" s="310"/>
      <c r="K8" s="184">
        <v>32.1</v>
      </c>
      <c r="L8" s="182" t="s">
        <v>1</v>
      </c>
      <c r="M8" s="192"/>
      <c r="N8" s="192"/>
      <c r="O8" s="308"/>
      <c r="P8" s="309"/>
      <c r="Q8" s="347"/>
      <c r="R8" s="347"/>
      <c r="S8" s="309"/>
      <c r="T8" s="346"/>
    </row>
    <row r="9" spans="1:21" x14ac:dyDescent="0.25">
      <c r="B9" s="178" t="s">
        <v>76</v>
      </c>
      <c r="C9" s="179"/>
      <c r="D9" s="183" t="s">
        <v>77</v>
      </c>
      <c r="E9" s="184">
        <v>3801.05</v>
      </c>
      <c r="F9" s="182" t="s">
        <v>71</v>
      </c>
      <c r="H9" s="308" t="s">
        <v>158</v>
      </c>
      <c r="I9" s="309"/>
      <c r="J9" s="310"/>
      <c r="K9" s="184">
        <v>30</v>
      </c>
      <c r="L9" s="182" t="s">
        <v>1</v>
      </c>
      <c r="M9" s="177"/>
      <c r="N9" s="177"/>
      <c r="O9" s="186" t="s">
        <v>105</v>
      </c>
      <c r="P9" s="187" t="s">
        <v>159</v>
      </c>
      <c r="Q9" s="188">
        <v>3</v>
      </c>
      <c r="R9" s="189" t="s">
        <v>92</v>
      </c>
      <c r="S9" s="190">
        <f>K17</f>
        <v>99.423789999999997</v>
      </c>
      <c r="T9" s="191" t="s">
        <v>1</v>
      </c>
    </row>
    <row r="10" spans="1:21" x14ac:dyDescent="0.25">
      <c r="B10" s="178" t="s">
        <v>78</v>
      </c>
      <c r="C10" s="179"/>
      <c r="D10" s="183" t="s">
        <v>79</v>
      </c>
      <c r="E10" s="184">
        <v>1156.3499999999999</v>
      </c>
      <c r="F10" s="182" t="s">
        <v>71</v>
      </c>
      <c r="H10" s="311" t="s">
        <v>104</v>
      </c>
      <c r="I10" s="312"/>
      <c r="J10" s="313"/>
      <c r="K10" s="193">
        <f>SUM(K6:K9)</f>
        <v>100.97461000000001</v>
      </c>
      <c r="L10" s="194" t="s">
        <v>1</v>
      </c>
      <c r="M10" s="177"/>
      <c r="N10" s="177"/>
      <c r="O10" s="308"/>
      <c r="P10" s="309"/>
      <c r="Q10" s="347"/>
      <c r="R10" s="347"/>
      <c r="S10" s="309"/>
      <c r="T10" s="346"/>
    </row>
    <row r="11" spans="1:21" ht="15.75" thickBot="1" x14ac:dyDescent="0.3">
      <c r="B11" s="178" t="s">
        <v>80</v>
      </c>
      <c r="C11" s="179"/>
      <c r="D11" s="183" t="s">
        <v>81</v>
      </c>
      <c r="E11" s="184">
        <v>9185.7099999999991</v>
      </c>
      <c r="F11" s="182" t="s">
        <v>71</v>
      </c>
      <c r="H11" s="302"/>
      <c r="I11" s="303"/>
      <c r="J11" s="303"/>
      <c r="K11" s="303"/>
      <c r="L11" s="304"/>
      <c r="O11" s="186" t="s">
        <v>106</v>
      </c>
      <c r="P11" s="187" t="s">
        <v>112</v>
      </c>
      <c r="Q11" s="188">
        <v>3</v>
      </c>
      <c r="R11" s="189" t="s">
        <v>92</v>
      </c>
      <c r="S11" s="190">
        <f>K24</f>
        <v>129.59824000000003</v>
      </c>
      <c r="T11" s="191" t="s">
        <v>1</v>
      </c>
    </row>
    <row r="12" spans="1:21" x14ac:dyDescent="0.25">
      <c r="B12" s="178" t="s">
        <v>82</v>
      </c>
      <c r="C12" s="179"/>
      <c r="D12" s="183" t="s">
        <v>83</v>
      </c>
      <c r="E12" s="184">
        <v>2652.91</v>
      </c>
      <c r="F12" s="182" t="s">
        <v>71</v>
      </c>
      <c r="H12" s="305" t="s">
        <v>160</v>
      </c>
      <c r="I12" s="306"/>
      <c r="J12" s="306"/>
      <c r="K12" s="306"/>
      <c r="L12" s="307"/>
      <c r="M12" s="195"/>
      <c r="N12" s="195"/>
      <c r="O12" s="349"/>
      <c r="P12" s="350"/>
      <c r="Q12" s="351"/>
      <c r="R12" s="351"/>
      <c r="S12" s="350"/>
      <c r="T12" s="352"/>
    </row>
    <row r="13" spans="1:21" x14ac:dyDescent="0.25">
      <c r="B13" s="178" t="s">
        <v>84</v>
      </c>
      <c r="C13" s="179"/>
      <c r="D13" s="183" t="s">
        <v>85</v>
      </c>
      <c r="E13" s="184">
        <v>6988.3</v>
      </c>
      <c r="F13" s="182" t="s">
        <v>71</v>
      </c>
      <c r="H13" s="308" t="s">
        <v>181</v>
      </c>
      <c r="I13" s="309"/>
      <c r="J13" s="310"/>
      <c r="K13" s="181">
        <v>5</v>
      </c>
      <c r="L13" s="182" t="s">
        <v>1</v>
      </c>
      <c r="M13" s="195"/>
      <c r="N13" s="195"/>
      <c r="O13" s="186" t="s">
        <v>114</v>
      </c>
      <c r="P13" s="187" t="s">
        <v>163</v>
      </c>
      <c r="Q13" s="188">
        <v>2</v>
      </c>
      <c r="R13" s="189" t="s">
        <v>92</v>
      </c>
      <c r="S13" s="190">
        <f>K31</f>
        <v>100.1216</v>
      </c>
      <c r="T13" s="191" t="s">
        <v>1</v>
      </c>
    </row>
    <row r="14" spans="1:21" ht="15.75" thickBot="1" x14ac:dyDescent="0.3">
      <c r="B14" s="300" t="s">
        <v>88</v>
      </c>
      <c r="C14" s="301"/>
      <c r="D14" s="301"/>
      <c r="E14" s="196">
        <f>SUM(E7:E13)/1000</f>
        <v>33.874610000000004</v>
      </c>
      <c r="F14" s="197" t="s">
        <v>1</v>
      </c>
      <c r="H14" s="308" t="s">
        <v>182</v>
      </c>
      <c r="I14" s="309"/>
      <c r="J14" s="310"/>
      <c r="K14" s="184">
        <f>E27</f>
        <v>32.323790000000002</v>
      </c>
      <c r="L14" s="182" t="s">
        <v>1</v>
      </c>
      <c r="M14" s="176"/>
      <c r="N14" s="176"/>
      <c r="O14" s="308"/>
      <c r="P14" s="309"/>
      <c r="Q14" s="345"/>
      <c r="R14" s="345"/>
      <c r="S14" s="309"/>
      <c r="T14" s="346"/>
    </row>
    <row r="15" spans="1:21" x14ac:dyDescent="0.25">
      <c r="B15" s="288"/>
      <c r="C15" s="289"/>
      <c r="D15" s="289"/>
      <c r="E15" s="289"/>
      <c r="F15" s="290"/>
      <c r="H15" s="308" t="s">
        <v>183</v>
      </c>
      <c r="I15" s="309"/>
      <c r="J15" s="310"/>
      <c r="K15" s="184">
        <v>32.1</v>
      </c>
      <c r="L15" s="182" t="s">
        <v>1</v>
      </c>
      <c r="M15" s="176"/>
      <c r="N15" s="176"/>
      <c r="O15" s="323" t="s">
        <v>93</v>
      </c>
      <c r="P15" s="324"/>
      <c r="Q15" s="324"/>
      <c r="R15" s="324"/>
      <c r="S15" s="93">
        <f>(S7*Q7)+(Q9*S9)+(Q11*S11)+(Q13*S13)</f>
        <v>1190.2331200000003</v>
      </c>
      <c r="T15" s="199" t="s">
        <v>94</v>
      </c>
    </row>
    <row r="16" spans="1:21" ht="15.75" thickBot="1" x14ac:dyDescent="0.3">
      <c r="B16" s="291"/>
      <c r="C16" s="292"/>
      <c r="D16" s="292"/>
      <c r="E16" s="292"/>
      <c r="F16" s="293"/>
      <c r="H16" s="308" t="s">
        <v>158</v>
      </c>
      <c r="I16" s="309"/>
      <c r="J16" s="310"/>
      <c r="K16" s="184">
        <v>30</v>
      </c>
      <c r="L16" s="182" t="s">
        <v>1</v>
      </c>
      <c r="M16" s="176"/>
      <c r="N16" s="176"/>
      <c r="O16" s="325" t="s">
        <v>95</v>
      </c>
      <c r="P16" s="326"/>
      <c r="Q16" s="326"/>
      <c r="R16" s="326"/>
      <c r="S16" s="200">
        <f>((S15/7)*30)</f>
        <v>5100.9990857142866</v>
      </c>
      <c r="T16" s="201" t="s">
        <v>94</v>
      </c>
    </row>
    <row r="17" spans="2:20" ht="15.75" thickBot="1" x14ac:dyDescent="0.3">
      <c r="B17" s="294" t="s">
        <v>161</v>
      </c>
      <c r="C17" s="295"/>
      <c r="D17" s="295"/>
      <c r="E17" s="295"/>
      <c r="F17" s="296"/>
      <c r="H17" s="311" t="s">
        <v>104</v>
      </c>
      <c r="I17" s="312"/>
      <c r="J17" s="313"/>
      <c r="K17" s="193">
        <f>SUM(K13:K16)</f>
        <v>99.423789999999997</v>
      </c>
      <c r="L17" s="194" t="s">
        <v>1</v>
      </c>
      <c r="M17" s="176"/>
      <c r="N17" s="213"/>
      <c r="O17" s="339"/>
      <c r="P17" s="340"/>
      <c r="Q17" s="340"/>
      <c r="R17" s="340"/>
      <c r="S17" s="340"/>
      <c r="T17" s="341"/>
    </row>
    <row r="18" spans="2:20" ht="15.75" thickBot="1" x14ac:dyDescent="0.3">
      <c r="B18" s="297" t="s">
        <v>184</v>
      </c>
      <c r="C18" s="298"/>
      <c r="D18" s="298"/>
      <c r="E18" s="298"/>
      <c r="F18" s="299"/>
      <c r="H18" s="302"/>
      <c r="I18" s="303"/>
      <c r="J18" s="303"/>
      <c r="K18" s="303"/>
      <c r="L18" s="304"/>
      <c r="M18" s="176"/>
      <c r="N18" s="176"/>
      <c r="O18" s="342"/>
      <c r="P18" s="343"/>
      <c r="Q18" s="343"/>
      <c r="R18" s="343"/>
      <c r="S18" s="343"/>
      <c r="T18" s="344"/>
    </row>
    <row r="19" spans="2:20" ht="15.75" thickBot="1" x14ac:dyDescent="0.3">
      <c r="B19" s="178" t="s">
        <v>91</v>
      </c>
      <c r="C19" s="179" t="s">
        <v>69</v>
      </c>
      <c r="D19" s="179" t="s">
        <v>70</v>
      </c>
      <c r="E19" s="179" t="s">
        <v>67</v>
      </c>
      <c r="F19" s="180" t="s">
        <v>45</v>
      </c>
      <c r="H19" s="305" t="s">
        <v>165</v>
      </c>
      <c r="I19" s="306"/>
      <c r="J19" s="306"/>
      <c r="K19" s="306"/>
      <c r="L19" s="307"/>
      <c r="M19" s="176"/>
      <c r="N19" s="176"/>
      <c r="O19" s="330" t="s">
        <v>201</v>
      </c>
      <c r="P19" s="331"/>
      <c r="Q19" s="331"/>
      <c r="R19" s="331"/>
      <c r="S19" s="331"/>
      <c r="T19" s="332"/>
    </row>
    <row r="20" spans="2:20" x14ac:dyDescent="0.25">
      <c r="B20" s="178" t="s">
        <v>72</v>
      </c>
      <c r="C20" s="179"/>
      <c r="D20" s="183" t="s">
        <v>73</v>
      </c>
      <c r="E20" s="184">
        <v>5445.66</v>
      </c>
      <c r="F20" s="182" t="s">
        <v>71</v>
      </c>
      <c r="H20" s="308" t="s">
        <v>181</v>
      </c>
      <c r="I20" s="309"/>
      <c r="J20" s="310"/>
      <c r="K20" s="181">
        <v>5</v>
      </c>
      <c r="L20" s="182" t="s">
        <v>1</v>
      </c>
      <c r="M20" s="176"/>
      <c r="N20" s="176"/>
      <c r="O20" s="333" t="s">
        <v>101</v>
      </c>
      <c r="P20" s="335" t="s">
        <v>89</v>
      </c>
      <c r="Q20" s="335" t="s">
        <v>90</v>
      </c>
      <c r="R20" s="335"/>
      <c r="S20" s="335" t="s">
        <v>102</v>
      </c>
      <c r="T20" s="337" t="s">
        <v>68</v>
      </c>
    </row>
    <row r="21" spans="2:20" x14ac:dyDescent="0.25">
      <c r="B21" s="178" t="s">
        <v>74</v>
      </c>
      <c r="C21" s="179"/>
      <c r="D21" s="183" t="s">
        <v>75</v>
      </c>
      <c r="E21" s="184">
        <v>4644.63</v>
      </c>
      <c r="F21" s="182" t="s">
        <v>71</v>
      </c>
      <c r="H21" s="308" t="s">
        <v>182</v>
      </c>
      <c r="I21" s="309"/>
      <c r="J21" s="310"/>
      <c r="K21" s="184">
        <f>E42</f>
        <v>62.798240000000014</v>
      </c>
      <c r="L21" s="182" t="s">
        <v>1</v>
      </c>
      <c r="M21" s="176"/>
      <c r="N21" s="176"/>
      <c r="O21" s="334"/>
      <c r="P21" s="336"/>
      <c r="Q21" s="336"/>
      <c r="R21" s="336"/>
      <c r="S21" s="336"/>
      <c r="T21" s="338"/>
    </row>
    <row r="22" spans="2:20" x14ac:dyDescent="0.25">
      <c r="B22" s="178" t="s">
        <v>76</v>
      </c>
      <c r="C22" s="179"/>
      <c r="D22" s="183" t="s">
        <v>77</v>
      </c>
      <c r="E22" s="184">
        <v>3801.05</v>
      </c>
      <c r="F22" s="182" t="s">
        <v>71</v>
      </c>
      <c r="H22" s="308" t="s">
        <v>183</v>
      </c>
      <c r="I22" s="309"/>
      <c r="J22" s="310"/>
      <c r="K22" s="184">
        <v>31.8</v>
      </c>
      <c r="L22" s="182" t="s">
        <v>1</v>
      </c>
      <c r="M22" s="176"/>
      <c r="N22" s="176"/>
      <c r="O22" s="186" t="s">
        <v>116</v>
      </c>
      <c r="P22" s="253" t="s">
        <v>226</v>
      </c>
      <c r="Q22" s="218">
        <v>3</v>
      </c>
      <c r="R22" s="219" t="s">
        <v>92</v>
      </c>
      <c r="S22" s="220">
        <f>K43</f>
        <v>108.35294</v>
      </c>
      <c r="T22" s="191" t="s">
        <v>1</v>
      </c>
    </row>
    <row r="23" spans="2:20" x14ac:dyDescent="0.25">
      <c r="B23" s="178" t="s">
        <v>78</v>
      </c>
      <c r="C23" s="179"/>
      <c r="D23" s="183" t="s">
        <v>79</v>
      </c>
      <c r="E23" s="184">
        <v>1192.58</v>
      </c>
      <c r="F23" s="182" t="s">
        <v>71</v>
      </c>
      <c r="H23" s="308" t="s">
        <v>158</v>
      </c>
      <c r="I23" s="309"/>
      <c r="J23" s="310"/>
      <c r="K23" s="184">
        <v>30</v>
      </c>
      <c r="L23" s="182" t="s">
        <v>1</v>
      </c>
      <c r="M23" s="177"/>
      <c r="N23" s="177"/>
      <c r="O23" s="327"/>
      <c r="P23" s="328"/>
      <c r="Q23" s="328"/>
      <c r="R23" s="328"/>
      <c r="S23" s="328"/>
      <c r="T23" s="329"/>
    </row>
    <row r="24" spans="2:20" x14ac:dyDescent="0.25">
      <c r="B24" s="178" t="s">
        <v>80</v>
      </c>
      <c r="C24" s="179"/>
      <c r="D24" s="183" t="s">
        <v>81</v>
      </c>
      <c r="E24" s="184">
        <v>7259.46</v>
      </c>
      <c r="F24" s="182" t="s">
        <v>71</v>
      </c>
      <c r="H24" s="311" t="s">
        <v>104</v>
      </c>
      <c r="I24" s="312"/>
      <c r="J24" s="313"/>
      <c r="K24" s="193">
        <f>SUM(K20:K23)</f>
        <v>129.59824000000003</v>
      </c>
      <c r="L24" s="194" t="s">
        <v>1</v>
      </c>
      <c r="M24" s="177"/>
      <c r="N24" s="177"/>
      <c r="O24" s="186" t="s">
        <v>117</v>
      </c>
      <c r="P24" s="253" t="s">
        <v>190</v>
      </c>
      <c r="Q24" s="218">
        <v>2</v>
      </c>
      <c r="R24" s="219" t="s">
        <v>92</v>
      </c>
      <c r="S24" s="220">
        <f>K50</f>
        <v>128.95686999999998</v>
      </c>
      <c r="T24" s="191" t="s">
        <v>1</v>
      </c>
    </row>
    <row r="25" spans="2:20" ht="15.75" thickBot="1" x14ac:dyDescent="0.3">
      <c r="B25" s="178" t="s">
        <v>82</v>
      </c>
      <c r="C25" s="179"/>
      <c r="D25" s="183" t="s">
        <v>83</v>
      </c>
      <c r="E25" s="184">
        <v>5346.91</v>
      </c>
      <c r="F25" s="182" t="s">
        <v>71</v>
      </c>
      <c r="H25" s="302"/>
      <c r="I25" s="303"/>
      <c r="J25" s="303"/>
      <c r="K25" s="303"/>
      <c r="L25" s="304"/>
      <c r="M25" s="177"/>
      <c r="N25" s="177"/>
      <c r="O25" s="327"/>
      <c r="P25" s="328"/>
      <c r="Q25" s="328"/>
      <c r="R25" s="328"/>
      <c r="S25" s="328"/>
      <c r="T25" s="329"/>
    </row>
    <row r="26" spans="2:20" x14ac:dyDescent="0.25">
      <c r="B26" s="178" t="s">
        <v>84</v>
      </c>
      <c r="C26" s="179"/>
      <c r="D26" s="183" t="s">
        <v>85</v>
      </c>
      <c r="E26" s="184">
        <v>4633.5</v>
      </c>
      <c r="F26" s="182" t="s">
        <v>71</v>
      </c>
      <c r="H26" s="305" t="s">
        <v>113</v>
      </c>
      <c r="I26" s="306"/>
      <c r="J26" s="306"/>
      <c r="K26" s="306"/>
      <c r="L26" s="307"/>
      <c r="O26" s="186" t="s">
        <v>118</v>
      </c>
      <c r="P26" s="253" t="s">
        <v>227</v>
      </c>
      <c r="Q26" s="218">
        <v>2</v>
      </c>
      <c r="R26" s="219" t="s">
        <v>92</v>
      </c>
      <c r="S26" s="220">
        <f>K57</f>
        <v>123.93360999999999</v>
      </c>
      <c r="T26" s="191" t="s">
        <v>1</v>
      </c>
    </row>
    <row r="27" spans="2:20" ht="15.75" thickBot="1" x14ac:dyDescent="0.3">
      <c r="B27" s="300" t="s">
        <v>88</v>
      </c>
      <c r="C27" s="301"/>
      <c r="D27" s="301"/>
      <c r="E27" s="196">
        <f>SUM(E20:E26)/1000</f>
        <v>32.323790000000002</v>
      </c>
      <c r="F27" s="197" t="s">
        <v>1</v>
      </c>
      <c r="H27" s="308" t="s">
        <v>181</v>
      </c>
      <c r="I27" s="309"/>
      <c r="J27" s="310"/>
      <c r="K27" s="181">
        <v>5</v>
      </c>
      <c r="L27" s="182" t="s">
        <v>1</v>
      </c>
      <c r="M27" s="177"/>
      <c r="N27" s="177"/>
      <c r="O27" s="320"/>
      <c r="P27" s="321"/>
      <c r="Q27" s="321"/>
      <c r="R27" s="321"/>
      <c r="S27" s="321"/>
      <c r="T27" s="322"/>
    </row>
    <row r="28" spans="2:20" x14ac:dyDescent="0.25">
      <c r="B28" s="288"/>
      <c r="C28" s="289"/>
      <c r="D28" s="289"/>
      <c r="E28" s="289"/>
      <c r="F28" s="290"/>
      <c r="H28" s="308" t="s">
        <v>182</v>
      </c>
      <c r="I28" s="309"/>
      <c r="J28" s="310"/>
      <c r="K28" s="185">
        <f>E55</f>
        <v>31.8216</v>
      </c>
      <c r="L28" s="182" t="s">
        <v>1</v>
      </c>
      <c r="O28" s="224" t="s">
        <v>162</v>
      </c>
      <c r="P28" s="215" t="s">
        <v>167</v>
      </c>
      <c r="Q28" s="221">
        <f>(2/30)*7</f>
        <v>0.46666666666666667</v>
      </c>
      <c r="R28" s="222" t="s">
        <v>92</v>
      </c>
      <c r="S28" s="223">
        <f>K64</f>
        <v>161.22220000000002</v>
      </c>
      <c r="T28" s="225" t="s">
        <v>1</v>
      </c>
    </row>
    <row r="29" spans="2:20" ht="15.75" thickBot="1" x14ac:dyDescent="0.3">
      <c r="B29" s="291"/>
      <c r="C29" s="292"/>
      <c r="D29" s="292"/>
      <c r="E29" s="292"/>
      <c r="F29" s="293"/>
      <c r="H29" s="308" t="s">
        <v>183</v>
      </c>
      <c r="I29" s="309"/>
      <c r="J29" s="310"/>
      <c r="K29" s="184">
        <v>33.299999999999997</v>
      </c>
      <c r="L29" s="182" t="s">
        <v>1</v>
      </c>
      <c r="O29" s="320"/>
      <c r="P29" s="321"/>
      <c r="Q29" s="321"/>
      <c r="R29" s="321"/>
      <c r="S29" s="321"/>
      <c r="T29" s="322"/>
    </row>
    <row r="30" spans="2:20" ht="15.75" thickBot="1" x14ac:dyDescent="0.3">
      <c r="B30" s="294" t="s">
        <v>166</v>
      </c>
      <c r="C30" s="295"/>
      <c r="D30" s="295"/>
      <c r="E30" s="295"/>
      <c r="F30" s="296"/>
      <c r="H30" s="308" t="s">
        <v>158</v>
      </c>
      <c r="I30" s="309"/>
      <c r="J30" s="310"/>
      <c r="K30" s="184">
        <v>30</v>
      </c>
      <c r="L30" s="182" t="s">
        <v>1</v>
      </c>
      <c r="O30" s="224" t="s">
        <v>164</v>
      </c>
      <c r="P30" s="215" t="s">
        <v>167</v>
      </c>
      <c r="Q30" s="221">
        <f>(2/30)*7</f>
        <v>0.46666666666666667</v>
      </c>
      <c r="R30" s="222" t="s">
        <v>92</v>
      </c>
      <c r="S30" s="223">
        <f>K71</f>
        <v>161.81375</v>
      </c>
      <c r="T30" s="225" t="s">
        <v>1</v>
      </c>
    </row>
    <row r="31" spans="2:20" x14ac:dyDescent="0.25">
      <c r="B31" s="297" t="s">
        <v>185</v>
      </c>
      <c r="C31" s="298"/>
      <c r="D31" s="298"/>
      <c r="E31" s="298"/>
      <c r="F31" s="299"/>
      <c r="H31" s="311" t="s">
        <v>104</v>
      </c>
      <c r="I31" s="312"/>
      <c r="J31" s="313"/>
      <c r="K31" s="193">
        <f>SUM(K27:K30)</f>
        <v>100.1216</v>
      </c>
      <c r="L31" s="194" t="s">
        <v>1</v>
      </c>
      <c r="O31" s="320"/>
      <c r="P31" s="321"/>
      <c r="Q31" s="321"/>
      <c r="R31" s="321"/>
      <c r="S31" s="321"/>
      <c r="T31" s="322"/>
    </row>
    <row r="32" spans="2:20" ht="15.75" thickBot="1" x14ac:dyDescent="0.3">
      <c r="B32" s="178" t="s">
        <v>91</v>
      </c>
      <c r="C32" s="179" t="s">
        <v>69</v>
      </c>
      <c r="D32" s="179" t="s">
        <v>70</v>
      </c>
      <c r="E32" s="179" t="s">
        <v>67</v>
      </c>
      <c r="F32" s="180" t="s">
        <v>45</v>
      </c>
      <c r="H32" s="202"/>
      <c r="I32" s="203"/>
      <c r="J32" s="203"/>
      <c r="K32" s="203"/>
      <c r="L32" s="204"/>
      <c r="O32" s="323" t="s">
        <v>93</v>
      </c>
      <c r="P32" s="324"/>
      <c r="Q32" s="324"/>
      <c r="R32" s="324"/>
      <c r="S32" s="198">
        <f>(Q22*S22)+(Q24*S24)+(Q26*S26)+(Q28*S28)+(Q30*S30)</f>
        <v>981.58988999999997</v>
      </c>
      <c r="T32" s="199" t="s">
        <v>94</v>
      </c>
    </row>
    <row r="33" spans="2:20" ht="15.75" thickBot="1" x14ac:dyDescent="0.3">
      <c r="B33" s="178" t="s">
        <v>72</v>
      </c>
      <c r="C33" s="179"/>
      <c r="D33" s="183" t="s">
        <v>73</v>
      </c>
      <c r="E33" s="184">
        <v>7254.58</v>
      </c>
      <c r="F33" s="182" t="s">
        <v>71</v>
      </c>
      <c r="K33" s="174"/>
      <c r="O33" s="325" t="s">
        <v>95</v>
      </c>
      <c r="P33" s="326"/>
      <c r="Q33" s="326"/>
      <c r="R33" s="326"/>
      <c r="S33" s="200">
        <f>((S32/7)*30)</f>
        <v>4206.8138142857142</v>
      </c>
      <c r="T33" s="201" t="s">
        <v>94</v>
      </c>
    </row>
    <row r="34" spans="2:20" ht="15.75" thickBot="1" x14ac:dyDescent="0.3">
      <c r="B34" s="178" t="s">
        <v>74</v>
      </c>
      <c r="C34" s="179"/>
      <c r="D34" s="183" t="s">
        <v>75</v>
      </c>
      <c r="E34" s="184">
        <v>6539.29</v>
      </c>
      <c r="F34" s="182" t="s">
        <v>71</v>
      </c>
    </row>
    <row r="35" spans="2:20" ht="15.75" thickBot="1" x14ac:dyDescent="0.3">
      <c r="B35" s="178" t="s">
        <v>76</v>
      </c>
      <c r="C35" s="179"/>
      <c r="D35" s="183" t="s">
        <v>77</v>
      </c>
      <c r="E35" s="184">
        <v>12643.35</v>
      </c>
      <c r="F35" s="182" t="s">
        <v>71</v>
      </c>
      <c r="H35" s="317" t="s">
        <v>109</v>
      </c>
      <c r="I35" s="318"/>
      <c r="J35" s="318"/>
      <c r="K35" s="318"/>
      <c r="L35" s="319"/>
    </row>
    <row r="36" spans="2:20" ht="15.75" thickBot="1" x14ac:dyDescent="0.3">
      <c r="B36" s="178" t="s">
        <v>78</v>
      </c>
      <c r="C36" s="179"/>
      <c r="D36" s="183" t="s">
        <v>79</v>
      </c>
      <c r="E36" s="184">
        <v>6030.66</v>
      </c>
      <c r="F36" s="182" t="s">
        <v>71</v>
      </c>
      <c r="H36" s="314"/>
      <c r="I36" s="315"/>
      <c r="J36" s="315"/>
      <c r="K36" s="315"/>
      <c r="L36" s="316"/>
    </row>
    <row r="37" spans="2:20" ht="15.75" thickBot="1" x14ac:dyDescent="0.3">
      <c r="B37" s="178" t="s">
        <v>80</v>
      </c>
      <c r="C37" s="179"/>
      <c r="D37" s="183" t="s">
        <v>81</v>
      </c>
      <c r="E37" s="184">
        <v>5597.45</v>
      </c>
      <c r="F37" s="182" t="s">
        <v>71</v>
      </c>
      <c r="H37" s="317" t="s">
        <v>168</v>
      </c>
      <c r="I37" s="318"/>
      <c r="J37" s="318"/>
      <c r="K37" s="318"/>
      <c r="L37" s="319"/>
      <c r="O37" s="192"/>
      <c r="P37" s="192"/>
      <c r="Q37" s="192"/>
      <c r="R37" s="192"/>
      <c r="S37" s="192"/>
      <c r="T37" s="192"/>
    </row>
    <row r="38" spans="2:20" x14ac:dyDescent="0.25">
      <c r="B38" s="178" t="s">
        <v>82</v>
      </c>
      <c r="C38" s="179"/>
      <c r="D38" s="183" t="s">
        <v>83</v>
      </c>
      <c r="E38" s="184">
        <v>7114.27</v>
      </c>
      <c r="F38" s="182" t="s">
        <v>71</v>
      </c>
      <c r="H38" s="305" t="s">
        <v>115</v>
      </c>
      <c r="I38" s="306"/>
      <c r="J38" s="306"/>
      <c r="K38" s="306"/>
      <c r="L38" s="307"/>
      <c r="O38" s="207"/>
      <c r="P38" s="208"/>
      <c r="Q38" s="209"/>
      <c r="R38" s="210"/>
      <c r="S38" s="211"/>
      <c r="T38" s="211"/>
    </row>
    <row r="39" spans="2:20" x14ac:dyDescent="0.25">
      <c r="B39" s="178" t="s">
        <v>84</v>
      </c>
      <c r="C39" s="179"/>
      <c r="D39" s="183" t="s">
        <v>85</v>
      </c>
      <c r="E39" s="184">
        <v>5608.08</v>
      </c>
      <c r="F39" s="182" t="s">
        <v>71</v>
      </c>
      <c r="H39" s="308" t="s">
        <v>181</v>
      </c>
      <c r="I39" s="309"/>
      <c r="J39" s="310"/>
      <c r="K39" s="181">
        <v>5</v>
      </c>
      <c r="L39" s="182" t="s">
        <v>1</v>
      </c>
      <c r="O39" s="207"/>
      <c r="P39" s="208"/>
      <c r="Q39" s="209"/>
      <c r="R39" s="210"/>
      <c r="S39" s="211"/>
      <c r="T39" s="211"/>
    </row>
    <row r="40" spans="2:20" x14ac:dyDescent="0.25">
      <c r="B40" s="178" t="s">
        <v>86</v>
      </c>
      <c r="C40" s="205"/>
      <c r="D40" s="183" t="s">
        <v>96</v>
      </c>
      <c r="E40" s="206">
        <v>2235.12</v>
      </c>
      <c r="F40" s="182" t="s">
        <v>71</v>
      </c>
      <c r="H40" s="308" t="s">
        <v>182</v>
      </c>
      <c r="I40" s="309"/>
      <c r="J40" s="310"/>
      <c r="K40" s="185">
        <f>E69</f>
        <v>41.252940000000002</v>
      </c>
      <c r="L40" s="182" t="s">
        <v>1</v>
      </c>
      <c r="O40" s="192"/>
      <c r="P40" s="192"/>
      <c r="Q40" s="192"/>
      <c r="R40" s="192"/>
      <c r="S40" s="192"/>
      <c r="T40" s="192"/>
    </row>
    <row r="41" spans="2:20" x14ac:dyDescent="0.25">
      <c r="B41" s="178" t="s">
        <v>87</v>
      </c>
      <c r="C41" s="205"/>
      <c r="D41" s="183" t="s">
        <v>199</v>
      </c>
      <c r="E41" s="206">
        <v>9775.44</v>
      </c>
      <c r="F41" s="182" t="s">
        <v>71</v>
      </c>
      <c r="H41" s="308" t="s">
        <v>183</v>
      </c>
      <c r="I41" s="309"/>
      <c r="J41" s="310"/>
      <c r="K41" s="184">
        <v>32.1</v>
      </c>
      <c r="L41" s="182" t="s">
        <v>1</v>
      </c>
    </row>
    <row r="42" spans="2:20" ht="15.75" thickBot="1" x14ac:dyDescent="0.3">
      <c r="B42" s="300" t="s">
        <v>88</v>
      </c>
      <c r="C42" s="301"/>
      <c r="D42" s="301"/>
      <c r="E42" s="196">
        <f>SUM(E33:E41)/1000</f>
        <v>62.798240000000014</v>
      </c>
      <c r="F42" s="197" t="s">
        <v>1</v>
      </c>
      <c r="H42" s="308" t="s">
        <v>158</v>
      </c>
      <c r="I42" s="309"/>
      <c r="J42" s="310"/>
      <c r="K42" s="184">
        <v>30</v>
      </c>
      <c r="L42" s="182" t="s">
        <v>1</v>
      </c>
    </row>
    <row r="43" spans="2:20" x14ac:dyDescent="0.25">
      <c r="B43" s="288"/>
      <c r="C43" s="289"/>
      <c r="D43" s="289"/>
      <c r="E43" s="289"/>
      <c r="F43" s="290"/>
      <c r="H43" s="311" t="s">
        <v>104</v>
      </c>
      <c r="I43" s="312"/>
      <c r="J43" s="313"/>
      <c r="K43" s="193">
        <f>SUM(K39:K42)</f>
        <v>108.35294</v>
      </c>
      <c r="L43" s="194" t="s">
        <v>1</v>
      </c>
    </row>
    <row r="44" spans="2:20" ht="15.75" thickBot="1" x14ac:dyDescent="0.3">
      <c r="B44" s="291"/>
      <c r="C44" s="292"/>
      <c r="D44" s="292"/>
      <c r="E44" s="292"/>
      <c r="F44" s="293"/>
      <c r="H44" s="302"/>
      <c r="I44" s="303"/>
      <c r="J44" s="303"/>
      <c r="K44" s="303"/>
      <c r="L44" s="304"/>
    </row>
    <row r="45" spans="2:20" ht="15.75" thickBot="1" x14ac:dyDescent="0.3">
      <c r="B45" s="294" t="s">
        <v>114</v>
      </c>
      <c r="C45" s="295"/>
      <c r="D45" s="295"/>
      <c r="E45" s="295"/>
      <c r="F45" s="296"/>
      <c r="H45" s="305" t="s">
        <v>169</v>
      </c>
      <c r="I45" s="306"/>
      <c r="J45" s="306"/>
      <c r="K45" s="306"/>
      <c r="L45" s="307"/>
    </row>
    <row r="46" spans="2:20" x14ac:dyDescent="0.25">
      <c r="B46" s="297" t="s">
        <v>186</v>
      </c>
      <c r="C46" s="298"/>
      <c r="D46" s="298"/>
      <c r="E46" s="298"/>
      <c r="F46" s="299"/>
      <c r="H46" s="308" t="s">
        <v>181</v>
      </c>
      <c r="I46" s="309"/>
      <c r="J46" s="310"/>
      <c r="K46" s="181">
        <v>5</v>
      </c>
      <c r="L46" s="182" t="s">
        <v>1</v>
      </c>
    </row>
    <row r="47" spans="2:20" x14ac:dyDescent="0.25">
      <c r="B47" s="178" t="s">
        <v>91</v>
      </c>
      <c r="C47" s="179" t="s">
        <v>69</v>
      </c>
      <c r="D47" s="179" t="s">
        <v>70</v>
      </c>
      <c r="E47" s="179" t="s">
        <v>67</v>
      </c>
      <c r="F47" s="180" t="s">
        <v>45</v>
      </c>
      <c r="H47" s="308" t="s">
        <v>182</v>
      </c>
      <c r="I47" s="309"/>
      <c r="J47" s="310"/>
      <c r="K47" s="185">
        <f>E84</f>
        <v>62.156869999999998</v>
      </c>
      <c r="L47" s="182" t="s">
        <v>1</v>
      </c>
    </row>
    <row r="48" spans="2:20" x14ac:dyDescent="0.25">
      <c r="B48" s="178" t="s">
        <v>72</v>
      </c>
      <c r="C48" s="179"/>
      <c r="D48" s="183" t="s">
        <v>73</v>
      </c>
      <c r="E48" s="184">
        <v>2982.48</v>
      </c>
      <c r="F48" s="182" t="s">
        <v>71</v>
      </c>
      <c r="H48" s="308" t="s">
        <v>183</v>
      </c>
      <c r="I48" s="309"/>
      <c r="J48" s="310"/>
      <c r="K48" s="184">
        <v>31.8</v>
      </c>
      <c r="L48" s="182" t="s">
        <v>1</v>
      </c>
    </row>
    <row r="49" spans="2:12" x14ac:dyDescent="0.25">
      <c r="B49" s="178" t="s">
        <v>74</v>
      </c>
      <c r="C49" s="179"/>
      <c r="D49" s="183" t="s">
        <v>75</v>
      </c>
      <c r="E49" s="184">
        <v>5216.34</v>
      </c>
      <c r="F49" s="182" t="s">
        <v>71</v>
      </c>
      <c r="H49" s="308" t="s">
        <v>158</v>
      </c>
      <c r="I49" s="309"/>
      <c r="J49" s="310"/>
      <c r="K49" s="184">
        <v>30</v>
      </c>
      <c r="L49" s="182" t="s">
        <v>1</v>
      </c>
    </row>
    <row r="50" spans="2:12" x14ac:dyDescent="0.25">
      <c r="B50" s="178" t="s">
        <v>76</v>
      </c>
      <c r="C50" s="179"/>
      <c r="D50" s="183" t="s">
        <v>77</v>
      </c>
      <c r="E50" s="184">
        <v>2625.08</v>
      </c>
      <c r="F50" s="182" t="s">
        <v>71</v>
      </c>
      <c r="H50" s="311" t="s">
        <v>104</v>
      </c>
      <c r="I50" s="312"/>
      <c r="J50" s="313"/>
      <c r="K50" s="193">
        <f>SUM(K46:K49)</f>
        <v>128.95686999999998</v>
      </c>
      <c r="L50" s="194" t="s">
        <v>1</v>
      </c>
    </row>
    <row r="51" spans="2:12" ht="15.75" thickBot="1" x14ac:dyDescent="0.3">
      <c r="B51" s="178" t="s">
        <v>78</v>
      </c>
      <c r="C51" s="179"/>
      <c r="D51" s="183" t="s">
        <v>79</v>
      </c>
      <c r="E51" s="184">
        <v>5707.79</v>
      </c>
      <c r="F51" s="182" t="s">
        <v>71</v>
      </c>
      <c r="H51" s="302"/>
      <c r="I51" s="303"/>
      <c r="J51" s="303"/>
      <c r="K51" s="303"/>
      <c r="L51" s="304"/>
    </row>
    <row r="52" spans="2:12" x14ac:dyDescent="0.25">
      <c r="B52" s="178" t="s">
        <v>80</v>
      </c>
      <c r="C52" s="179"/>
      <c r="D52" s="183" t="s">
        <v>81</v>
      </c>
      <c r="E52" s="184">
        <v>5230.01</v>
      </c>
      <c r="F52" s="182" t="s">
        <v>71</v>
      </c>
      <c r="H52" s="305" t="s">
        <v>170</v>
      </c>
      <c r="I52" s="306"/>
      <c r="J52" s="306"/>
      <c r="K52" s="306"/>
      <c r="L52" s="307"/>
    </row>
    <row r="53" spans="2:12" x14ac:dyDescent="0.25">
      <c r="B53" s="178" t="s">
        <v>82</v>
      </c>
      <c r="C53" s="179"/>
      <c r="D53" s="183" t="s">
        <v>83</v>
      </c>
      <c r="E53" s="184">
        <v>4033.07</v>
      </c>
      <c r="F53" s="182" t="s">
        <v>71</v>
      </c>
      <c r="H53" s="308" t="s">
        <v>181</v>
      </c>
      <c r="I53" s="309"/>
      <c r="J53" s="310"/>
      <c r="K53" s="181">
        <v>5</v>
      </c>
      <c r="L53" s="182" t="s">
        <v>1</v>
      </c>
    </row>
    <row r="54" spans="2:12" x14ac:dyDescent="0.25">
      <c r="B54" s="178" t="s">
        <v>84</v>
      </c>
      <c r="C54" s="179"/>
      <c r="D54" s="183" t="s">
        <v>85</v>
      </c>
      <c r="E54" s="184">
        <v>6026.83</v>
      </c>
      <c r="F54" s="182" t="s">
        <v>71</v>
      </c>
      <c r="H54" s="308" t="s">
        <v>182</v>
      </c>
      <c r="I54" s="309"/>
      <c r="J54" s="310"/>
      <c r="K54" s="185">
        <f>E99</f>
        <v>54.13360999999999</v>
      </c>
      <c r="L54" s="182" t="s">
        <v>1</v>
      </c>
    </row>
    <row r="55" spans="2:12" ht="15.75" thickBot="1" x14ac:dyDescent="0.3">
      <c r="B55" s="300" t="s">
        <v>88</v>
      </c>
      <c r="C55" s="301"/>
      <c r="D55" s="301"/>
      <c r="E55" s="196">
        <f>SUM(E48:E54)/1000</f>
        <v>31.8216</v>
      </c>
      <c r="F55" s="197" t="s">
        <v>1</v>
      </c>
      <c r="H55" s="308" t="s">
        <v>183</v>
      </c>
      <c r="I55" s="309"/>
      <c r="J55" s="310"/>
      <c r="K55" s="184">
        <v>34.799999999999997</v>
      </c>
      <c r="L55" s="182" t="s">
        <v>1</v>
      </c>
    </row>
    <row r="56" spans="2:12" x14ac:dyDescent="0.25">
      <c r="B56" s="288"/>
      <c r="C56" s="289"/>
      <c r="D56" s="289"/>
      <c r="E56" s="289"/>
      <c r="F56" s="290"/>
      <c r="H56" s="308" t="s">
        <v>158</v>
      </c>
      <c r="I56" s="309"/>
      <c r="J56" s="310"/>
      <c r="K56" s="184">
        <v>30</v>
      </c>
      <c r="L56" s="182" t="s">
        <v>1</v>
      </c>
    </row>
    <row r="57" spans="2:12" ht="15.75" thickBot="1" x14ac:dyDescent="0.3">
      <c r="B57" s="291"/>
      <c r="C57" s="292"/>
      <c r="D57" s="292"/>
      <c r="E57" s="292"/>
      <c r="F57" s="293"/>
      <c r="H57" s="311" t="s">
        <v>104</v>
      </c>
      <c r="I57" s="312"/>
      <c r="J57" s="313"/>
      <c r="K57" s="193">
        <f>SUM(K53:K56)</f>
        <v>123.93360999999999</v>
      </c>
      <c r="L57" s="194" t="s">
        <v>1</v>
      </c>
    </row>
    <row r="58" spans="2:12" ht="15.75" thickBot="1" x14ac:dyDescent="0.3">
      <c r="B58" s="294" t="s">
        <v>171</v>
      </c>
      <c r="C58" s="295"/>
      <c r="D58" s="295"/>
      <c r="E58" s="295"/>
      <c r="F58" s="296"/>
      <c r="H58" s="302"/>
      <c r="I58" s="303"/>
      <c r="J58" s="303"/>
      <c r="K58" s="303"/>
      <c r="L58" s="304"/>
    </row>
    <row r="59" spans="2:12" x14ac:dyDescent="0.25">
      <c r="B59" s="297" t="s">
        <v>187</v>
      </c>
      <c r="C59" s="298"/>
      <c r="D59" s="298"/>
      <c r="E59" s="298"/>
      <c r="F59" s="299"/>
      <c r="H59" s="305" t="s">
        <v>172</v>
      </c>
      <c r="I59" s="306"/>
      <c r="J59" s="306"/>
      <c r="K59" s="306"/>
      <c r="L59" s="307"/>
    </row>
    <row r="60" spans="2:12" x14ac:dyDescent="0.25">
      <c r="B60" s="178" t="s">
        <v>91</v>
      </c>
      <c r="C60" s="179" t="s">
        <v>69</v>
      </c>
      <c r="D60" s="179" t="s">
        <v>70</v>
      </c>
      <c r="E60" s="179" t="s">
        <v>67</v>
      </c>
      <c r="F60" s="180" t="s">
        <v>45</v>
      </c>
      <c r="H60" s="308" t="s">
        <v>181</v>
      </c>
      <c r="I60" s="309"/>
      <c r="J60" s="310"/>
      <c r="K60" s="181">
        <v>5</v>
      </c>
      <c r="L60" s="182" t="s">
        <v>1</v>
      </c>
    </row>
    <row r="61" spans="2:12" x14ac:dyDescent="0.25">
      <c r="B61" s="178" t="s">
        <v>72</v>
      </c>
      <c r="C61" s="179"/>
      <c r="D61" s="183" t="s">
        <v>73</v>
      </c>
      <c r="E61" s="184">
        <v>5445.66</v>
      </c>
      <c r="F61" s="182" t="s">
        <v>71</v>
      </c>
      <c r="H61" s="308" t="s">
        <v>182</v>
      </c>
      <c r="I61" s="309"/>
      <c r="J61" s="310"/>
      <c r="K61" s="184">
        <f>E113</f>
        <v>92.722200000000015</v>
      </c>
      <c r="L61" s="182" t="s">
        <v>1</v>
      </c>
    </row>
    <row r="62" spans="2:12" x14ac:dyDescent="0.25">
      <c r="B62" s="178" t="s">
        <v>74</v>
      </c>
      <c r="C62" s="179"/>
      <c r="D62" s="183" t="s">
        <v>75</v>
      </c>
      <c r="E62" s="184">
        <v>4644.63</v>
      </c>
      <c r="F62" s="182" t="s">
        <v>71</v>
      </c>
      <c r="H62" s="308" t="s">
        <v>183</v>
      </c>
      <c r="I62" s="309"/>
      <c r="J62" s="310"/>
      <c r="K62" s="184">
        <v>33.5</v>
      </c>
      <c r="L62" s="182" t="s">
        <v>1</v>
      </c>
    </row>
    <row r="63" spans="2:12" x14ac:dyDescent="0.25">
      <c r="B63" s="178" t="s">
        <v>76</v>
      </c>
      <c r="C63" s="179"/>
      <c r="D63" s="183" t="s">
        <v>77</v>
      </c>
      <c r="E63" s="184">
        <v>3801.05</v>
      </c>
      <c r="F63" s="182" t="s">
        <v>71</v>
      </c>
      <c r="H63" s="308" t="s">
        <v>158</v>
      </c>
      <c r="I63" s="309"/>
      <c r="J63" s="310"/>
      <c r="K63" s="184">
        <v>30</v>
      </c>
      <c r="L63" s="182" t="s">
        <v>1</v>
      </c>
    </row>
    <row r="64" spans="2:12" x14ac:dyDescent="0.25">
      <c r="B64" s="178" t="s">
        <v>78</v>
      </c>
      <c r="C64" s="179"/>
      <c r="D64" s="183" t="s">
        <v>79</v>
      </c>
      <c r="E64" s="184">
        <v>1192.58</v>
      </c>
      <c r="F64" s="182" t="s">
        <v>71</v>
      </c>
      <c r="H64" s="311" t="s">
        <v>104</v>
      </c>
      <c r="I64" s="312"/>
      <c r="J64" s="313"/>
      <c r="K64" s="193">
        <f>SUM(K60:K63)</f>
        <v>161.22220000000002</v>
      </c>
      <c r="L64" s="194" t="s">
        <v>1</v>
      </c>
    </row>
    <row r="65" spans="2:12" ht="15.75" thickBot="1" x14ac:dyDescent="0.3">
      <c r="B65" s="178" t="s">
        <v>80</v>
      </c>
      <c r="C65" s="179"/>
      <c r="D65" s="183" t="s">
        <v>81</v>
      </c>
      <c r="E65" s="184">
        <v>7141.55</v>
      </c>
      <c r="F65" s="182" t="s">
        <v>71</v>
      </c>
      <c r="H65" s="302"/>
      <c r="I65" s="303"/>
      <c r="J65" s="303"/>
      <c r="K65" s="303"/>
      <c r="L65" s="304"/>
    </row>
    <row r="66" spans="2:12" x14ac:dyDescent="0.25">
      <c r="B66" s="178" t="s">
        <v>82</v>
      </c>
      <c r="C66" s="179"/>
      <c r="D66" s="183" t="s">
        <v>83</v>
      </c>
      <c r="E66" s="184">
        <v>9030.5499999999993</v>
      </c>
      <c r="F66" s="182" t="s">
        <v>71</v>
      </c>
      <c r="H66" s="305" t="s">
        <v>173</v>
      </c>
      <c r="I66" s="306"/>
      <c r="J66" s="306"/>
      <c r="K66" s="306"/>
      <c r="L66" s="307"/>
    </row>
    <row r="67" spans="2:12" x14ac:dyDescent="0.25">
      <c r="B67" s="178" t="s">
        <v>84</v>
      </c>
      <c r="C67" s="179"/>
      <c r="D67" s="183" t="s">
        <v>85</v>
      </c>
      <c r="E67" s="184">
        <v>5363.42</v>
      </c>
      <c r="F67" s="182" t="s">
        <v>71</v>
      </c>
      <c r="H67" s="308" t="s">
        <v>181</v>
      </c>
      <c r="I67" s="309"/>
      <c r="J67" s="310"/>
      <c r="K67" s="181">
        <v>5</v>
      </c>
      <c r="L67" s="182" t="s">
        <v>1</v>
      </c>
    </row>
    <row r="68" spans="2:12" x14ac:dyDescent="0.25">
      <c r="B68" s="178" t="s">
        <v>86</v>
      </c>
      <c r="C68" s="205"/>
      <c r="D68" s="183" t="s">
        <v>96</v>
      </c>
      <c r="E68" s="206">
        <v>4633.5</v>
      </c>
      <c r="F68" s="216" t="s">
        <v>71</v>
      </c>
      <c r="H68" s="308" t="s">
        <v>182</v>
      </c>
      <c r="I68" s="309"/>
      <c r="J68" s="310"/>
      <c r="K68" s="184">
        <f>E127</f>
        <v>93.313749999999999</v>
      </c>
      <c r="L68" s="182" t="s">
        <v>1</v>
      </c>
    </row>
    <row r="69" spans="2:12" ht="15.75" thickBot="1" x14ac:dyDescent="0.3">
      <c r="B69" s="300" t="s">
        <v>88</v>
      </c>
      <c r="C69" s="301"/>
      <c r="D69" s="301"/>
      <c r="E69" s="196">
        <f>SUM(E61:E68)/1000</f>
        <v>41.252940000000002</v>
      </c>
      <c r="F69" s="197" t="s">
        <v>1</v>
      </c>
      <c r="H69" s="308" t="s">
        <v>183</v>
      </c>
      <c r="I69" s="309"/>
      <c r="J69" s="310"/>
      <c r="K69" s="184">
        <v>33.5</v>
      </c>
      <c r="L69" s="182" t="s">
        <v>1</v>
      </c>
    </row>
    <row r="70" spans="2:12" x14ac:dyDescent="0.25">
      <c r="B70" s="288"/>
      <c r="C70" s="289"/>
      <c r="D70" s="289"/>
      <c r="E70" s="289"/>
      <c r="F70" s="290"/>
      <c r="H70" s="308" t="s">
        <v>158</v>
      </c>
      <c r="I70" s="309"/>
      <c r="J70" s="310"/>
      <c r="K70" s="184">
        <v>30</v>
      </c>
      <c r="L70" s="182" t="s">
        <v>1</v>
      </c>
    </row>
    <row r="71" spans="2:12" ht="15.75" thickBot="1" x14ac:dyDescent="0.3">
      <c r="B71" s="291"/>
      <c r="C71" s="292"/>
      <c r="D71" s="292"/>
      <c r="E71" s="292"/>
      <c r="F71" s="293"/>
      <c r="H71" s="311" t="s">
        <v>104</v>
      </c>
      <c r="I71" s="312"/>
      <c r="J71" s="313"/>
      <c r="K71" s="193">
        <f>SUM(K67:K70)</f>
        <v>161.81375</v>
      </c>
      <c r="L71" s="194" t="s">
        <v>1</v>
      </c>
    </row>
    <row r="72" spans="2:12" ht="15.75" thickBot="1" x14ac:dyDescent="0.3">
      <c r="B72" s="294" t="s">
        <v>174</v>
      </c>
      <c r="C72" s="295"/>
      <c r="D72" s="295"/>
      <c r="E72" s="295"/>
      <c r="F72" s="296"/>
      <c r="H72" s="302"/>
      <c r="I72" s="303"/>
      <c r="J72" s="303"/>
      <c r="K72" s="303"/>
      <c r="L72" s="304"/>
    </row>
    <row r="73" spans="2:12" x14ac:dyDescent="0.25">
      <c r="B73" s="297" t="s">
        <v>185</v>
      </c>
      <c r="C73" s="298"/>
      <c r="D73" s="298"/>
      <c r="E73" s="298"/>
      <c r="F73" s="299"/>
    </row>
    <row r="74" spans="2:12" x14ac:dyDescent="0.25">
      <c r="B74" s="178" t="s">
        <v>91</v>
      </c>
      <c r="C74" s="179" t="s">
        <v>69</v>
      </c>
      <c r="D74" s="179" t="s">
        <v>70</v>
      </c>
      <c r="E74" s="179" t="s">
        <v>67</v>
      </c>
      <c r="F74" s="180" t="s">
        <v>45</v>
      </c>
    </row>
    <row r="75" spans="2:12" x14ac:dyDescent="0.25">
      <c r="B75" s="178" t="s">
        <v>72</v>
      </c>
      <c r="C75" s="179"/>
      <c r="D75" s="183" t="s">
        <v>73</v>
      </c>
      <c r="E75" s="184">
        <v>7514.79</v>
      </c>
      <c r="F75" s="182" t="s">
        <v>71</v>
      </c>
      <c r="H75" s="212"/>
      <c r="K75" s="174"/>
    </row>
    <row r="76" spans="2:12" x14ac:dyDescent="0.25">
      <c r="B76" s="178" t="s">
        <v>74</v>
      </c>
      <c r="C76" s="179"/>
      <c r="D76" s="183" t="s">
        <v>75</v>
      </c>
      <c r="E76" s="184">
        <v>6561.84</v>
      </c>
      <c r="F76" s="182" t="s">
        <v>71</v>
      </c>
      <c r="K76" s="174"/>
    </row>
    <row r="77" spans="2:12" x14ac:dyDescent="0.25">
      <c r="B77" s="178" t="s">
        <v>76</v>
      </c>
      <c r="C77" s="179"/>
      <c r="D77" s="183" t="s">
        <v>77</v>
      </c>
      <c r="E77" s="184">
        <v>12604</v>
      </c>
      <c r="F77" s="182" t="s">
        <v>71</v>
      </c>
      <c r="K77" s="174"/>
    </row>
    <row r="78" spans="2:12" x14ac:dyDescent="0.25">
      <c r="B78" s="178" t="s">
        <v>78</v>
      </c>
      <c r="C78" s="179"/>
      <c r="D78" s="183" t="s">
        <v>79</v>
      </c>
      <c r="E78" s="184">
        <v>6030.66</v>
      </c>
      <c r="F78" s="182" t="s">
        <v>71</v>
      </c>
      <c r="K78" s="174"/>
    </row>
    <row r="79" spans="2:12" x14ac:dyDescent="0.25">
      <c r="B79" s="178" t="s">
        <v>80</v>
      </c>
      <c r="C79" s="179"/>
      <c r="D79" s="183" t="s">
        <v>81</v>
      </c>
      <c r="E79" s="184">
        <v>4966.83</v>
      </c>
      <c r="F79" s="182" t="s">
        <v>71</v>
      </c>
      <c r="K79" s="174"/>
    </row>
    <row r="80" spans="2:12" x14ac:dyDescent="0.25">
      <c r="B80" s="178" t="s">
        <v>82</v>
      </c>
      <c r="C80" s="179"/>
      <c r="D80" s="183" t="s">
        <v>83</v>
      </c>
      <c r="E80" s="184">
        <v>7114.41</v>
      </c>
      <c r="F80" s="182" t="s">
        <v>71</v>
      </c>
      <c r="K80" s="174"/>
    </row>
    <row r="81" spans="2:11" x14ac:dyDescent="0.25">
      <c r="B81" s="178" t="s">
        <v>84</v>
      </c>
      <c r="C81" s="179"/>
      <c r="D81" s="183" t="s">
        <v>85</v>
      </c>
      <c r="E81" s="184">
        <v>5599.98</v>
      </c>
      <c r="F81" s="182" t="s">
        <v>71</v>
      </c>
      <c r="K81" s="174"/>
    </row>
    <row r="82" spans="2:11" x14ac:dyDescent="0.25">
      <c r="B82" s="178" t="s">
        <v>86</v>
      </c>
      <c r="C82" s="205"/>
      <c r="D82" s="183" t="s">
        <v>96</v>
      </c>
      <c r="E82" s="206">
        <v>2082.0500000000002</v>
      </c>
      <c r="F82" s="182" t="s">
        <v>71</v>
      </c>
      <c r="K82" s="174"/>
    </row>
    <row r="83" spans="2:11" x14ac:dyDescent="0.25">
      <c r="B83" s="178" t="s">
        <v>87</v>
      </c>
      <c r="C83" s="205"/>
      <c r="D83" s="183" t="s">
        <v>199</v>
      </c>
      <c r="E83" s="206">
        <v>9682.31</v>
      </c>
      <c r="F83" s="182" t="s">
        <v>71</v>
      </c>
      <c r="K83" s="174"/>
    </row>
    <row r="84" spans="2:11" ht="15.75" thickBot="1" x14ac:dyDescent="0.3">
      <c r="B84" s="300" t="s">
        <v>88</v>
      </c>
      <c r="C84" s="301"/>
      <c r="D84" s="301"/>
      <c r="E84" s="196">
        <f>SUM(E75:E83)/1000</f>
        <v>62.156869999999998</v>
      </c>
      <c r="F84" s="197" t="s">
        <v>1</v>
      </c>
      <c r="K84" s="174"/>
    </row>
    <row r="85" spans="2:11" x14ac:dyDescent="0.25">
      <c r="B85" s="288"/>
      <c r="C85" s="289"/>
      <c r="D85" s="289"/>
      <c r="E85" s="289"/>
      <c r="F85" s="290"/>
      <c r="K85" s="174"/>
    </row>
    <row r="86" spans="2:11" ht="15.75" thickBot="1" x14ac:dyDescent="0.3">
      <c r="B86" s="291"/>
      <c r="C86" s="292"/>
      <c r="D86" s="292"/>
      <c r="E86" s="292"/>
      <c r="F86" s="293"/>
      <c r="K86" s="174"/>
    </row>
    <row r="87" spans="2:11" ht="15.75" thickBot="1" x14ac:dyDescent="0.3">
      <c r="B87" s="294" t="s">
        <v>175</v>
      </c>
      <c r="C87" s="295"/>
      <c r="D87" s="295"/>
      <c r="E87" s="295"/>
      <c r="F87" s="296"/>
      <c r="K87" s="174"/>
    </row>
    <row r="88" spans="2:11" x14ac:dyDescent="0.25">
      <c r="B88" s="297" t="s">
        <v>188</v>
      </c>
      <c r="C88" s="298"/>
      <c r="D88" s="298"/>
      <c r="E88" s="298"/>
      <c r="F88" s="299"/>
      <c r="K88" s="174"/>
    </row>
    <row r="89" spans="2:11" x14ac:dyDescent="0.25">
      <c r="B89" s="178" t="s">
        <v>91</v>
      </c>
      <c r="C89" s="179" t="s">
        <v>69</v>
      </c>
      <c r="D89" s="179" t="s">
        <v>70</v>
      </c>
      <c r="E89" s="179" t="s">
        <v>67</v>
      </c>
      <c r="F89" s="180" t="s">
        <v>45</v>
      </c>
      <c r="K89" s="174"/>
    </row>
    <row r="90" spans="2:11" x14ac:dyDescent="0.25">
      <c r="B90" s="178" t="s">
        <v>72</v>
      </c>
      <c r="C90" s="179"/>
      <c r="D90" s="183" t="s">
        <v>73</v>
      </c>
      <c r="E90" s="184">
        <v>2982.48</v>
      </c>
      <c r="F90" s="182" t="s">
        <v>71</v>
      </c>
      <c r="H90" s="212"/>
      <c r="K90" s="174"/>
    </row>
    <row r="91" spans="2:11" x14ac:dyDescent="0.25">
      <c r="B91" s="178" t="s">
        <v>74</v>
      </c>
      <c r="C91" s="179"/>
      <c r="D91" s="183" t="s">
        <v>75</v>
      </c>
      <c r="E91" s="184">
        <v>5216.34</v>
      </c>
      <c r="F91" s="182" t="s">
        <v>71</v>
      </c>
      <c r="K91" s="174"/>
    </row>
    <row r="92" spans="2:11" x14ac:dyDescent="0.25">
      <c r="B92" s="178" t="s">
        <v>76</v>
      </c>
      <c r="C92" s="179"/>
      <c r="D92" s="183" t="s">
        <v>77</v>
      </c>
      <c r="E92" s="184">
        <v>2625.08</v>
      </c>
      <c r="F92" s="182" t="s">
        <v>71</v>
      </c>
      <c r="K92" s="174"/>
    </row>
    <row r="93" spans="2:11" x14ac:dyDescent="0.25">
      <c r="B93" s="178" t="s">
        <v>78</v>
      </c>
      <c r="C93" s="179"/>
      <c r="D93" s="183" t="s">
        <v>79</v>
      </c>
      <c r="E93" s="184">
        <v>5707.79</v>
      </c>
      <c r="F93" s="182" t="s">
        <v>71</v>
      </c>
      <c r="K93" s="174"/>
    </row>
    <row r="94" spans="2:11" x14ac:dyDescent="0.25">
      <c r="B94" s="178" t="s">
        <v>80</v>
      </c>
      <c r="C94" s="179"/>
      <c r="D94" s="183" t="s">
        <v>81</v>
      </c>
      <c r="E94" s="184">
        <v>5230.01</v>
      </c>
      <c r="F94" s="182" t="s">
        <v>71</v>
      </c>
      <c r="K94" s="174"/>
    </row>
    <row r="95" spans="2:11" x14ac:dyDescent="0.25">
      <c r="B95" s="178" t="s">
        <v>82</v>
      </c>
      <c r="C95" s="179"/>
      <c r="D95" s="183" t="s">
        <v>83</v>
      </c>
      <c r="E95" s="184">
        <v>4033.07</v>
      </c>
      <c r="F95" s="182" t="s">
        <v>71</v>
      </c>
      <c r="H95" s="174"/>
      <c r="K95" s="174"/>
    </row>
    <row r="96" spans="2:11" x14ac:dyDescent="0.25">
      <c r="B96" s="178" t="s">
        <v>84</v>
      </c>
      <c r="C96" s="179"/>
      <c r="D96" s="183" t="s">
        <v>85</v>
      </c>
      <c r="E96" s="184">
        <v>4413.42</v>
      </c>
      <c r="F96" s="182" t="s">
        <v>71</v>
      </c>
      <c r="K96" s="174"/>
    </row>
    <row r="97" spans="2:11" x14ac:dyDescent="0.25">
      <c r="B97" s="178" t="s">
        <v>86</v>
      </c>
      <c r="C97" s="205"/>
      <c r="D97" s="183" t="s">
        <v>96</v>
      </c>
      <c r="E97" s="206">
        <v>11974.06</v>
      </c>
      <c r="F97" s="182" t="s">
        <v>71</v>
      </c>
      <c r="H97" s="217"/>
      <c r="K97" s="174"/>
    </row>
    <row r="98" spans="2:11" x14ac:dyDescent="0.25">
      <c r="B98" s="178" t="s">
        <v>87</v>
      </c>
      <c r="C98" s="205"/>
      <c r="D98" s="183" t="s">
        <v>199</v>
      </c>
      <c r="E98" s="206">
        <v>11951.36</v>
      </c>
      <c r="F98" s="182" t="s">
        <v>71</v>
      </c>
      <c r="H98" s="174"/>
      <c r="K98" s="174"/>
    </row>
    <row r="99" spans="2:11" ht="15.75" thickBot="1" x14ac:dyDescent="0.3">
      <c r="B99" s="300" t="s">
        <v>88</v>
      </c>
      <c r="C99" s="301"/>
      <c r="D99" s="301"/>
      <c r="E99" s="196">
        <f>SUM(E90:E98)/1000</f>
        <v>54.13360999999999</v>
      </c>
      <c r="F99" s="197" t="s">
        <v>1</v>
      </c>
      <c r="K99" s="174"/>
    </row>
    <row r="100" spans="2:11" x14ac:dyDescent="0.25">
      <c r="B100" s="288"/>
      <c r="C100" s="289"/>
      <c r="D100" s="289"/>
      <c r="E100" s="289"/>
      <c r="F100" s="290"/>
      <c r="H100" s="174"/>
      <c r="I100" s="174"/>
      <c r="K100" s="174"/>
    </row>
    <row r="101" spans="2:11" ht="15.75" thickBot="1" x14ac:dyDescent="0.3">
      <c r="B101" s="291"/>
      <c r="C101" s="292"/>
      <c r="D101" s="292"/>
      <c r="E101" s="292"/>
      <c r="F101" s="293"/>
      <c r="K101" s="174"/>
    </row>
    <row r="102" spans="2:11" ht="15.75" thickBot="1" x14ac:dyDescent="0.3">
      <c r="B102" s="294" t="s">
        <v>162</v>
      </c>
      <c r="C102" s="295"/>
      <c r="D102" s="295"/>
      <c r="E102" s="295"/>
      <c r="F102" s="296"/>
      <c r="K102" s="174"/>
    </row>
    <row r="103" spans="2:11" x14ac:dyDescent="0.25">
      <c r="B103" s="297" t="s">
        <v>176</v>
      </c>
      <c r="C103" s="298"/>
      <c r="D103" s="298"/>
      <c r="E103" s="298"/>
      <c r="F103" s="299"/>
      <c r="K103" s="174"/>
    </row>
    <row r="104" spans="2:11" x14ac:dyDescent="0.25">
      <c r="B104" s="178" t="s">
        <v>91</v>
      </c>
      <c r="C104" s="179" t="s">
        <v>69</v>
      </c>
      <c r="D104" s="179" t="s">
        <v>70</v>
      </c>
      <c r="E104" s="179" t="s">
        <v>67</v>
      </c>
      <c r="F104" s="180" t="s">
        <v>45</v>
      </c>
      <c r="K104" s="174"/>
    </row>
    <row r="105" spans="2:11" x14ac:dyDescent="0.25">
      <c r="B105" s="178" t="s">
        <v>72</v>
      </c>
      <c r="C105" s="179"/>
      <c r="D105" s="183" t="s">
        <v>73</v>
      </c>
      <c r="E105" s="174">
        <v>5220.51</v>
      </c>
      <c r="F105" s="182" t="s">
        <v>71</v>
      </c>
      <c r="H105" s="174"/>
      <c r="I105" s="212"/>
      <c r="K105" s="174"/>
    </row>
    <row r="106" spans="2:11" x14ac:dyDescent="0.25">
      <c r="B106" s="178" t="s">
        <v>74</v>
      </c>
      <c r="C106" s="179"/>
      <c r="D106" s="183" t="s">
        <v>75</v>
      </c>
      <c r="E106" s="184">
        <v>13669.83</v>
      </c>
      <c r="F106" s="182" t="s">
        <v>71</v>
      </c>
      <c r="K106" s="174"/>
    </row>
    <row r="107" spans="2:11" x14ac:dyDescent="0.25">
      <c r="B107" s="178" t="s">
        <v>76</v>
      </c>
      <c r="C107" s="179"/>
      <c r="D107" s="183" t="s">
        <v>77</v>
      </c>
      <c r="E107" s="184">
        <v>10294.629999999999</v>
      </c>
      <c r="F107" s="182" t="s">
        <v>71</v>
      </c>
      <c r="K107" s="174"/>
    </row>
    <row r="108" spans="2:11" x14ac:dyDescent="0.25">
      <c r="B108" s="178" t="s">
        <v>78</v>
      </c>
      <c r="C108" s="179"/>
      <c r="D108" s="183" t="s">
        <v>79</v>
      </c>
      <c r="E108" s="184">
        <v>10117.02</v>
      </c>
      <c r="F108" s="182" t="s">
        <v>71</v>
      </c>
      <c r="K108" s="174"/>
    </row>
    <row r="109" spans="2:11" x14ac:dyDescent="0.25">
      <c r="B109" s="178" t="s">
        <v>80</v>
      </c>
      <c r="C109" s="179"/>
      <c r="D109" s="183" t="s">
        <v>81</v>
      </c>
      <c r="E109" s="184">
        <v>11799.36</v>
      </c>
      <c r="F109" s="182" t="s">
        <v>71</v>
      </c>
      <c r="K109" s="174"/>
    </row>
    <row r="110" spans="2:11" x14ac:dyDescent="0.25">
      <c r="B110" s="178" t="s">
        <v>82</v>
      </c>
      <c r="C110" s="179"/>
      <c r="D110" s="183" t="s">
        <v>83</v>
      </c>
      <c r="E110" s="184">
        <v>13356.12</v>
      </c>
      <c r="F110" s="182" t="s">
        <v>71</v>
      </c>
      <c r="K110" s="174"/>
    </row>
    <row r="111" spans="2:11" x14ac:dyDescent="0.25">
      <c r="B111" s="178" t="s">
        <v>84</v>
      </c>
      <c r="C111" s="179"/>
      <c r="D111" s="183" t="s">
        <v>85</v>
      </c>
      <c r="E111" s="184">
        <v>16367.48</v>
      </c>
      <c r="F111" s="182" t="s">
        <v>71</v>
      </c>
      <c r="K111" s="174"/>
    </row>
    <row r="112" spans="2:11" x14ac:dyDescent="0.25">
      <c r="B112" s="178" t="s">
        <v>86</v>
      </c>
      <c r="C112" s="179"/>
      <c r="D112" s="183" t="s">
        <v>96</v>
      </c>
      <c r="E112" s="184">
        <v>11897.25</v>
      </c>
      <c r="F112" s="182" t="s">
        <v>71</v>
      </c>
      <c r="K112" s="174"/>
    </row>
    <row r="113" spans="2:11" ht="15.75" thickBot="1" x14ac:dyDescent="0.3">
      <c r="B113" s="300" t="s">
        <v>88</v>
      </c>
      <c r="C113" s="301"/>
      <c r="D113" s="301"/>
      <c r="E113" s="196">
        <f>SUM(E105:E112)/1000</f>
        <v>92.722200000000015</v>
      </c>
      <c r="F113" s="197" t="s">
        <v>1</v>
      </c>
      <c r="K113" s="174"/>
    </row>
    <row r="114" spans="2:11" x14ac:dyDescent="0.25">
      <c r="B114" s="288"/>
      <c r="C114" s="289"/>
      <c r="D114" s="289"/>
      <c r="E114" s="289"/>
      <c r="F114" s="290"/>
      <c r="K114" s="174"/>
    </row>
    <row r="115" spans="2:11" ht="15.75" thickBot="1" x14ac:dyDescent="0.3">
      <c r="B115" s="291"/>
      <c r="C115" s="292"/>
      <c r="D115" s="292"/>
      <c r="E115" s="292"/>
      <c r="F115" s="293"/>
      <c r="K115" s="174"/>
    </row>
    <row r="116" spans="2:11" ht="15.75" thickBot="1" x14ac:dyDescent="0.3">
      <c r="B116" s="294" t="s">
        <v>164</v>
      </c>
      <c r="C116" s="295"/>
      <c r="D116" s="295"/>
      <c r="E116" s="295"/>
      <c r="F116" s="296"/>
      <c r="K116" s="174"/>
    </row>
    <row r="117" spans="2:11" x14ac:dyDescent="0.25">
      <c r="B117" s="297" t="s">
        <v>177</v>
      </c>
      <c r="C117" s="298"/>
      <c r="D117" s="298"/>
      <c r="E117" s="298"/>
      <c r="F117" s="299"/>
      <c r="K117" s="174"/>
    </row>
    <row r="118" spans="2:11" x14ac:dyDescent="0.25">
      <c r="B118" s="178" t="s">
        <v>91</v>
      </c>
      <c r="C118" s="179" t="s">
        <v>69</v>
      </c>
      <c r="D118" s="179" t="s">
        <v>70</v>
      </c>
      <c r="E118" s="179" t="s">
        <v>67</v>
      </c>
      <c r="F118" s="180" t="s">
        <v>45</v>
      </c>
      <c r="K118" s="174"/>
    </row>
    <row r="119" spans="2:11" x14ac:dyDescent="0.25">
      <c r="B119" s="178" t="s">
        <v>72</v>
      </c>
      <c r="C119" s="179"/>
      <c r="D119" s="183" t="s">
        <v>73</v>
      </c>
      <c r="E119" s="184">
        <v>16577.150000000001</v>
      </c>
      <c r="F119" s="182" t="s">
        <v>71</v>
      </c>
      <c r="H119" s="212"/>
      <c r="I119" s="212"/>
      <c r="K119" s="174"/>
    </row>
    <row r="120" spans="2:11" x14ac:dyDescent="0.25">
      <c r="B120" s="178" t="s">
        <v>74</v>
      </c>
      <c r="C120" s="179"/>
      <c r="D120" s="183" t="s">
        <v>75</v>
      </c>
      <c r="E120" s="184">
        <v>12832.54</v>
      </c>
      <c r="F120" s="182" t="s">
        <v>71</v>
      </c>
      <c r="K120" s="174"/>
    </row>
    <row r="121" spans="2:11" x14ac:dyDescent="0.25">
      <c r="B121" s="178" t="s">
        <v>76</v>
      </c>
      <c r="C121" s="179"/>
      <c r="D121" s="183" t="s">
        <v>77</v>
      </c>
      <c r="E121" s="184">
        <v>14235.07</v>
      </c>
      <c r="F121" s="182" t="s">
        <v>71</v>
      </c>
      <c r="K121" s="174"/>
    </row>
    <row r="122" spans="2:11" x14ac:dyDescent="0.25">
      <c r="B122" s="178" t="s">
        <v>78</v>
      </c>
      <c r="C122" s="179"/>
      <c r="D122" s="183" t="s">
        <v>79</v>
      </c>
      <c r="E122" s="184">
        <v>7808.09</v>
      </c>
      <c r="F122" s="182" t="s">
        <v>71</v>
      </c>
      <c r="K122" s="174"/>
    </row>
    <row r="123" spans="2:11" x14ac:dyDescent="0.25">
      <c r="B123" s="178" t="s">
        <v>80</v>
      </c>
      <c r="C123" s="179"/>
      <c r="D123" s="183" t="s">
        <v>81</v>
      </c>
      <c r="E123" s="184">
        <v>9200.3700000000008</v>
      </c>
      <c r="F123" s="182" t="s">
        <v>71</v>
      </c>
      <c r="K123" s="174"/>
    </row>
    <row r="124" spans="2:11" x14ac:dyDescent="0.25">
      <c r="B124" s="178" t="s">
        <v>82</v>
      </c>
      <c r="C124" s="179"/>
      <c r="D124" s="183" t="s">
        <v>83</v>
      </c>
      <c r="E124" s="184">
        <v>10187.83</v>
      </c>
      <c r="F124" s="182" t="s">
        <v>71</v>
      </c>
      <c r="K124" s="174"/>
    </row>
    <row r="125" spans="2:11" x14ac:dyDescent="0.25">
      <c r="B125" s="178" t="s">
        <v>84</v>
      </c>
      <c r="C125" s="179"/>
      <c r="D125" s="183" t="s">
        <v>85</v>
      </c>
      <c r="E125" s="184">
        <v>10568.99</v>
      </c>
      <c r="F125" s="182" t="s">
        <v>71</v>
      </c>
      <c r="K125" s="174"/>
    </row>
    <row r="126" spans="2:11" x14ac:dyDescent="0.25">
      <c r="B126" s="178" t="s">
        <v>86</v>
      </c>
      <c r="C126" s="179"/>
      <c r="D126" s="183" t="s">
        <v>96</v>
      </c>
      <c r="E126" s="184">
        <v>11903.71</v>
      </c>
      <c r="F126" s="182" t="s">
        <v>71</v>
      </c>
      <c r="K126" s="174"/>
    </row>
    <row r="127" spans="2:11" ht="15.75" thickBot="1" x14ac:dyDescent="0.3">
      <c r="B127" s="300" t="s">
        <v>88</v>
      </c>
      <c r="C127" s="301"/>
      <c r="D127" s="301"/>
      <c r="E127" s="196">
        <f>SUM(E119:E126)/1000</f>
        <v>93.313749999999999</v>
      </c>
      <c r="F127" s="197" t="s">
        <v>1</v>
      </c>
      <c r="K127" s="174"/>
    </row>
    <row r="128" spans="2:11" x14ac:dyDescent="0.25">
      <c r="K128" s="174"/>
    </row>
    <row r="129" spans="11:11" x14ac:dyDescent="0.25">
      <c r="K129" s="174"/>
    </row>
    <row r="130" spans="11:11" x14ac:dyDescent="0.25">
      <c r="K130" s="174"/>
    </row>
    <row r="131" spans="11:11" x14ac:dyDescent="0.25">
      <c r="K131" s="174"/>
    </row>
    <row r="177" spans="11:11" x14ac:dyDescent="0.25">
      <c r="K177" s="174"/>
    </row>
    <row r="178" spans="11:11" x14ac:dyDescent="0.25">
      <c r="K178" s="174"/>
    </row>
    <row r="179" spans="11:11" x14ac:dyDescent="0.25">
      <c r="K179" s="174"/>
    </row>
    <row r="180" spans="11:11" x14ac:dyDescent="0.25">
      <c r="K180" s="174"/>
    </row>
    <row r="181" spans="11:11" x14ac:dyDescent="0.25">
      <c r="K181" s="174"/>
    </row>
    <row r="182" spans="11:11" x14ac:dyDescent="0.25">
      <c r="K182" s="174"/>
    </row>
    <row r="183" spans="11:11" x14ac:dyDescent="0.25">
      <c r="K183" s="174"/>
    </row>
    <row r="184" spans="11:11" x14ac:dyDescent="0.25">
      <c r="K184" s="174"/>
    </row>
    <row r="185" spans="11:11" x14ac:dyDescent="0.25">
      <c r="K185" s="174"/>
    </row>
    <row r="186" spans="11:11" x14ac:dyDescent="0.25">
      <c r="K186" s="174"/>
    </row>
    <row r="187" spans="11:11" x14ac:dyDescent="0.25">
      <c r="K187" s="174"/>
    </row>
    <row r="188" spans="11:11" x14ac:dyDescent="0.25">
      <c r="K188" s="174"/>
    </row>
    <row r="189" spans="11:11" x14ac:dyDescent="0.25">
      <c r="K189" s="174"/>
    </row>
    <row r="190" spans="11:11" x14ac:dyDescent="0.25">
      <c r="K190" s="174"/>
    </row>
  </sheetData>
  <mergeCells count="133">
    <mergeCell ref="B2:F2"/>
    <mergeCell ref="H2:L2"/>
    <mergeCell ref="O2:T2"/>
    <mergeCell ref="B3:F3"/>
    <mergeCell ref="H3:L3"/>
    <mergeCell ref="O3:T3"/>
    <mergeCell ref="B4:F4"/>
    <mergeCell ref="H4:L4"/>
    <mergeCell ref="O4:T4"/>
    <mergeCell ref="B5:F5"/>
    <mergeCell ref="H5:L5"/>
    <mergeCell ref="O5:O6"/>
    <mergeCell ref="P5:P6"/>
    <mergeCell ref="Q5:R6"/>
    <mergeCell ref="S5:S6"/>
    <mergeCell ref="T5:T6"/>
    <mergeCell ref="H11:L11"/>
    <mergeCell ref="H12:L12"/>
    <mergeCell ref="O12:T12"/>
    <mergeCell ref="H13:J13"/>
    <mergeCell ref="B14:D14"/>
    <mergeCell ref="H14:J14"/>
    <mergeCell ref="O14:T14"/>
    <mergeCell ref="H6:J6"/>
    <mergeCell ref="H7:J7"/>
    <mergeCell ref="H8:J8"/>
    <mergeCell ref="O8:T8"/>
    <mergeCell ref="H9:J9"/>
    <mergeCell ref="H10:J10"/>
    <mergeCell ref="O10:T10"/>
    <mergeCell ref="B15:F16"/>
    <mergeCell ref="H15:J15"/>
    <mergeCell ref="O15:R15"/>
    <mergeCell ref="H16:J16"/>
    <mergeCell ref="O16:R16"/>
    <mergeCell ref="B17:F17"/>
    <mergeCell ref="H17:J17"/>
    <mergeCell ref="O17:T18"/>
    <mergeCell ref="B18:F18"/>
    <mergeCell ref="H18:L18"/>
    <mergeCell ref="H19:L19"/>
    <mergeCell ref="O19:T19"/>
    <mergeCell ref="H20:J20"/>
    <mergeCell ref="O20:O21"/>
    <mergeCell ref="P20:P21"/>
    <mergeCell ref="Q20:R21"/>
    <mergeCell ref="S20:S21"/>
    <mergeCell ref="T20:T21"/>
    <mergeCell ref="H21:J21"/>
    <mergeCell ref="H26:L26"/>
    <mergeCell ref="B27:D27"/>
    <mergeCell ref="H27:J27"/>
    <mergeCell ref="O27:T27"/>
    <mergeCell ref="B28:F29"/>
    <mergeCell ref="H28:J28"/>
    <mergeCell ref="H22:J22"/>
    <mergeCell ref="H23:J23"/>
    <mergeCell ref="O23:T23"/>
    <mergeCell ref="H24:J24"/>
    <mergeCell ref="H25:L25"/>
    <mergeCell ref="O25:T25"/>
    <mergeCell ref="O31:T31"/>
    <mergeCell ref="O32:R32"/>
    <mergeCell ref="H35:L35"/>
    <mergeCell ref="O33:R33"/>
    <mergeCell ref="B31:F31"/>
    <mergeCell ref="H31:J31"/>
    <mergeCell ref="H29:J29"/>
    <mergeCell ref="B30:F30"/>
    <mergeCell ref="H30:J30"/>
    <mergeCell ref="O29:T29"/>
    <mergeCell ref="B42:D42"/>
    <mergeCell ref="H42:J42"/>
    <mergeCell ref="B43:F44"/>
    <mergeCell ref="H43:J43"/>
    <mergeCell ref="H44:L44"/>
    <mergeCell ref="B45:F45"/>
    <mergeCell ref="H45:L45"/>
    <mergeCell ref="H36:L36"/>
    <mergeCell ref="H37:L37"/>
    <mergeCell ref="H38:L38"/>
    <mergeCell ref="H39:J39"/>
    <mergeCell ref="H40:J40"/>
    <mergeCell ref="H41:J41"/>
    <mergeCell ref="H51:L51"/>
    <mergeCell ref="H52:L52"/>
    <mergeCell ref="H53:J53"/>
    <mergeCell ref="H54:J54"/>
    <mergeCell ref="B55:D55"/>
    <mergeCell ref="H55:J55"/>
    <mergeCell ref="B46:F46"/>
    <mergeCell ref="H46:J46"/>
    <mergeCell ref="H47:J47"/>
    <mergeCell ref="H48:J48"/>
    <mergeCell ref="H49:J49"/>
    <mergeCell ref="H50:J50"/>
    <mergeCell ref="H60:J60"/>
    <mergeCell ref="H61:J61"/>
    <mergeCell ref="H62:J62"/>
    <mergeCell ref="H63:J63"/>
    <mergeCell ref="H64:J64"/>
    <mergeCell ref="H65:L65"/>
    <mergeCell ref="B56:F57"/>
    <mergeCell ref="H56:J56"/>
    <mergeCell ref="H57:J57"/>
    <mergeCell ref="B58:F58"/>
    <mergeCell ref="H58:L58"/>
    <mergeCell ref="B59:F59"/>
    <mergeCell ref="H59:L59"/>
    <mergeCell ref="B72:F72"/>
    <mergeCell ref="H72:L72"/>
    <mergeCell ref="B73:F73"/>
    <mergeCell ref="B84:D84"/>
    <mergeCell ref="B85:F86"/>
    <mergeCell ref="B87:F87"/>
    <mergeCell ref="H66:L66"/>
    <mergeCell ref="H67:J67"/>
    <mergeCell ref="H68:J68"/>
    <mergeCell ref="B69:D69"/>
    <mergeCell ref="H69:J69"/>
    <mergeCell ref="B70:F71"/>
    <mergeCell ref="H70:J70"/>
    <mergeCell ref="H71:J71"/>
    <mergeCell ref="B114:F115"/>
    <mergeCell ref="B116:F116"/>
    <mergeCell ref="B117:F117"/>
    <mergeCell ref="B127:D127"/>
    <mergeCell ref="B88:F88"/>
    <mergeCell ref="B99:D99"/>
    <mergeCell ref="B100:F101"/>
    <mergeCell ref="B102:F102"/>
    <mergeCell ref="B103:F103"/>
    <mergeCell ref="B113:D11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17"/>
  <sheetViews>
    <sheetView workbookViewId="0">
      <selection activeCell="A19" sqref="A19"/>
    </sheetView>
  </sheetViews>
  <sheetFormatPr defaultColWidth="9.140625" defaultRowHeight="12.75" x14ac:dyDescent="0.2"/>
  <cols>
    <col min="1" max="1" width="70.42578125" style="1" customWidth="1"/>
    <col min="2" max="3" width="9.140625" style="1"/>
    <col min="4" max="4" width="12.85546875" style="1" bestFit="1" customWidth="1"/>
    <col min="5" max="16384" width="9.140625" style="1"/>
  </cols>
  <sheetData>
    <row r="1" spans="1:1" ht="18" x14ac:dyDescent="0.25">
      <c r="A1" s="73" t="s">
        <v>108</v>
      </c>
    </row>
    <row r="2" spans="1:1" x14ac:dyDescent="0.2">
      <c r="A2" s="70"/>
    </row>
    <row r="3" spans="1:1" x14ac:dyDescent="0.2">
      <c r="A3" s="70" t="s">
        <v>44</v>
      </c>
    </row>
    <row r="4" spans="1:1" x14ac:dyDescent="0.2">
      <c r="A4" s="70"/>
    </row>
    <row r="5" spans="1:1" x14ac:dyDescent="0.2">
      <c r="A5" s="70"/>
    </row>
    <row r="6" spans="1:1" x14ac:dyDescent="0.2">
      <c r="A6" s="70"/>
    </row>
    <row r="7" spans="1:1" x14ac:dyDescent="0.2">
      <c r="A7" s="70"/>
    </row>
    <row r="8" spans="1:1" x14ac:dyDescent="0.2">
      <c r="A8" s="70"/>
    </row>
    <row r="9" spans="1:1" x14ac:dyDescent="0.2">
      <c r="A9" s="70"/>
    </row>
    <row r="10" spans="1:1" x14ac:dyDescent="0.2">
      <c r="A10" s="70"/>
    </row>
    <row r="11" spans="1:1" x14ac:dyDescent="0.2">
      <c r="A11" s="70"/>
    </row>
    <row r="12" spans="1:1" ht="19.5" x14ac:dyDescent="0.35">
      <c r="A12" s="71" t="s">
        <v>37</v>
      </c>
    </row>
    <row r="13" spans="1:1" ht="15" x14ac:dyDescent="0.2">
      <c r="A13" s="71" t="s">
        <v>24</v>
      </c>
    </row>
    <row r="14" spans="1:1" ht="15" x14ac:dyDescent="0.2">
      <c r="A14" s="71" t="s">
        <v>26</v>
      </c>
    </row>
    <row r="15" spans="1:1" ht="19.5" x14ac:dyDescent="0.35">
      <c r="A15" s="71" t="s">
        <v>38</v>
      </c>
    </row>
    <row r="16" spans="1:1" ht="19.5" x14ac:dyDescent="0.35">
      <c r="A16" s="71" t="s">
        <v>39</v>
      </c>
    </row>
    <row r="17" spans="1:1" ht="15.75" thickBot="1" x14ac:dyDescent="0.25">
      <c r="A17" s="72" t="s">
        <v>25</v>
      </c>
    </row>
  </sheetData>
  <pageMargins left="0.90551181102362199" right="0.51181102362204722" top="0.74803149606299213" bottom="0.74803149606299213" header="0.31496062992125984" footer="0.31496062992125984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23"/>
  <sheetViews>
    <sheetView workbookViewId="0">
      <selection activeCell="F48" sqref="F48"/>
    </sheetView>
  </sheetViews>
  <sheetFormatPr defaultRowHeight="12.75" x14ac:dyDescent="0.2"/>
  <cols>
    <col min="2" max="2" width="17.5703125" customWidth="1"/>
  </cols>
  <sheetData>
    <row r="1" spans="1:3" x14ac:dyDescent="0.2">
      <c r="A1" s="101" t="s">
        <v>131</v>
      </c>
      <c r="B1" s="99"/>
      <c r="C1" s="99"/>
    </row>
    <row r="2" spans="1:3" x14ac:dyDescent="0.2">
      <c r="A2" s="101" t="s">
        <v>132</v>
      </c>
      <c r="B2" s="101"/>
      <c r="C2" s="101">
        <v>365</v>
      </c>
    </row>
    <row r="3" spans="1:3" x14ac:dyDescent="0.2">
      <c r="A3" s="101" t="s">
        <v>133</v>
      </c>
      <c r="B3" s="101"/>
      <c r="C3" s="101">
        <v>52</v>
      </c>
    </row>
    <row r="4" spans="1:3" x14ac:dyDescent="0.2">
      <c r="A4" s="101" t="s">
        <v>134</v>
      </c>
      <c r="B4" s="101"/>
      <c r="C4" s="101">
        <v>13</v>
      </c>
    </row>
    <row r="5" spans="1:3" x14ac:dyDescent="0.2">
      <c r="A5" s="101" t="s">
        <v>135</v>
      </c>
      <c r="B5" s="101"/>
      <c r="C5" s="101">
        <f>C2-C3-C4</f>
        <v>300</v>
      </c>
    </row>
    <row r="6" spans="1:3" x14ac:dyDescent="0.2">
      <c r="A6" s="101" t="s">
        <v>136</v>
      </c>
      <c r="B6" s="101"/>
      <c r="C6" s="101">
        <v>12</v>
      </c>
    </row>
    <row r="7" spans="1:3" x14ac:dyDescent="0.2">
      <c r="A7" s="101" t="s">
        <v>137</v>
      </c>
      <c r="B7" s="101"/>
      <c r="C7" s="101">
        <f>C5/C6</f>
        <v>25</v>
      </c>
    </row>
    <row r="10" spans="1:3" hidden="1" x14ac:dyDescent="0.2">
      <c r="C10">
        <v>71</v>
      </c>
    </row>
    <row r="11" spans="1:3" hidden="1" x14ac:dyDescent="0.2">
      <c r="C11">
        <v>102</v>
      </c>
    </row>
    <row r="12" spans="1:3" hidden="1" x14ac:dyDescent="0.2"/>
    <row r="13" spans="1:3" hidden="1" x14ac:dyDescent="0.2">
      <c r="C13">
        <v>59</v>
      </c>
    </row>
    <row r="14" spans="1:3" hidden="1" x14ac:dyDescent="0.2">
      <c r="C14">
        <v>89</v>
      </c>
    </row>
    <row r="15" spans="1:3" hidden="1" x14ac:dyDescent="0.2"/>
    <row r="16" spans="1:3" hidden="1" x14ac:dyDescent="0.2">
      <c r="C16">
        <v>25</v>
      </c>
    </row>
    <row r="17" spans="3:3" hidden="1" x14ac:dyDescent="0.2">
      <c r="C17">
        <v>56</v>
      </c>
    </row>
    <row r="18" spans="3:3" hidden="1" x14ac:dyDescent="0.2"/>
    <row r="19" spans="3:3" hidden="1" x14ac:dyDescent="0.2"/>
    <row r="20" spans="3:3" hidden="1" x14ac:dyDescent="0.2">
      <c r="C20">
        <f>C10+C13+C16</f>
        <v>155</v>
      </c>
    </row>
    <row r="21" spans="3:3" hidden="1" x14ac:dyDescent="0.2">
      <c r="C21">
        <f>C11+C14+C17</f>
        <v>247</v>
      </c>
    </row>
    <row r="22" spans="3:3" hidden="1" x14ac:dyDescent="0.2"/>
    <row r="23" spans="3:3" hidden="1" x14ac:dyDescent="0.2">
      <c r="C23">
        <f>C20/C21</f>
        <v>0.62753036437246967</v>
      </c>
    </row>
  </sheetData>
  <pageMargins left="0.511811024" right="0.511811024" top="0.78740157499999996" bottom="0.78740157499999996" header="0.31496062000000002" footer="0.31496062000000002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3</vt:i4>
      </vt:variant>
    </vt:vector>
  </HeadingPairs>
  <TitlesOfParts>
    <vt:vector size="11" baseType="lpstr">
      <vt:lpstr>Resumo</vt:lpstr>
      <vt:lpstr>6. Destino Final</vt:lpstr>
      <vt:lpstr>8.BDI Aterro</vt:lpstr>
      <vt:lpstr>9. Ton</vt:lpstr>
      <vt:lpstr>10. Horários</vt:lpstr>
      <vt:lpstr>11. Roteiros</vt:lpstr>
      <vt:lpstr>13. Rem capital</vt:lpstr>
      <vt:lpstr>15. Dias úteis</vt:lpstr>
      <vt:lpstr>AbaRemun</vt:lpstr>
      <vt:lpstr>'10. Horários'!Area_de_impressao</vt:lpstr>
      <vt:lpstr>'6. Destino Final'!Area_de_impressao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Edgar</dc:creator>
  <cp:lastModifiedBy>Assinaturas Digitais</cp:lastModifiedBy>
  <cp:lastPrinted>2024-10-26T14:55:45Z</cp:lastPrinted>
  <dcterms:created xsi:type="dcterms:W3CDTF">2000-12-13T10:02:50Z</dcterms:created>
  <dcterms:modified xsi:type="dcterms:W3CDTF">2024-10-28T15:49:39Z</dcterms:modified>
</cp:coreProperties>
</file>