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P\12_ Reg. Obras e Trabalhos Extras\Prefeitura Nova Prata\Sec Obras\"/>
    </mc:Choice>
  </mc:AlternateContent>
  <xr:revisionPtr revIDLastSave="0" documentId="13_ncr:1_{380D804B-C811-4DBC-AC9A-186F08F99C21}" xr6:coauthVersionLast="45" xr6:coauthVersionMax="47" xr10:uidLastSave="{00000000-0000-0000-0000-000000000000}"/>
  <bookViews>
    <workbookView xWindow="-120" yWindow="-120" windowWidth="24240" windowHeight="13020" activeTab="1" xr2:uid="{27623603-ADDA-48E0-86EB-8E4B4A6B348A}"/>
  </bookViews>
  <sheets>
    <sheet name="Resumo" sheetId="3" r:id="rId1"/>
    <sheet name="Detalhamento do cálculo" sheetId="1" r:id="rId2"/>
    <sheet name="Documentos Base" sheetId="4" state="hidden" r:id="rId3"/>
    <sheet name="BDI" sheetId="6" state="hidden" r:id="rId4"/>
    <sheet name="Memória de Cálculo" sheetId="7" r:id="rId5"/>
  </sheets>
  <definedNames>
    <definedName name="_bookmark26" localSheetId="4">'Memória de Cálculo'!$A$10</definedName>
    <definedName name="_Toc211873033" localSheetId="4">'Memória de Cálculo'!$A$14</definedName>
    <definedName name="_Toc211873034" localSheetId="4">'Memória de Cálculo'!$A$29</definedName>
    <definedName name="_Toc211873035" localSheetId="4">'Memória de Cálculo'!$A$33</definedName>
    <definedName name="_Toc211873036" localSheetId="4">'Memória de Cálculo'!$A$36</definedName>
    <definedName name="_Toc211873037" localSheetId="4">'Memória de Cálculo'!$A$38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7" i="1" l="1"/>
  <c r="Z51" i="1"/>
  <c r="AJ10" i="1"/>
  <c r="AJ8" i="1"/>
  <c r="AJ9" i="1"/>
  <c r="AG10" i="1"/>
  <c r="Z42" i="1"/>
  <c r="AG8" i="1"/>
  <c r="AG9" i="1"/>
  <c r="AG7" i="1"/>
  <c r="Z49" i="1" l="1"/>
  <c r="T21" i="1"/>
  <c r="AF8" i="1"/>
  <c r="AJ11" i="1"/>
  <c r="U19" i="1"/>
  <c r="O24" i="1"/>
  <c r="P24" i="1" s="1"/>
  <c r="N25" i="1"/>
  <c r="N20" i="1"/>
  <c r="P67" i="1"/>
  <c r="T26" i="1"/>
  <c r="AE10" i="1"/>
  <c r="AD10" i="1"/>
  <c r="S51" i="1"/>
  <c r="U45" i="1"/>
  <c r="T33" i="1"/>
  <c r="C81" i="1"/>
  <c r="S12" i="1"/>
  <c r="I13" i="1"/>
  <c r="T44" i="1"/>
  <c r="I17" i="1"/>
  <c r="J10" i="1"/>
  <c r="I10" i="1"/>
  <c r="C56" i="1"/>
  <c r="Z50" i="1" l="1"/>
  <c r="AF10" i="1"/>
  <c r="U44" i="1"/>
  <c r="AG7" i="3" l="1"/>
  <c r="Z54" i="1" l="1"/>
  <c r="Z56" i="1" s="1"/>
  <c r="AH7" i="1" s="1"/>
  <c r="AH8" i="1" s="1"/>
  <c r="AC10" i="1"/>
  <c r="C52" i="1"/>
  <c r="C26" i="1"/>
  <c r="C74" i="1"/>
  <c r="C67" i="1"/>
  <c r="C70" i="1" s="1"/>
  <c r="AI8" i="1" l="1"/>
  <c r="C68" i="1"/>
  <c r="C75" i="1"/>
  <c r="C76" i="1" s="1"/>
  <c r="I14" i="1"/>
  <c r="S31" i="1"/>
  <c r="J17" i="1"/>
  <c r="AI7" i="1" l="1"/>
  <c r="S32" i="1"/>
  <c r="I18" i="1"/>
  <c r="J18" i="1" s="1"/>
  <c r="H24" i="1" l="1"/>
  <c r="I24" i="1" s="1"/>
  <c r="H25" i="1" l="1"/>
  <c r="I25" i="1" s="1"/>
  <c r="C17" i="1" l="1"/>
  <c r="B6" i="6" l="1"/>
  <c r="B5" i="6"/>
  <c r="Z39" i="1" l="1"/>
  <c r="S49" i="1" l="1"/>
  <c r="S24" i="1"/>
  <c r="T6" i="1"/>
  <c r="V6" i="1" s="1"/>
  <c r="U32" i="1" l="1"/>
  <c r="V32" i="1" s="1"/>
  <c r="U31" i="1"/>
  <c r="V31" i="1" s="1"/>
  <c r="U29" i="1"/>
  <c r="V29" i="1" s="1"/>
  <c r="C19" i="1" l="1"/>
  <c r="AB6" i="1" l="1"/>
  <c r="S30" i="1" l="1"/>
  <c r="U30" i="1" s="1"/>
  <c r="V30" i="1" s="1"/>
  <c r="S33" i="1"/>
  <c r="T27" i="1"/>
  <c r="U27" i="1" s="1"/>
  <c r="V27" i="1" s="1"/>
  <c r="B34" i="4"/>
  <c r="U24" i="1" s="1"/>
  <c r="V24" i="1" s="1"/>
  <c r="U20" i="1" l="1"/>
  <c r="V20" i="1" s="1"/>
  <c r="U21" i="1"/>
  <c r="V21" i="1" s="1"/>
  <c r="T22" i="1"/>
  <c r="U22" i="1" s="1"/>
  <c r="V22" i="1" s="1"/>
  <c r="T23" i="1"/>
  <c r="U23" i="1" s="1"/>
  <c r="V23" i="1" s="1"/>
  <c r="U25" i="1"/>
  <c r="V25" i="1" s="1"/>
  <c r="U26" i="1"/>
  <c r="V26" i="1" s="1"/>
  <c r="U28" i="1"/>
  <c r="V28" i="1" s="1"/>
  <c r="O26" i="1"/>
  <c r="P26" i="1" s="1"/>
  <c r="S14" i="1" l="1"/>
  <c r="V19" i="1" l="1"/>
  <c r="V33" i="1" s="1"/>
  <c r="S37" i="1" s="1"/>
  <c r="S39" i="1" s="1"/>
  <c r="U33" i="1"/>
  <c r="N63" i="1"/>
  <c r="O64" i="1"/>
  <c r="A25" i="4"/>
  <c r="A26" i="4"/>
  <c r="A24" i="4"/>
  <c r="N50" i="1"/>
  <c r="N51" i="1"/>
  <c r="N52" i="1"/>
  <c r="N53" i="1"/>
  <c r="N54" i="1"/>
  <c r="N55" i="1"/>
  <c r="N56" i="1"/>
  <c r="N49" i="1"/>
  <c r="N33" i="1"/>
  <c r="O33" i="1" s="1"/>
  <c r="P33" i="1" s="1"/>
  <c r="N34" i="1"/>
  <c r="O34" i="1" s="1"/>
  <c r="P34" i="1" s="1"/>
  <c r="N35" i="1"/>
  <c r="O35" i="1" s="1"/>
  <c r="P35" i="1" s="1"/>
  <c r="N36" i="1"/>
  <c r="O36" i="1" s="1"/>
  <c r="P36" i="1" s="1"/>
  <c r="N38" i="1"/>
  <c r="O38" i="1" s="1"/>
  <c r="P38" i="1" s="1"/>
  <c r="N39" i="1"/>
  <c r="N40" i="1"/>
  <c r="O40" i="1" s="1"/>
  <c r="P40" i="1" s="1"/>
  <c r="N41" i="1"/>
  <c r="O41" i="1" s="1"/>
  <c r="P41" i="1" s="1"/>
  <c r="N42" i="1"/>
  <c r="O42" i="1" s="1"/>
  <c r="P42" i="1" s="1"/>
  <c r="N43" i="1"/>
  <c r="O43" i="1" s="1"/>
  <c r="P43" i="1" s="1"/>
  <c r="N32" i="1"/>
  <c r="N23" i="1"/>
  <c r="O25" i="1"/>
  <c r="P25" i="1" s="1"/>
  <c r="N66" i="1" l="1"/>
  <c r="O32" i="1"/>
  <c r="P32" i="1" s="1"/>
  <c r="O52" i="1"/>
  <c r="P52" i="1" s="1"/>
  <c r="O39" i="1"/>
  <c r="P39" i="1" s="1"/>
  <c r="O51" i="1"/>
  <c r="P51" i="1" s="1"/>
  <c r="O50" i="1"/>
  <c r="P50" i="1" s="1"/>
  <c r="O55" i="1"/>
  <c r="P55" i="1" s="1"/>
  <c r="O56" i="1"/>
  <c r="P56" i="1" s="1"/>
  <c r="O54" i="1"/>
  <c r="P54" i="1" s="1"/>
  <c r="O49" i="1"/>
  <c r="O53" i="1"/>
  <c r="P53" i="1" s="1"/>
  <c r="P49" i="1"/>
  <c r="P57" i="1" s="1"/>
  <c r="N57" i="1"/>
  <c r="N11" i="1"/>
  <c r="O11" i="1" s="1"/>
  <c r="P11" i="1" s="1"/>
  <c r="N12" i="1"/>
  <c r="O12" i="1" s="1"/>
  <c r="P12" i="1" s="1"/>
  <c r="N13" i="1"/>
  <c r="O13" i="1" s="1"/>
  <c r="P13" i="1" s="1"/>
  <c r="N14" i="1"/>
  <c r="O14" i="1" s="1"/>
  <c r="P14" i="1" s="1"/>
  <c r="N16" i="1"/>
  <c r="O16" i="1" s="1"/>
  <c r="P16" i="1" s="1"/>
  <c r="N17" i="1"/>
  <c r="O17" i="1" s="1"/>
  <c r="P17" i="1" s="1"/>
  <c r="N18" i="1"/>
  <c r="O18" i="1" s="1"/>
  <c r="P18" i="1" s="1"/>
  <c r="N19" i="1"/>
  <c r="O19" i="1" s="1"/>
  <c r="P19" i="1" s="1"/>
  <c r="O20" i="1"/>
  <c r="P20" i="1" s="1"/>
  <c r="N21" i="1"/>
  <c r="O21" i="1" s="1"/>
  <c r="P21" i="1" s="1"/>
  <c r="N22" i="1"/>
  <c r="O22" i="1" s="1"/>
  <c r="P22" i="1" s="1"/>
  <c r="O23" i="1"/>
  <c r="P23" i="1" s="1"/>
  <c r="N10" i="1"/>
  <c r="B10" i="4"/>
  <c r="N37" i="1" s="1"/>
  <c r="O37" i="1" s="1"/>
  <c r="P37" i="1" s="1"/>
  <c r="O63" i="1"/>
  <c r="P64" i="1"/>
  <c r="O65" i="1"/>
  <c r="P65" i="1" s="1"/>
  <c r="O57" i="1" l="1"/>
  <c r="P44" i="1"/>
  <c r="O66" i="1"/>
  <c r="N44" i="1"/>
  <c r="O44" i="1"/>
  <c r="P63" i="1"/>
  <c r="P66" i="1" s="1"/>
  <c r="N15" i="1"/>
  <c r="O15" i="1" s="1"/>
  <c r="P15" i="1" s="1"/>
  <c r="N27" i="1" l="1"/>
  <c r="C66" i="1"/>
  <c r="C72" i="1"/>
  <c r="C41" i="1"/>
  <c r="C15" i="1"/>
  <c r="B14" i="3"/>
  <c r="C23" i="1" l="1"/>
  <c r="C49" i="1"/>
  <c r="Z40" i="1" l="1"/>
  <c r="Z38" i="1"/>
  <c r="Z24" i="1"/>
  <c r="B8" i="6" l="1"/>
  <c r="Z21" i="1" l="1"/>
  <c r="Z22" i="1" l="1"/>
  <c r="AH9" i="1" l="1"/>
  <c r="Z23" i="1"/>
  <c r="AI9" i="1" l="1"/>
  <c r="AH10" i="1"/>
  <c r="O10" i="1"/>
  <c r="O27" i="1" s="1"/>
  <c r="AI10" i="1" l="1"/>
  <c r="P10" i="1"/>
  <c r="P27" i="1" s="1"/>
  <c r="C45" i="1"/>
  <c r="C46" i="1" s="1"/>
  <c r="C47" i="1" s="1"/>
  <c r="C20" i="1"/>
  <c r="C43" i="1"/>
  <c r="AJ18" i="1" l="1"/>
  <c r="AJ13" i="1"/>
  <c r="AJ19" i="1" s="1"/>
  <c r="C50" i="1"/>
  <c r="C51" i="1" s="1"/>
  <c r="C21" i="1"/>
  <c r="Z14" i="1" l="1"/>
  <c r="C24" i="1"/>
  <c r="C25" i="1" s="1"/>
  <c r="Z25" i="1" l="1"/>
  <c r="Z26" i="1" s="1"/>
  <c r="Z18" i="1"/>
  <c r="Z19" i="1" s="1"/>
  <c r="Z27" i="1" l="1"/>
  <c r="C28" i="1" l="1"/>
  <c r="C29" i="1" s="1"/>
  <c r="C30" i="1" s="1"/>
  <c r="C79" i="1"/>
  <c r="C80" i="1" s="1"/>
  <c r="C54" i="1"/>
  <c r="C55" i="1" s="1"/>
  <c r="B3" i="6" l="1"/>
  <c r="B7" i="6" s="1"/>
  <c r="B9" i="6" s="1"/>
  <c r="C9" i="3"/>
  <c r="C1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34" authorId="0" shapeId="0" xr:uid="{8A55232A-5249-41E6-B673-6AB9A882DEB0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suporta 22kgs de lixo</t>
        </r>
      </text>
    </comment>
  </commentList>
</comments>
</file>

<file path=xl/sharedStrings.xml><?xml version="1.0" encoding="utf-8"?>
<sst xmlns="http://schemas.openxmlformats.org/spreadsheetml/2006/main" count="473" uniqueCount="329">
  <si>
    <t>Mão de Obra</t>
  </si>
  <si>
    <t>Horas Semanais</t>
  </si>
  <si>
    <t>Piso Categoria</t>
  </si>
  <si>
    <t>Percentual Insalubridade</t>
  </si>
  <si>
    <t>Valor Insalubridade</t>
  </si>
  <si>
    <t>Informações Base</t>
  </si>
  <si>
    <t>Quantitativo</t>
  </si>
  <si>
    <t>Horas Mensais (horas + repouso)</t>
  </si>
  <si>
    <t>Auxilio Alimentação diário</t>
  </si>
  <si>
    <t>Auxilio Alimentação Mensal (Média 21 dias úteis)</t>
  </si>
  <si>
    <t>¹ Realizar Cadastramento no PAT</t>
  </si>
  <si>
    <t>²  Transporte Urbano Municipal</t>
  </si>
  <si>
    <t>Vale transporte ² (Média 21 dias úteis)</t>
  </si>
  <si>
    <t xml:space="preserve"> - Desconto alimentação: 19% ¹</t>
  </si>
  <si>
    <t xml:space="preserve"> - Desconto Vale Transporte: 6% </t>
  </si>
  <si>
    <t>Valor Líquido Vale Transporte</t>
  </si>
  <si>
    <t>Valor Líquido Auxilio Alimentação</t>
  </si>
  <si>
    <t>² Transporte Urbano Municipal</t>
  </si>
  <si>
    <t>Plano de Benefício Social</t>
  </si>
  <si>
    <t>LEVANTAMENTO DE INFORMAÇÕES TRABALHISTAS</t>
  </si>
  <si>
    <t>Calça</t>
  </si>
  <si>
    <t>Valor Unitário</t>
  </si>
  <si>
    <t xml:space="preserve">Total EPI </t>
  </si>
  <si>
    <t>Descição</t>
  </si>
  <si>
    <t>Percentual</t>
  </si>
  <si>
    <t>INSS</t>
  </si>
  <si>
    <t>SESI</t>
  </si>
  <si>
    <t>SENAI</t>
  </si>
  <si>
    <t>INCRA</t>
  </si>
  <si>
    <t>SEBRAE</t>
  </si>
  <si>
    <t>SALARIO EDUCAÇÃO</t>
  </si>
  <si>
    <t>FGTS</t>
  </si>
  <si>
    <t>RAT/FAP</t>
  </si>
  <si>
    <t xml:space="preserve"> </t>
  </si>
  <si>
    <t>A.1</t>
  </si>
  <si>
    <t>A.2</t>
  </si>
  <si>
    <t>A.3</t>
  </si>
  <si>
    <t>C.3</t>
  </si>
  <si>
    <t>A.4</t>
  </si>
  <si>
    <t>A.5</t>
  </si>
  <si>
    <t>A.6</t>
  </si>
  <si>
    <t>A.7</t>
  </si>
  <si>
    <t>A.8</t>
  </si>
  <si>
    <t>GRUPO</t>
  </si>
  <si>
    <t>B.1</t>
  </si>
  <si>
    <t>B.2</t>
  </si>
  <si>
    <t>B.3</t>
  </si>
  <si>
    <t>B.4</t>
  </si>
  <si>
    <t xml:space="preserve">Provisão 1/3 Férias </t>
  </si>
  <si>
    <t>Provisão 13º Salário</t>
  </si>
  <si>
    <t>Encargos Sociais (A)</t>
  </si>
  <si>
    <t>C.1</t>
  </si>
  <si>
    <t>C.2</t>
  </si>
  <si>
    <t>C.4</t>
  </si>
  <si>
    <t xml:space="preserve">Provisão Férias </t>
  </si>
  <si>
    <t>1/12 avos de 13 Aviso Prévio</t>
  </si>
  <si>
    <t xml:space="preserve">1/12 avos de Férias </t>
  </si>
  <si>
    <t xml:space="preserve">1/12 avos de 1/3 Férias </t>
  </si>
  <si>
    <t>Multa de FGTS (40%)</t>
  </si>
  <si>
    <t>C.6</t>
  </si>
  <si>
    <t>C.7</t>
  </si>
  <si>
    <t>ENCARGOS SOCIAIS  E RESCISÓRIOS</t>
  </si>
  <si>
    <t>Informações Base Mensal</t>
  </si>
  <si>
    <t>Somatório Total</t>
  </si>
  <si>
    <t xml:space="preserve">Indenizações Resciórias </t>
  </si>
  <si>
    <t xml:space="preserve">13º e Férias </t>
  </si>
  <si>
    <t>Discriminação</t>
  </si>
  <si>
    <t>Unidade</t>
  </si>
  <si>
    <t>Km Rodado</t>
  </si>
  <si>
    <t>Custo do Veículo de Apoio (Manutenção, depreciação e Combustível) ¹</t>
  </si>
  <si>
    <t>Supervisor</t>
  </si>
  <si>
    <t>Piso Categoria ³</t>
  </si>
  <si>
    <t>ISS</t>
  </si>
  <si>
    <t>PIS</t>
  </si>
  <si>
    <t>COFINS</t>
  </si>
  <si>
    <t>IRPJ ¹</t>
  </si>
  <si>
    <t>Adicional IRPJ ²</t>
  </si>
  <si>
    <t>² Faturamento que ultrapasse os 60 mil</t>
  </si>
  <si>
    <t>Contribuição Social ³</t>
  </si>
  <si>
    <t>Pecentual Total</t>
  </si>
  <si>
    <t>¹ Presunção de 32% Cfe Legislação</t>
  </si>
  <si>
    <t>³ Presunção de 32% Cfe Legislação</t>
  </si>
  <si>
    <t>CUSTOS TRIBUTÁRIOS E LUCRATIVIDADE</t>
  </si>
  <si>
    <t>Lucro</t>
  </si>
  <si>
    <t>Prefeitura Municipal de Nova Prata</t>
  </si>
  <si>
    <t>Serviço</t>
  </si>
  <si>
    <t>VALOR TOTAL</t>
  </si>
  <si>
    <t>Custo Total</t>
  </si>
  <si>
    <t xml:space="preserve">      Cálculo realizado com Base nos valores praticados na Região e levantamento de itens com base em Laudos de Saúde e Segurança do trabalho por similaridade</t>
  </si>
  <si>
    <t>Calculado com base com tributação do Geral</t>
  </si>
  <si>
    <t>Encargos Sociais ( Grupo A)</t>
  </si>
  <si>
    <t>Encargos Sociais ( Grupo A) ¹</t>
  </si>
  <si>
    <t>Aviso Prévio Indenizado (Salário)</t>
  </si>
  <si>
    <t xml:space="preserve">Percentual Encargos Sociais e Rescisórios </t>
  </si>
  <si>
    <t xml:space="preserve">Encargos Sociais e Rescisórios </t>
  </si>
  <si>
    <t>Faturamento</t>
  </si>
  <si>
    <t>Custos Tributários</t>
  </si>
  <si>
    <t>Cálculo de Custos Tributários e Lucratividade</t>
  </si>
  <si>
    <t>V.  Total</t>
  </si>
  <si>
    <t>V. Mensal</t>
  </si>
  <si>
    <t>V. Unitário</t>
  </si>
  <si>
    <t>Custo Mensal:</t>
  </si>
  <si>
    <t>Valor Total:</t>
  </si>
  <si>
    <t>PLANILHA DE CUSTOS</t>
  </si>
  <si>
    <t>Rateio dos Custos Administrativos</t>
  </si>
  <si>
    <t>Qantitativo Total</t>
  </si>
  <si>
    <t>Rateio pelo quantitativo</t>
  </si>
  <si>
    <t>Rateio dos Custos Tributários e Lucratividade</t>
  </si>
  <si>
    <t>Resumo do Custo Geral</t>
  </si>
  <si>
    <t>Custos</t>
  </si>
  <si>
    <t>Trabalhista</t>
  </si>
  <si>
    <t>SST</t>
  </si>
  <si>
    <t>¹ Considerado Férias Indenizadas na rescisão,  sem encargos sociais</t>
  </si>
  <si>
    <t>LEVANTAMENTO DE INFORMAÇÕES DE SAÚDE E SEGURANÇA E UNIFORMES - SST</t>
  </si>
  <si>
    <t>Valor Individual</t>
  </si>
  <si>
    <t>Vale Transporte diário</t>
  </si>
  <si>
    <t>Totalizador Mensal</t>
  </si>
  <si>
    <t>SOMATÓRIO</t>
  </si>
  <si>
    <t>Tributário e Lucr. Indiv.</t>
  </si>
  <si>
    <t xml:space="preserve">TOTAL GERAL </t>
  </si>
  <si>
    <t xml:space="preserve">   Resumo demonstrativo de valores mensais para cumprimento da roçada de 157.297,64m² na cidade de Nova Prata</t>
  </si>
  <si>
    <t>Prestação de Serviços de Corte de Grama e Roçadas Urbanas por m², Incluso a Limpeza de Bocas de Lobo, roçada com Acabamento de Meio Fio, Varrição Manual e, Soprada com Recolhimento de Resíduos, Raspagem e Capina Manual</t>
  </si>
  <si>
    <t>Quantitativo*</t>
  </si>
  <si>
    <t>*Metro²</t>
  </si>
  <si>
    <t>Categoria Profissional:  Roçador Limpeza Urbana - CBO 6220 - 44 horas</t>
  </si>
  <si>
    <t>Categoria Profissional: Varredor - CBO 5142 - 44 horas</t>
  </si>
  <si>
    <t>Roçador</t>
  </si>
  <si>
    <t>Varredor</t>
  </si>
  <si>
    <t>Vassoura</t>
  </si>
  <si>
    <t>Soprador</t>
  </si>
  <si>
    <t>Enxada de Pequeno porte</t>
  </si>
  <si>
    <t>Sacos Plásticos 100 litros</t>
  </si>
  <si>
    <t>Vassoura de aço</t>
  </si>
  <si>
    <t>Pá de Concha</t>
  </si>
  <si>
    <t>Carrinho de mão</t>
  </si>
  <si>
    <t>Categoria Profissional: Supervisor (Cargo de Confiança -  44 horas)</t>
  </si>
  <si>
    <t>Piso Categoria  Proporcional 44 horas</t>
  </si>
  <si>
    <t xml:space="preserve">Quantitativo </t>
  </si>
  <si>
    <t xml:space="preserve">Camisa manga curta </t>
  </si>
  <si>
    <t xml:space="preserve">Camisa manga longa </t>
  </si>
  <si>
    <t>Boné</t>
  </si>
  <si>
    <t>Colete reflexivo</t>
  </si>
  <si>
    <t>Luva de proteção</t>
  </si>
  <si>
    <t>Protetor auricular</t>
  </si>
  <si>
    <t>Protetor solar FPS 30</t>
  </si>
  <si>
    <t>Calçado de segurança</t>
  </si>
  <si>
    <t>Óculos de proteção</t>
  </si>
  <si>
    <t>Capa de chuva amarela com reflexivo</t>
  </si>
  <si>
    <t>Rateio Veículos</t>
  </si>
  <si>
    <t>Cones de sinalização</t>
  </si>
  <si>
    <t>Rede de proteção</t>
  </si>
  <si>
    <t>Fita de isolamento</t>
  </si>
  <si>
    <t>Listagem de EPC (Equipamento de Proteção Coletiva) e sinalização</t>
  </si>
  <si>
    <t>Jaqueta com reflexivo</t>
  </si>
  <si>
    <t>EPI</t>
  </si>
  <si>
    <t>https://produto.mercadolivre.com.br/MLB-3144184245-jaqueta-com-refletivo-2-bolsos-laterais-forrada-manta-grossa-_JM?matt_tool=51094617&amp;matt_internal_campaign_id=&amp;matt_word=&amp;matt_source=google&amp;matt_campaign_id=22090354046&amp;matt_ad_group_id=173090527396&amp;matt_match_type=&amp;matt_network=g&amp;matt_device=c&amp;matt_creative=727882727028&amp;matt_keyword=&amp;matt_ad_position=&amp;matt_ad_type=pla&amp;matt_merchant_id=705550631&amp;matt_product_id=MLB3144184245-176390697627&amp;matt_product_partition_id=2387573780376&amp;matt_target_id=pla-2387573780376&amp;cq_src=google_ads&amp;cq_cmp=22090354046&amp;cq_net=g&amp;cq_plt=gp&amp;cq_med=pla&amp;gad_source=1&amp;gad_campaignid=22090354046&amp;gbraid=0AAAAAD93qcBe4cp9r87liAOCm8hutpIqG&amp;gclid=EAIaIQobChMIjY_y9OrOjwMVolRIAB2vbz3YEAQYASABEgJV__D_BwE</t>
  </si>
  <si>
    <t>https://www.preveoeste.com.br/calca-brim-azul-royal-com-elastico-396-p143518</t>
  </si>
  <si>
    <t>https://proformes.com.br/produto/camiseta-gola-redonda-cinza/</t>
  </si>
  <si>
    <t>https://www.lojauniformes.com.br/area-da-saude/camiseta-manga-longa-unissex?variant_id=15009&amp;parceiro=4585&amp;gad_source=1&amp;gad_campaignid=16877447991&amp;gbraid=0AAAAADG0hHqCZOaHgKC5CK-hM08j3cs92&amp;gclid=EAIaIQobChMItb-BoPjOjwMVRF5IAB1uBwCXEAQYASABEgIDuPD_BwE</t>
  </si>
  <si>
    <t>https://www.preveoeste.com.br/oculos-de-protecao-incolor-argon-ca-35765-libus-2014-p140955</t>
  </si>
  <si>
    <t>Boné Árabe</t>
  </si>
  <si>
    <t>https://www.preveoeste.com.br/bone-epi-arabe-sol-helanca-ca-44963-azul-3-unidades-kt1828-p141084</t>
  </si>
  <si>
    <t>https://www.preveoeste.com.br/colete-refletivo-sem-bolso-com-ziper-steelflex-1756-p139522</t>
  </si>
  <si>
    <t>https://produto.mercadolivre.com.br/MLB-1622726632-par-luva-jardim-jardineiro-jardinagem-rocador-luvas-ss1005-_JM?matt_tool=48995110&amp;matt_internal_campaign_id=&amp;matt_word=&amp;matt_source=google&amp;matt_campaign_id=22603531562&amp;matt_ad_group_id=181244933895&amp;matt_match_type=&amp;matt_network=g&amp;matt_device=c&amp;matt_creative=758138322200&amp;matt_keyword=&amp;matt_ad_position=&amp;matt_ad_type=pla&amp;matt_merchant_id=249882364&amp;matt_product_id=MLB1622726632&amp;matt_product_partition_id=2424443221566&amp;matt_target_id=pla-2424443221566&amp;cq_src=google_ads&amp;cq_cmp=22603531562&amp;cq_net=g&amp;cq_plt=gp&amp;cq_med=pla&amp;gad_source=1&amp;gad_campaignid=22603531562&amp;gbraid=0AAAAAD93qcDNMM_aJYLiF7qZ7233h36I1&amp;gclid=EAIaIQobChMI76Tf4_7OjwMVA2FIAB2yExO2EAQYAyABEgJPcfD_BwE</t>
  </si>
  <si>
    <t>https://www.preveoeste.com.br/protetor-auricular-pomp-plus-com-cordao-ca-5745-3m-543-p2424</t>
  </si>
  <si>
    <t>Protetor solar com repelente FPS 30</t>
  </si>
  <si>
    <t>https://www.preveoeste.com.br/protetor-solar-30-fps-com-repelente-120ml-nutriex-1969-p140409</t>
  </si>
  <si>
    <t>https://www.preveoeste.com.br/capa-pvc-amarela-130m-com-forro-e-capuz-ca-28622-capere-415-p143485</t>
  </si>
  <si>
    <t>Proteção Facial</t>
  </si>
  <si>
    <t>https://produto.mercadolivre.com.br/MLB-974145885-proteco-facial-telado-aco-para-rocadeira-motosserra-_JM?searchVariation=36061696308#polycard_client=search-nordic&amp;searchVariation=36061696308&amp;search_layout=stack&amp;position=2&amp;type=item&amp;tracking_id=54470d70-fb21-410a-96ee-2a398645874f</t>
  </si>
  <si>
    <t>https://www.preveoeste.com.br/botina-preta-biqueira-composite-palmilha-antiperfuro-ca-49088-2271-p144457</t>
  </si>
  <si>
    <t>https://produto.mercadolivre.com.br/MLB-3493280677-perneira-profissional-bidim-resistente-com-velcro-e-presilha-_JM?matt_tool=48995110&amp;matt_internal_campaign_id=&amp;matt_word=&amp;matt_source=google&amp;matt_campaign_id=22603531562&amp;matt_ad_group_id=181244933895&amp;matt_match_type=&amp;matt_network=g&amp;matt_device=c&amp;matt_creative=758138322200&amp;matt_keyword=&amp;matt_ad_position=&amp;matt_ad_type=pla&amp;matt_merchant_id=5372719795&amp;matt_product_id=MLB3493280677&amp;matt_product_partition_id=2424443221566&amp;matt_target_id=pla-2424443221566&amp;cq_src=google_ads&amp;cq_cmp=22603531562&amp;cq_net=g&amp;cq_plt=gp&amp;cq_med=pla&amp;gad_source=1&amp;gad_campaignid=22603531562&amp;gbraid=0AAAAAD93qcDNMM_aJYLiF7qZ7233h36I1&amp;gclid=EAIaIQobChMI-ofRvYPPjwMVeZbuAR32twf4EAQYAiABEgJfHvD_BwE</t>
  </si>
  <si>
    <t>Perneira</t>
  </si>
  <si>
    <t>Luva Proteção Anti Vibração</t>
  </si>
  <si>
    <t>https://www.superepi.com.br/luva-de-protecao-antivibrcao-e-impacto-delta-plus-nysos-ca-41405-p1048915?tsid=16&amp;gad_source=1&amp;gad_campaignid=21872091581&amp;gbraid=0AAAAADtYNEo2-WNHYOS5BS6M3epkjQR3A&amp;gclid=EAIaIQobChMI6cLSnYfPjwMVMUVIAB1NDyoAEAQYAyABEgKHlvD_BwE</t>
  </si>
  <si>
    <t>Luva Anti Vibração</t>
  </si>
  <si>
    <t>https://produto.mercadolivre.com.br/MLB-5228843990-avental-para-seguranca-proteco-operador-de-rocadeira-_JM#polycard_client=search-nordic&amp;search_layout=grid&amp;position=5&amp;type=item&amp;tracking_id=e3c86a7b-5c9d-4fc4-9681-6c1278acf841&amp;wid=MLB5228843990&amp;sid=search</t>
  </si>
  <si>
    <t>Avental de raspa</t>
  </si>
  <si>
    <t>https://www.mercadolivre.com.br/10-cones-sinalizaco-laranjabranco-pvc-75cm-trnsito-grande/p/MLB46157783?pdp_filters=item_id%3AMLB4072886629&amp;from=gshop&amp;matt_tool=45048704&amp;matt_internal_campaign_id=&amp;matt_word=&amp;matt_source=google&amp;matt_campaign_id=22090354304&amp;matt_ad_group_id=173090584236&amp;matt_match_type=&amp;matt_network=g&amp;matt_device=c&amp;matt_creative=727882731540&amp;matt_keyword=&amp;matt_ad_position=&amp;matt_ad_type=pla&amp;matt_merchant_id=735098660&amp;matt_product_id=MLB46157783-product&amp;matt_product_partition_id=2388008876306&amp;matt_target_id=pla-2388008876306&amp;cq_src=google_ads&amp;cq_cmp=22090354304&amp;cq_net=g&amp;cq_plt=gp&amp;cq_med=pla&amp;gad_source=1&amp;gad_campaignid=22090354304&amp;gbraid=0AAAAAD93qcDDENWSkm2FQSAHTRclwjW1P&amp;gclid=EAIaIQobChMIjv2vj7_RjwMVfFVIAB1mUxS1EAQYASABEgIvLvD_BwE</t>
  </si>
  <si>
    <t>EPC</t>
  </si>
  <si>
    <t>https://www.mercadolivre.com.br/protetor-de-rocagem-flexivel-50m-x-15m-altura-47420017/up/MLBU1093277741#polycard_client=search-nordic&amp;search_layout=grid&amp;position=19&amp;type=product&amp;tracking_id=de11f135-779d-4c61-8952-199386e0ec41&amp;wid=MLB1796655563&amp;sid=search</t>
  </si>
  <si>
    <t>https://www.mercadolivre.com.br/plastcor-fita-zebrada-zebrada-unidade-1-200-m-7-cm/p/MLB36534095?product_trigger_id=MLB27327339&amp;pdp_filters=item_id%3AMLB3502776881&amp;applied_product_filters=MLB27327339&amp;from=gshop&amp;picker=true&amp;matt_tool=45048704&amp;matt_internal_campaign_id=&amp;matt_word=&amp;matt_source=google&amp;matt_campaign_id=22090354304&amp;matt_ad_group_id=173090584236&amp;matt_match_type=&amp;matt_network=g&amp;matt_device=c&amp;matt_creative=727882731540&amp;matt_keyword=&amp;matt_ad_position=&amp;matt_ad_type=pla&amp;matt_merchant_id=735125422&amp;matt_product_id=MLB27327339-product&amp;matt_product_partition_id=2419083544924&amp;matt_target_id=pla-2419083544924&amp;cq_src=google_ads&amp;cq_cmp=22090354304&amp;cq_net=g&amp;cq_plt=gp&amp;cq_med=pla&amp;gad_source=1&amp;gad_campaignid=22090354304&amp;gbraid=0AAAAAD93qcDDENWSkm2FQSAHTRclwjW1P&amp;gclid=EAIaIQobChMIqJ3YqMHRjwMVvypECB2Mmi40EAQYAiABEgJOH_D_BwE&amp;quantity=1</t>
  </si>
  <si>
    <t>¹ Estimativa de rodagem de 30 Km/dia</t>
  </si>
  <si>
    <t>Administração, Veículo de apoio e Transporte</t>
  </si>
  <si>
    <t>Recipiente para gasolina, com bico (20L)</t>
  </si>
  <si>
    <t>Ferramentas e Equipamentos</t>
  </si>
  <si>
    <t>Rateio das Ferramentas e Equipamentos</t>
  </si>
  <si>
    <t>Roçadeira costal</t>
  </si>
  <si>
    <t>Total</t>
  </si>
  <si>
    <t>Jaleco manga longa</t>
  </si>
  <si>
    <t>FERRAMENTAS E EQUIPAMENTOS</t>
  </si>
  <si>
    <t>Enxada larga</t>
  </si>
  <si>
    <t>https://www.lojadomecanico.com.br/produto/133387/31/327/enxada-larga-25-cabo-de-madeira-145-cm-tramontina-77254754/153/?srsltid=AfmBOorVJzkhSJPiTzzrk1h4NISbSQyGlgQQcL7iOf-7ihSg_GtKxMU6TCM</t>
  </si>
  <si>
    <t>https://www.leroymerlin.com.br/enxada-estreita-com-cabo-25x145,4cm-tramontina_91975184?region=outros&amp;srsltid=AfmBOopUQAT0AIaF2yG-qH3wJVTbUEqQqbMBrHcLYWPENp7wvrtjKZ-Ouoc&amp;region_id=52000</t>
  </si>
  <si>
    <t>https://www.fg.com.br/pa-ajuntadeira-quadrada-nr-3-com-cabo-y---nove54/p</t>
  </si>
  <si>
    <t>https://www.fg.com.br/vassoura-tipo-gari-cepa-de-madeira-65-cm-5-fileiras-com-cabo---nove54/p</t>
  </si>
  <si>
    <t>https://www.fg.com.br/vassoura-de-aco-regulavel-22-dentes-com-cabo-77840-721---tramontina/p</t>
  </si>
  <si>
    <t>https://www.jaledistribuidora.com.br/sacos-para-lixo/pretos/sacos-para-lixo-100l-preto-elaj-reforcado-c100un</t>
  </si>
  <si>
    <t>https://www.leroymerlin.com.br/carrinho-de-mao-em-aco-carbono-pneu-macico-chapa-26mm-45l_1571958083?referrer=category-page</t>
  </si>
  <si>
    <t>https://www.santeconline.com.br/galao-plastico-azul-20-litros-1411-cipla-39748</t>
  </si>
  <si>
    <t>Recipiente para gasolina, C/ bico (20L)</t>
  </si>
  <si>
    <t>Rateio</t>
  </si>
  <si>
    <t xml:space="preserve"> CUSTOS ADMINISTRATIVO MAQUINAS E FERRAMENTAS</t>
  </si>
  <si>
    <t>ADM/ MAQ/FER</t>
  </si>
  <si>
    <t>LEVANTAMENTO DE PRODUTIVIDADE</t>
  </si>
  <si>
    <t xml:space="preserve">      Cálculo realizado com Base em pesquisa e medição da atividade pelos profissionais contratos pelo município</t>
  </si>
  <si>
    <t>Produtividade Horas/Homem</t>
  </si>
  <si>
    <t>Quantidade</t>
  </si>
  <si>
    <t>Horas Contratadas-Hora Repouso</t>
  </si>
  <si>
    <t>Roçadeira</t>
  </si>
  <si>
    <t>Levantamento de Informações Base:</t>
  </si>
  <si>
    <t>ítem</t>
  </si>
  <si>
    <t>Gasto Litros por hora</t>
  </si>
  <si>
    <t>Cargo</t>
  </si>
  <si>
    <t>Atividade</t>
  </si>
  <si>
    <t>Roçar</t>
  </si>
  <si>
    <t>Quant.</t>
  </si>
  <si>
    <t>Soprar e Recolher</t>
  </si>
  <si>
    <t>Produtividade mês</t>
  </si>
  <si>
    <t>Pessoas para a execução</t>
  </si>
  <si>
    <t>Quantidade de Pessoas</t>
  </si>
  <si>
    <t>Faca/Lâmina para roçadeira</t>
  </si>
  <si>
    <t>Gasolina pura</t>
  </si>
  <si>
    <t>https://www.mercadolivre.com.br/lamina-de-3-pontas-para-rocadeiras-255-mm-x-254-mm-vonder/up/MLBU2708580555?pdp_filters=item_id:MLB5163307964</t>
  </si>
  <si>
    <t>https://www.amazon.com.br/Nylon-Ro%C3%A7adeira-Quadrado-Toyama-Vulcan/dp/B0CK3XXG8S/ref=asc_df_B0CK3XXG8S?mcid=269d09c4fbe6318dad93ac2358db717d&amp;tag=googleshopp00-20&amp;linkCode=df0&amp;hvadid=709885039561&amp;hvpos=&amp;hvnetw=g&amp;hvrand=11707318808001632177&amp;hvpone=&amp;hvptwo=&amp;hvqmt=&amp;hvdev=c&amp;hvdvcmdl=&amp;hvlocint=&amp;hvlocphy=20104&amp;hvtargid=pla-2245025115096&amp;psc=1&amp;language=pt_BR&amp;gad_source=1</t>
  </si>
  <si>
    <t>Fio de Nylon 226 metros</t>
  </si>
  <si>
    <t>https://www.mercadolivre.com.br/oleo-castrol-8017h-500ml-stihl/p/MLB20953468#polycard_client=search-nordic&amp;search_layout=stack&amp;position=3&amp;type=product&amp;tracking_id=b3a7f45e-f749-43ff-be8d-ec104766eff8&amp;wid=MLB3420112954&amp;sid=search</t>
  </si>
  <si>
    <t>Óleo dois tempos 500 ml</t>
  </si>
  <si>
    <t>https://www.stihl.com.br/pt/dicas/manutencao/dicas-para-rocadeiras/mistura-combustivel-rocadeira</t>
  </si>
  <si>
    <t xml:space="preserve">Proporção Gasolina x Oleo dois tempos </t>
  </si>
  <si>
    <t>Gasolina pura  - litros</t>
  </si>
  <si>
    <t>Óleo dois tempos - litros</t>
  </si>
  <si>
    <t>Quantitativo Total</t>
  </si>
  <si>
    <t>Produtividade em m²</t>
  </si>
  <si>
    <t>Gastos/Hora por litro</t>
  </si>
  <si>
    <t>Horas úteis dia</t>
  </si>
  <si>
    <t>Produtividade dia (m²)</t>
  </si>
  <si>
    <t>Produtividade Mês (m²)</t>
  </si>
  <si>
    <t>Valor Total (Mensal)</t>
  </si>
  <si>
    <t>Fio de Nylon - 226 metros (em rolo)</t>
  </si>
  <si>
    <t xml:space="preserve">Quant. Anual </t>
  </si>
  <si>
    <t>Categoria Profissional: Varredor (Soprador) - CBO 5142 - 44 horas</t>
  </si>
  <si>
    <t>Varredor (Soprador</t>
  </si>
  <si>
    <t>Hrs Contradas</t>
  </si>
  <si>
    <t>Varredor (soprador)</t>
  </si>
  <si>
    <t>Componente</t>
  </si>
  <si>
    <t>Observação</t>
  </si>
  <si>
    <t>Administração central</t>
  </si>
  <si>
    <t>Custos indiretos da sede</t>
  </si>
  <si>
    <t>Seguros e garantias</t>
  </si>
  <si>
    <t>Seguro civil, garantias contratuais</t>
  </si>
  <si>
    <t>Riscos e contingências</t>
  </si>
  <si>
    <t>Imprevistos operacionais</t>
  </si>
  <si>
    <t>Margem da empresa</t>
  </si>
  <si>
    <t>Subtotal (antes dos tributos)</t>
  </si>
  <si>
    <t>Soma dos itens acima</t>
  </si>
  <si>
    <t>Tributos (IRPJ, CSLL, PIS, COFINS, ISS)</t>
  </si>
  <si>
    <t>Lucro Presumido – serviços</t>
  </si>
  <si>
    <t>BDI Final</t>
  </si>
  <si>
    <t>Aplicado sobre o custo direto</t>
  </si>
  <si>
    <t xml:space="preserve">   Cálculos Realizados com Base na Convenção Coletiva de trabalho vigente (01/01/2026 a 31/12/2026) e a legislação Trabalhista Vigente.</t>
  </si>
  <si>
    <t>Prêmio Assiduidade</t>
  </si>
  <si>
    <t xml:space="preserve">Aluguel Conteiner </t>
  </si>
  <si>
    <t>Destinação Resíduos Mensal</t>
  </si>
  <si>
    <t>A contratação se dará por m²  (metro quadrado).</t>
  </si>
  <si>
    <t>MEMÓRIA DE CALCULO</t>
  </si>
  <si>
    <t xml:space="preserve">Este projeto básico apresenta o resultado de um estudo desenvolvido junto a Prefeitura de Nova Prata, no que tange aos serviços de corte de grama e roçadas urbanas por m², incluso a limpeza de bocas de lobo, roçada com acabamento de meio fio, varrição manual e, soprada com recolhimento de resíduos, raspagem e capina manual, a fim de atender as necessidades  da Secretaria de obras  saneamento.    </t>
  </si>
  <si>
    <t>Todos os parâmetros, fórmulas e teorias aplicadas nesse trabalho foram buscadas, principalmente em licitações de igual serviço e legislação vigente.</t>
  </si>
  <si>
    <t>O corte de Grama e roçadas deverá ser realizado em uma área que compreende o total de 157.297.64 m² a ser executado dentro da localidade do Munícipio de Nova Prata, conforme mapeamento realizado com suas respectivas áreas</t>
  </si>
  <si>
    <t xml:space="preserve">A Contratante, a seu critério, de acordo com as necessidades dos serviços, poderá determinar alteração no número de cortes, roçadas, limpezas, varrições, sopradas e capinas de forma a manter a limpeza e harmonização de toda a vegetação do município a serem realizadas nas vias e logradouros públicos, ajustando se necessário a quantidade de máquinas, combustíveis, servidores e equipamentos que se fizerem necessários para o bom andamento dos serviços e conclusão da metragem determinada. </t>
  </si>
  <si>
    <t>A partir do dimensionamento dos cargos necessários para a execução do objeto estabeleceu-se o detalhamento por cargo dos custos relacionados a mão de obra</t>
  </si>
  <si>
    <t xml:space="preserve">O custo da mão de obra foi estimado, no projeto básico, com base no piso salarial estabelecido nas convenções coletivas de cada categoria profissional. A convenção utilizada foi a que abrange a cidade de Nova Prata, onde o serviço será prestado. </t>
  </si>
  <si>
    <t>Todos os direitos e os benefícios previstos às categorias de trabalhadores envolvidos em uma prestação de serviços desta natureza, estabelecidos nas convenções coletivas, na Consolidação das Leis Trabalhistas (CLT) e em outros dispositivos legais aplicáveis à situação, foram considerados na planilha orçamentária do projeto básico.</t>
  </si>
  <si>
    <t xml:space="preserve">Portanto, as propostas por parte da empresa devem estar de acordo com os salários determinados nas planilhas orçamentarias, também se recomenda previsão, no edital e no contrato que a repactuação da parcela de mão de obra será realizada a partir dos índices das Convenções Coletivas em suas datas-bases. </t>
  </si>
  <si>
    <t xml:space="preserve">Conforme prevê a convenção coletiva a execução do trabalho objeto dessa licitação prevê o pagamento de adicional de insalubridade em grau máximo, mas a empresa deve realizar os laudos de Saúde e segurança conforme a legislação vigente,  </t>
  </si>
  <si>
    <t>Previsto na convenção coletiva vigente no valor de R$ 27,15 por dia trabalho e permitidno o deconto de 19% na folha de pagamento, importante a empresa escolher a forma de concessão desse beneficio e realizar a inscrição no PAT (programa de alimentação do trabalhador).</t>
  </si>
  <si>
    <t>Conforme lei Federal (Lei No 7.418) o Vale Transporte é o custeio de efetivas despesas de deslocamento residência-trabalho e vice-versa, através do sistema de transporte coletivo público, urbano ou intermunicipal e/ou interestadual com características semelhantes aos urbanos, geridos diretamente ou mediante concessão ou permissão de linhas regulares e com tarifas fixadas pela autoridade competente, excluídos os serviços seletivos e os especiais. Assim com base no valor do transporte urbano e Nova prata previu-se o desembolso e ainda o desconto em folha de pagamento de 6% do salário conforme previsto na mesma legislação.</t>
  </si>
  <si>
    <t>Previsto na Clausula 30º da Convenção coletiva de trabalho. Sem contraprestação para o empregado.</t>
  </si>
  <si>
    <t>Previsto na Cláusula 19º da convenção Coletiva de Trabalho, R$ 80,00 para que cumpre a jornada integral de trabalho</t>
  </si>
  <si>
    <t>Encargos Sociais são os custos incidentes sobre a folha de pagamento de salários dos trabalhadores e tem sua origem na CLT, na Constituição Federal de 1988, em leis específicas e nas Convenções Coletivas de Trabalho.</t>
  </si>
  <si>
    <t>Os encargos sociais foram determinados através por meio de pesquisa à legislação e a dados estatísticos disponíveis em fontes públicas oficiais.</t>
  </si>
  <si>
    <t>Os encargos do Grupo A são as contribuições sociais obrigatórias por lei que incidem sobre a folha de pagamento. Envolvem, também, aquelas definidas em convenções coletivas de trabalho, quando houver. É fundamental que os contratantes públicos acompanhem as convenções regionalizadas de trabalho entre os sindicatos de empregados e empregadores que diferenciem os encargos a serem recolhidos em cada município onde é prestado o serviço.</t>
  </si>
  <si>
    <t xml:space="preserve">Nos encargos do Grupo B estão os valores pagos aos trabalhadores sem  contraprestação de serviços, mas previstos em legislação Federal e sobre eles incidem os encargos básicos do Grupo A. </t>
  </si>
  <si>
    <r>
      <t>1.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MÃO DE OBRA</t>
    </r>
  </si>
  <si>
    <r>
      <t>1.1.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Piso Salarial e Convenções Coletivas:</t>
    </r>
  </si>
  <si>
    <r>
      <t>1.2.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Insalubridade:</t>
    </r>
  </si>
  <si>
    <r>
      <t>1.3.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Auxilio alimentação:</t>
    </r>
  </si>
  <si>
    <r>
      <t>1.4.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Vale Transporte:</t>
    </r>
  </si>
  <si>
    <r>
      <t>1.5.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Plano de  Beneficio Social:</t>
    </r>
  </si>
  <si>
    <r>
      <t>1.6.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 xml:space="preserve">Prêmio Assiduidade: </t>
    </r>
  </si>
  <si>
    <r>
      <t>2.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ENCARGOS SOCIAIS</t>
    </r>
  </si>
  <si>
    <r>
      <t>2.1.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Detalhamento De Encargos Sociais</t>
    </r>
  </si>
  <si>
    <r>
      <t>2.1.1.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Arial"/>
        <family val="2"/>
      </rPr>
      <t>Grupo A</t>
    </r>
  </si>
  <si>
    <r>
      <t>2.1.2.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Arial"/>
        <family val="2"/>
      </rPr>
      <t>Grupo B</t>
    </r>
  </si>
  <si>
    <r>
      <t>2.1.3.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Arial"/>
        <family val="2"/>
      </rPr>
      <t>Grupo C</t>
    </r>
  </si>
  <si>
    <t xml:space="preserve">Nos encargos do Grupo C, possuem natureza predominantemente indenizatória, com taxas de rotatividade dos funcionários, com o objetivo de remunerar a empresa para qualquer eventualidade em termos de indenizações e rescisões e sobre parcial deles incidem os encargos básicos do Grupo A. </t>
  </si>
  <si>
    <r>
      <t>3.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SAÚDE E SEGURANÇA DO TRABALHO</t>
    </r>
  </si>
  <si>
    <t>Conforme a legislação vigente é obrigatório para todas as empresas que tem empregados a realização de laudos de saúde e segurança, bem como sua vinculação ao esocial. Tambem devem ser realizados os exames médicos admissionais, periódicos conforme previstos no mesmo laudo.</t>
  </si>
  <si>
    <r>
      <t>3.1.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EPI</t>
    </r>
  </si>
  <si>
    <t>Equipamento de Proteção Individual usados pelo trabalhador para se proteger contra riscos que ameacem sua segurança e saúde no ambiente de trabalho. O uso é obrigatório e o fornecimento deve ser gratuito pela empresa, de acordo com a Norma Regulamentadora 6.</t>
  </si>
  <si>
    <r>
      <t>3.2.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EPC</t>
    </r>
  </si>
  <si>
    <t>Equipamento de Proteção Coletiva, é qualquer dispositivo ou sistema que visa proteger a saúde e a segurança de um grupo de trabalhadores, eliminando ou minimizando os riscos do ambiente de trabalho, eles beneficiam a todos simultaneamente</t>
  </si>
  <si>
    <r>
      <t>3.3.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Uniformes</t>
    </r>
  </si>
  <si>
    <t>O uniforme de trabalho é a vestimenta padronizada usada pelo empregado para identificação, padronização visual e para transmitir uma imagem profissional coesa. Ele pode ter diversas funções, como garantir a segurança, promover a higiene e reforçar a identidade da marca.</t>
  </si>
  <si>
    <r>
      <t>4.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MAQUINAS E FERRAMENTAS</t>
    </r>
  </si>
  <si>
    <t>Este tópico aborda o cálculo dos custos administrativos e de maquinas e ferramentas utilziados para pretação do serviço.</t>
  </si>
  <si>
    <r>
      <t>4.1.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Veículo de apoio:</t>
    </r>
  </si>
  <si>
    <t>Custos Relativos á veiculo de apoio:Provavelmente em uso pelo supervisor, calculado uma média e utilização de 30 Km de rodagem dia, dado levantando pela rota realizada para as roçadas atualmente.</t>
  </si>
  <si>
    <r>
      <t>4.2.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Conteiner</t>
    </r>
  </si>
  <si>
    <t xml:space="preserve">Para  depósito dos resíduos da roçada/varrição e posterior destinação pela empresa que foi realizada a locação do Conteineir </t>
  </si>
  <si>
    <r>
      <t>4.3.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 xml:space="preserve">Ferramentas e Equipamentos: </t>
    </r>
  </si>
  <si>
    <t>Valor do consumo e quantitativo calculado com base na estimativa de quantidade de operadores e  prestadores de serviço e do gasto/vida útil estimado de cada item.</t>
  </si>
  <si>
    <t>Os itens de Consumo, Gasolina, Fio de Nylon, óleo dos dois tempos calculamos com base no gasto pela utilização, levantamento realizado por amostragem com a equipe da prefeitura e com base no manual dos equipamentos.</t>
  </si>
  <si>
    <r>
      <t>5.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PRODUTIVIDADE</t>
    </r>
  </si>
  <si>
    <t>Esse tópico trata dos cálculos realizados para levantamento da produtividade das pessoas e das máquinas envolvidas no processo</t>
  </si>
  <si>
    <r>
      <t>5.1.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 xml:space="preserve">Horas úteis de trabalho homem: </t>
    </r>
  </si>
  <si>
    <t>Levantamento realizado para verificar quantas das 8hrs e 48 min prevista na jornada de trabalho são realmente produtivas e conforme literatura trabalhista administrativa 85% das horas prevista em jornada são efetivamente úteis.</t>
  </si>
  <si>
    <r>
      <t>5.2.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Produtividade Cargos:</t>
    </r>
  </si>
  <si>
    <t>Levantamento realizado baseado em Periodo teste realizado pela equipe do município, e em licitações com a mesma finalidade, levantando tempos e gastos em determinado período e levando em consideração as horas úteis previamente calculadas.</t>
  </si>
  <si>
    <r>
      <t>5.3.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Produtividade das Máquinas:</t>
    </r>
  </si>
  <si>
    <t>Levantamento realizado com base no manual do equipamento e com base em Periodo teste realizado pela equipe do município, levantando tempos e gastos em determinado período possibilitando assim o levantamento da estatística.</t>
  </si>
  <si>
    <r>
      <t>6.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TRIBUTOS E LUCRATIVIDADE</t>
    </r>
  </si>
  <si>
    <t>Tributação calculada pelo regime de tributação Geral, alíquotas apuradas pela legislação Vigente.</t>
  </si>
  <si>
    <t xml:space="preserve">Lucro é a remuneração do empresário pelo desenvolvimento de uma atividade econômica. </t>
  </si>
  <si>
    <t>Diante das variáveis e da literautua admistrativa da área de serviços, taxa de lucro considerada foi de 15,00%.</t>
  </si>
  <si>
    <t xml:space="preserve">Adicional de Cargo de Confiança </t>
  </si>
  <si>
    <t>Parcentual Cargo de Confiança</t>
  </si>
  <si>
    <t>Nova Prata, 25 de Setembrode 2026</t>
  </si>
  <si>
    <t>Postos da região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</si>
</sst>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"/>
    <numFmt numFmtId="165" formatCode="_-&quot;R$&quot;\ * #,##0.0000_-;\-&quot;R$&quot;\ * #,##0.0000_-;_-&quot;R$&quot;\ * &quot;-&quot;??_-;_-@_-"/>
    <numFmt numFmtId="166" formatCode="_-&quot;R$&quot;\ * #,##0.00000_-;\-&quot;R$&quot;\ * #,##0.00000_-;_-&quot;R$&quot;\ * &quot;-&quot;??_-;_-@_-"/>
    <numFmt numFmtId="167" formatCode="_-&quot;R$&quot;\ * #,##0.00000000_-;\-&quot;R$&quot;\ * #,##0.00000000_-;_-&quot;R$&quot;\ * &quot;-&quot;??_-;_-@_-"/>
    <numFmt numFmtId="168" formatCode="_-&quot;R$&quot;\ * #,##0.00000_-;\-&quot;R$&quot;\ * #,##0.00000_-;_-&quot;R$&quot;\ * &quot;-&quot;?????_-;_-@_-"/>
    <numFmt numFmtId="169" formatCode="_-&quot;R$&quot;\ * #,##0.000000_-;\-&quot;R$&quot;\ * #,##0.000000_-;_-&quot;R$&quot;\ * &quot;-&quot;??????_-;_-@_-"/>
    <numFmt numFmtId="170" formatCode="_-&quot;R$&quot;\ * #,##0.0000_-;\-&quot;R$&quot;\ * #,##0.0000_-;_-&quot;R$&quot;\ * &quot;-&quot;????_-;_-@_-"/>
    <numFmt numFmtId="171" formatCode="_-&quot;R$&quot;\ * #,##0.000000000_-;\-&quot;R$&quot;\ * #,##0.000000000_-;_-&quot;R$&quot;\ * &quot;-&quot;??_-;_-@_-"/>
    <numFmt numFmtId="172" formatCode="_-&quot;R$&quot;\ * #,##0.00000000_-;\-&quot;R$&quot;\ * #,##0.00000000_-;_-&quot;R$&quot;\ * &quot;-&quot;????????_-;_-@_-"/>
    <numFmt numFmtId="173" formatCode="_-&quot;R$&quot;\ * #,##0.000_-;\-&quot;R$&quot;\ * #,##0.000_-;_-&quot;R$&quot;\ * &quot;-&quot;??_-;_-@_-"/>
    <numFmt numFmtId="174" formatCode="_-* #,##0.00000000_-;\-* #,##0.00000000_-;_-* &quot;-&quot;????????_-;_-@_-"/>
    <numFmt numFmtId="175" formatCode="_-&quot;R$&quot;\ * #,##0.00_-;\-&quot;R$&quot;\ * #,##0.00_-;_-&quot;R$&quot;\ * &quot;-&quot;???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2"/>
      <color rgb="FF000000"/>
      <name val="TimesNewRomanPS-BoldMT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7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251">
    <xf numFmtId="0" fontId="0" fillId="0" borderId="0" xfId="0"/>
    <xf numFmtId="0" fontId="2" fillId="0" borderId="0" xfId="0" applyFont="1"/>
    <xf numFmtId="0" fontId="2" fillId="0" borderId="1" xfId="0" applyFont="1" applyBorder="1"/>
    <xf numFmtId="44" fontId="2" fillId="0" borderId="1" xfId="1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44" fontId="2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4" fontId="2" fillId="0" borderId="0" xfId="0" applyNumberFormat="1" applyFont="1" applyAlignment="1">
      <alignment horizontal="center"/>
    </xf>
    <xf numFmtId="0" fontId="3" fillId="0" borderId="1" xfId="0" applyFont="1" applyBorder="1"/>
    <xf numFmtId="46" fontId="3" fillId="0" borderId="1" xfId="0" applyNumberFormat="1" applyFont="1" applyBorder="1" applyAlignment="1">
      <alignment horizontal="center"/>
    </xf>
    <xf numFmtId="44" fontId="3" fillId="0" borderId="1" xfId="1" applyFont="1" applyBorder="1" applyAlignment="1">
      <alignment horizontal="center"/>
    </xf>
    <xf numFmtId="44" fontId="3" fillId="0" borderId="1" xfId="0" applyNumberFormat="1" applyFont="1" applyBorder="1" applyAlignment="1">
      <alignment horizontal="center"/>
    </xf>
    <xf numFmtId="0" fontId="3" fillId="0" borderId="0" xfId="0" applyFont="1"/>
    <xf numFmtId="44" fontId="3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44" fontId="2" fillId="0" borderId="1" xfId="1" applyFont="1" applyBorder="1"/>
    <xf numFmtId="0" fontId="4" fillId="0" borderId="0" xfId="0" applyFont="1"/>
    <xf numFmtId="44" fontId="2" fillId="0" borderId="1" xfId="1" applyFont="1" applyFill="1" applyBorder="1" applyAlignment="1">
      <alignment horizontal="center"/>
    </xf>
    <xf numFmtId="10" fontId="2" fillId="0" borderId="1" xfId="0" applyNumberFormat="1" applyFont="1" applyBorder="1" applyAlignment="1">
      <alignment horizontal="center"/>
    </xf>
    <xf numFmtId="10" fontId="2" fillId="0" borderId="1" xfId="2" applyNumberFormat="1" applyFont="1" applyBorder="1" applyAlignment="1">
      <alignment horizontal="center"/>
    </xf>
    <xf numFmtId="0" fontId="2" fillId="0" borderId="1" xfId="0" applyFont="1" applyBorder="1" applyAlignment="1">
      <alignment horizontal="left" indent="1"/>
    </xf>
    <xf numFmtId="0" fontId="2" fillId="0" borderId="5" xfId="0" applyFont="1" applyBorder="1" applyAlignment="1">
      <alignment horizontal="center"/>
    </xf>
    <xf numFmtId="10" fontId="3" fillId="0" borderId="6" xfId="0" applyNumberFormat="1" applyFont="1" applyBorder="1" applyAlignment="1">
      <alignment horizontal="center"/>
    </xf>
    <xf numFmtId="10" fontId="2" fillId="0" borderId="7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44" fontId="2" fillId="0" borderId="1" xfId="1" applyFont="1" applyFill="1" applyBorder="1"/>
    <xf numFmtId="10" fontId="2" fillId="0" borderId="1" xfId="2" applyNumberFormat="1" applyFont="1" applyFill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10" fontId="3" fillId="2" borderId="5" xfId="0" applyNumberFormat="1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4" fontId="3" fillId="2" borderId="1" xfId="0" applyNumberFormat="1" applyFont="1" applyFill="1" applyBorder="1" applyAlignment="1">
      <alignment horizontal="center"/>
    </xf>
    <xf numFmtId="44" fontId="3" fillId="0" borderId="1" xfId="0" applyNumberFormat="1" applyFont="1" applyBorder="1"/>
    <xf numFmtId="0" fontId="3" fillId="0" borderId="0" xfId="0" applyFont="1" applyAlignment="1">
      <alignment horizontal="center"/>
    </xf>
    <xf numFmtId="44" fontId="3" fillId="2" borderId="1" xfId="1" applyFont="1" applyFill="1" applyBorder="1" applyAlignment="1">
      <alignment horizontal="center"/>
    </xf>
    <xf numFmtId="44" fontId="10" fillId="0" borderId="0" xfId="1" applyFont="1" applyFill="1" applyBorder="1" applyAlignment="1">
      <alignment horizontal="center"/>
    </xf>
    <xf numFmtId="44" fontId="9" fillId="0" borderId="0" xfId="1" applyFont="1" applyFill="1" applyBorder="1" applyAlignment="1">
      <alignment horizontal="center"/>
    </xf>
    <xf numFmtId="0" fontId="9" fillId="0" borderId="0" xfId="0" applyFont="1"/>
    <xf numFmtId="44" fontId="10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4" fontId="2" fillId="0" borderId="0" xfId="1" applyFont="1"/>
    <xf numFmtId="44" fontId="4" fillId="0" borderId="0" xfId="1" applyFont="1" applyAlignment="1"/>
    <xf numFmtId="44" fontId="10" fillId="0" borderId="0" xfId="1" applyFont="1"/>
    <xf numFmtId="0" fontId="7" fillId="0" borderId="0" xfId="0" applyFont="1" applyAlignment="1">
      <alignment wrapText="1"/>
    </xf>
    <xf numFmtId="44" fontId="2" fillId="0" borderId="1" xfId="0" applyNumberFormat="1" applyFont="1" applyBorder="1"/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 wrapText="1"/>
    </xf>
    <xf numFmtId="44" fontId="3" fillId="0" borderId="0" xfId="0" applyNumberFormat="1" applyFont="1"/>
    <xf numFmtId="44" fontId="2" fillId="0" borderId="0" xfId="0" applyNumberFormat="1" applyFont="1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center"/>
    </xf>
    <xf numFmtId="44" fontId="7" fillId="0" borderId="0" xfId="0" applyNumberFormat="1" applyFont="1"/>
    <xf numFmtId="0" fontId="6" fillId="5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1" xfId="0" applyFont="1" applyFill="1" applyBorder="1"/>
    <xf numFmtId="44" fontId="2" fillId="0" borderId="0" xfId="1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4" fontId="3" fillId="2" borderId="1" xfId="0" applyNumberFormat="1" applyFont="1" applyFill="1" applyBorder="1"/>
    <xf numFmtId="0" fontId="2" fillId="0" borderId="0" xfId="0" applyFont="1" applyAlignment="1">
      <alignment vertical="center" wrapText="1"/>
    </xf>
    <xf numFmtId="0" fontId="9" fillId="0" borderId="0" xfId="0" applyFont="1" applyAlignment="1">
      <alignment horizontal="center"/>
    </xf>
    <xf numFmtId="43" fontId="7" fillId="0" borderId="0" xfId="3" applyFont="1"/>
    <xf numFmtId="0" fontId="11" fillId="0" borderId="1" xfId="0" applyFont="1" applyBorder="1"/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44" fontId="7" fillId="0" borderId="1" xfId="0" applyNumberFormat="1" applyFont="1" applyBorder="1" applyAlignment="1">
      <alignment vertical="center"/>
    </xf>
    <xf numFmtId="4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44" fontId="7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44" fontId="11" fillId="0" borderId="1" xfId="1" applyFont="1" applyBorder="1" applyAlignment="1">
      <alignment horizontal="center" vertical="center"/>
    </xf>
    <xf numFmtId="44" fontId="11" fillId="0" borderId="1" xfId="1" applyFont="1" applyBorder="1" applyAlignment="1">
      <alignment vertical="center"/>
    </xf>
    <xf numFmtId="44" fontId="11" fillId="0" borderId="1" xfId="1" applyFont="1" applyBorder="1"/>
    <xf numFmtId="44" fontId="0" fillId="0" borderId="1" xfId="1" applyFont="1" applyBorder="1" applyAlignment="1">
      <alignment vertical="center"/>
    </xf>
    <xf numFmtId="0" fontId="0" fillId="0" borderId="1" xfId="0" applyBorder="1"/>
    <xf numFmtId="0" fontId="15" fillId="0" borderId="0" xfId="0" applyFont="1"/>
    <xf numFmtId="44" fontId="0" fillId="0" borderId="1" xfId="1" applyFont="1" applyBorder="1"/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4" fontId="0" fillId="0" borderId="1" xfId="1" applyFont="1" applyFill="1" applyBorder="1"/>
    <xf numFmtId="0" fontId="2" fillId="0" borderId="1" xfId="0" applyFont="1" applyFill="1" applyBorder="1" applyAlignment="1">
      <alignment horizontal="left" vertical="center" wrapText="1"/>
    </xf>
    <xf numFmtId="44" fontId="3" fillId="2" borderId="1" xfId="1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4" fontId="3" fillId="0" borderId="1" xfId="0" applyNumberFormat="1" applyFont="1" applyFill="1" applyBorder="1" applyAlignment="1">
      <alignment horizontal="center" vertical="center" wrapText="1"/>
    </xf>
    <xf numFmtId="44" fontId="2" fillId="0" borderId="1" xfId="0" applyNumberFormat="1" applyFont="1" applyFill="1" applyBorder="1" applyAlignment="1">
      <alignment horizontal="center" vertical="center" wrapText="1"/>
    </xf>
    <xf numFmtId="0" fontId="16" fillId="0" borderId="1" xfId="4" applyBorder="1"/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 wrapText="1"/>
    </xf>
    <xf numFmtId="44" fontId="11" fillId="0" borderId="0" xfId="1" applyFont="1" applyFill="1" applyBorder="1" applyAlignment="1">
      <alignment vertical="center" wrapText="1"/>
    </xf>
    <xf numFmtId="0" fontId="2" fillId="0" borderId="0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64" fontId="3" fillId="0" borderId="1" xfId="0" applyNumberFormat="1" applyFont="1" applyFill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0" fontId="2" fillId="0" borderId="0" xfId="0" applyFont="1" applyBorder="1"/>
    <xf numFmtId="0" fontId="17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1" xfId="0" applyFont="1" applyBorder="1"/>
    <xf numFmtId="0" fontId="2" fillId="0" borderId="3" xfId="0" applyFont="1" applyBorder="1"/>
    <xf numFmtId="3" fontId="2" fillId="0" borderId="1" xfId="0" applyNumberFormat="1" applyFont="1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/>
    <xf numFmtId="44" fontId="3" fillId="0" borderId="0" xfId="0" applyNumberFormat="1" applyFont="1" applyFill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3" fontId="3" fillId="2" borderId="3" xfId="0" applyNumberFormat="1" applyFont="1" applyFill="1" applyBorder="1" applyAlignment="1">
      <alignment horizontal="center"/>
    </xf>
    <xf numFmtId="44" fontId="3" fillId="0" borderId="0" xfId="1" applyFont="1" applyFill="1" applyBorder="1"/>
    <xf numFmtId="0" fontId="3" fillId="0" borderId="4" xfId="0" applyFont="1" applyBorder="1" applyAlignment="1"/>
    <xf numFmtId="3" fontId="11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4" fontId="3" fillId="0" borderId="1" xfId="0" applyNumberFormat="1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/>
    </xf>
    <xf numFmtId="0" fontId="17" fillId="0" borderId="1" xfId="0" applyFont="1" applyBorder="1" applyAlignment="1">
      <alignment horizontal="left" wrapText="1"/>
    </xf>
    <xf numFmtId="3" fontId="3" fillId="0" borderId="0" xfId="0" applyNumberFormat="1" applyFont="1" applyFill="1" applyBorder="1" applyAlignment="1">
      <alignment horizontal="center"/>
    </xf>
    <xf numFmtId="0" fontId="11" fillId="0" borderId="1" xfId="0" applyFont="1" applyFill="1" applyBorder="1"/>
    <xf numFmtId="10" fontId="11" fillId="0" borderId="1" xfId="0" applyNumberFormat="1" applyFont="1" applyFill="1" applyBorder="1" applyAlignment="1">
      <alignment horizontal="center"/>
    </xf>
    <xf numFmtId="0" fontId="18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0" xfId="0" applyNumberFormat="1" applyAlignment="1">
      <alignment horizontal="center"/>
    </xf>
    <xf numFmtId="44" fontId="2" fillId="0" borderId="0" xfId="1" applyFont="1" applyFill="1" applyBorder="1" applyAlignment="1">
      <alignment horizontal="center"/>
    </xf>
    <xf numFmtId="44" fontId="3" fillId="0" borderId="0" xfId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9" fillId="0" borderId="0" xfId="0" applyFont="1" applyFill="1" applyBorder="1" applyAlignment="1"/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7" fillId="0" borderId="0" xfId="0" applyFont="1" applyAlignment="1"/>
    <xf numFmtId="0" fontId="0" fillId="0" borderId="0" xfId="0" applyBorder="1"/>
    <xf numFmtId="0" fontId="20" fillId="0" borderId="0" xfId="0" applyFont="1" applyAlignment="1">
      <alignment horizontal="left" vertical="center" indent="5"/>
    </xf>
    <xf numFmtId="0" fontId="16" fillId="0" borderId="0" xfId="4" applyAlignment="1">
      <alignment horizontal="left" vertical="center"/>
    </xf>
    <xf numFmtId="0" fontId="2" fillId="0" borderId="0" xfId="0" applyFont="1" applyAlignment="1">
      <alignment horizontal="left" vertical="center"/>
    </xf>
    <xf numFmtId="9" fontId="3" fillId="0" borderId="1" xfId="1" applyNumberFormat="1" applyFont="1" applyBorder="1" applyAlignment="1">
      <alignment horizontal="center"/>
    </xf>
    <xf numFmtId="0" fontId="20" fillId="0" borderId="0" xfId="0" applyFont="1" applyAlignment="1">
      <alignment vertical="center" wrapText="1"/>
    </xf>
    <xf numFmtId="44" fontId="3" fillId="2" borderId="1" xfId="1" applyNumberFormat="1" applyFont="1" applyFill="1" applyBorder="1"/>
    <xf numFmtId="167" fontId="2" fillId="0" borderId="0" xfId="0" applyNumberFormat="1" applyFont="1"/>
    <xf numFmtId="0" fontId="2" fillId="0" borderId="0" xfId="0" applyFont="1" applyBorder="1" applyAlignment="1">
      <alignment horizontal="center"/>
    </xf>
    <xf numFmtId="43" fontId="2" fillId="0" borderId="0" xfId="0" applyNumberFormat="1" applyFont="1"/>
    <xf numFmtId="165" fontId="3" fillId="2" borderId="1" xfId="0" applyNumberFormat="1" applyFont="1" applyFill="1" applyBorder="1" applyAlignment="1">
      <alignment horizontal="center"/>
    </xf>
    <xf numFmtId="166" fontId="3" fillId="2" borderId="1" xfId="0" applyNumberFormat="1" applyFont="1" applyFill="1" applyBorder="1" applyAlignment="1">
      <alignment horizontal="center"/>
    </xf>
    <xf numFmtId="168" fontId="2" fillId="0" borderId="0" xfId="0" applyNumberFormat="1" applyFont="1" applyAlignment="1">
      <alignment horizontal="center"/>
    </xf>
    <xf numFmtId="44" fontId="2" fillId="0" borderId="1" xfId="1" applyNumberFormat="1" applyFont="1" applyFill="1" applyBorder="1" applyAlignment="1">
      <alignment horizontal="center"/>
    </xf>
    <xf numFmtId="44" fontId="3" fillId="2" borderId="1" xfId="1" applyNumberFormat="1" applyFont="1" applyFill="1" applyBorder="1" applyAlignment="1">
      <alignment horizontal="center"/>
    </xf>
    <xf numFmtId="166" fontId="3" fillId="2" borderId="1" xfId="1" applyNumberFormat="1" applyFont="1" applyFill="1" applyBorder="1" applyAlignment="1">
      <alignment horizontal="center"/>
    </xf>
    <xf numFmtId="168" fontId="2" fillId="0" borderId="0" xfId="0" applyNumberFormat="1" applyFont="1"/>
    <xf numFmtId="169" fontId="2" fillId="0" borderId="0" xfId="0" applyNumberFormat="1" applyFont="1"/>
    <xf numFmtId="170" fontId="2" fillId="0" borderId="0" xfId="0" applyNumberFormat="1" applyFont="1"/>
    <xf numFmtId="166" fontId="3" fillId="0" borderId="0" xfId="0" applyNumberFormat="1" applyFont="1" applyFill="1" applyBorder="1" applyAlignment="1">
      <alignment horizontal="center"/>
    </xf>
    <xf numFmtId="43" fontId="2" fillId="0" borderId="0" xfId="3" applyFont="1" applyFill="1"/>
    <xf numFmtId="166" fontId="7" fillId="0" borderId="0" xfId="0" applyNumberFormat="1" applyFont="1"/>
    <xf numFmtId="44" fontId="0" fillId="0" borderId="0" xfId="0" applyNumberFormat="1"/>
    <xf numFmtId="44" fontId="3" fillId="0" borderId="0" xfId="1" applyFont="1"/>
    <xf numFmtId="44" fontId="2" fillId="0" borderId="0" xfId="1" applyFont="1" applyAlignment="1">
      <alignment horizontal="center"/>
    </xf>
    <xf numFmtId="43" fontId="2" fillId="0" borderId="0" xfId="3" applyFont="1"/>
    <xf numFmtId="43" fontId="2" fillId="0" borderId="0" xfId="3" applyFont="1" applyAlignment="1">
      <alignment horizontal="center"/>
    </xf>
    <xf numFmtId="166" fontId="2" fillId="0" borderId="1" xfId="0" applyNumberFormat="1" applyFont="1" applyBorder="1"/>
    <xf numFmtId="171" fontId="2" fillId="0" borderId="0" xfId="0" applyNumberFormat="1" applyFont="1"/>
    <xf numFmtId="171" fontId="2" fillId="0" borderId="0" xfId="3" applyNumberFormat="1" applyFont="1" applyFill="1"/>
    <xf numFmtId="44" fontId="2" fillId="4" borderId="1" xfId="0" applyNumberFormat="1" applyFont="1" applyFill="1" applyBorder="1"/>
    <xf numFmtId="166" fontId="3" fillId="2" borderId="1" xfId="1" applyNumberFormat="1" applyFont="1" applyFill="1" applyBorder="1"/>
    <xf numFmtId="43" fontId="2" fillId="0" borderId="0" xfId="3" applyNumberFormat="1" applyFont="1"/>
    <xf numFmtId="174" fontId="2" fillId="0" borderId="0" xfId="0" applyNumberFormat="1" applyFont="1"/>
    <xf numFmtId="172" fontId="2" fillId="0" borderId="0" xfId="0" applyNumberFormat="1" applyFont="1"/>
    <xf numFmtId="175" fontId="2" fillId="0" borderId="0" xfId="0" applyNumberFormat="1" applyFont="1" applyFill="1" applyBorder="1"/>
    <xf numFmtId="44" fontId="0" fillId="0" borderId="7" xfId="1" applyFont="1" applyFill="1" applyBorder="1"/>
    <xf numFmtId="173" fontId="2" fillId="0" borderId="0" xfId="0" applyNumberFormat="1" applyFont="1"/>
    <xf numFmtId="44" fontId="2" fillId="2" borderId="1" xfId="0" applyNumberFormat="1" applyFont="1" applyFill="1" applyBorder="1"/>
    <xf numFmtId="44" fontId="3" fillId="4" borderId="1" xfId="0" applyNumberFormat="1" applyFont="1" applyFill="1" applyBorder="1"/>
    <xf numFmtId="44" fontId="2" fillId="0" borderId="1" xfId="3" applyNumberFormat="1" applyFont="1" applyBorder="1" applyAlignment="1">
      <alignment horizontal="center"/>
    </xf>
    <xf numFmtId="44" fontId="2" fillId="0" borderId="0" xfId="3" applyNumberFormat="1" applyFont="1" applyFill="1"/>
    <xf numFmtId="0" fontId="2" fillId="0" borderId="0" xfId="0" applyFont="1" applyFill="1" applyAlignment="1">
      <alignment horizontal="center"/>
    </xf>
    <xf numFmtId="172" fontId="9" fillId="0" borderId="0" xfId="0" applyNumberFormat="1" applyFont="1" applyFill="1" applyAlignment="1">
      <alignment horizontal="center"/>
    </xf>
    <xf numFmtId="168" fontId="3" fillId="0" borderId="0" xfId="0" applyNumberFormat="1" applyFont="1" applyFill="1" applyBorder="1" applyAlignment="1">
      <alignment horizontal="center" vertical="center" wrapText="1"/>
    </xf>
    <xf numFmtId="173" fontId="3" fillId="0" borderId="0" xfId="0" applyNumberFormat="1" applyFont="1" applyAlignment="1">
      <alignment horizontal="center"/>
    </xf>
    <xf numFmtId="44" fontId="2" fillId="0" borderId="1" xfId="0" applyNumberFormat="1" applyFont="1" applyFill="1" applyBorder="1" applyAlignment="1">
      <alignment horizontal="center"/>
    </xf>
    <xf numFmtId="44" fontId="2" fillId="2" borderId="3" xfId="0" applyNumberFormat="1" applyFont="1" applyFill="1" applyBorder="1" applyAlignment="1">
      <alignment horizontal="center"/>
    </xf>
    <xf numFmtId="44" fontId="2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7" fillId="0" borderId="0" xfId="0" applyFont="1" applyAlignment="1">
      <alignment horizontal="left" wrapText="1"/>
    </xf>
    <xf numFmtId="0" fontId="9" fillId="0" borderId="4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1" fillId="0" borderId="8" xfId="0" applyFont="1" applyBorder="1" applyAlignment="1">
      <alignment horizontal="left" wrapText="1"/>
    </xf>
    <xf numFmtId="0" fontId="11" fillId="0" borderId="7" xfId="0" applyFont="1" applyBorder="1" applyAlignment="1">
      <alignment horizontal="left" wrapText="1"/>
    </xf>
    <xf numFmtId="0" fontId="11" fillId="0" borderId="5" xfId="0" applyFont="1" applyBorder="1" applyAlignment="1">
      <alignment horizontal="left" wrapText="1"/>
    </xf>
    <xf numFmtId="44" fontId="11" fillId="0" borderId="8" xfId="1" applyFont="1" applyFill="1" applyBorder="1" applyAlignment="1">
      <alignment horizontal="center" vertical="center" wrapText="1"/>
    </xf>
    <xf numFmtId="44" fontId="11" fillId="0" borderId="7" xfId="1" applyFont="1" applyFill="1" applyBorder="1" applyAlignment="1">
      <alignment horizontal="center" vertical="center" wrapText="1"/>
    </xf>
    <xf numFmtId="44" fontId="11" fillId="0" borderId="5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166" fontId="11" fillId="0" borderId="8" xfId="1" applyNumberFormat="1" applyFont="1" applyFill="1" applyBorder="1" applyAlignment="1">
      <alignment horizontal="center" vertical="center" wrapText="1"/>
    </xf>
    <xf numFmtId="166" fontId="11" fillId="0" borderId="7" xfId="1" applyNumberFormat="1" applyFont="1" applyFill="1" applyBorder="1" applyAlignment="1">
      <alignment horizontal="center" vertical="center" wrapText="1"/>
    </xf>
    <xf numFmtId="166" fontId="11" fillId="0" borderId="5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3" fontId="2" fillId="0" borderId="8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10" fontId="2" fillId="0" borderId="0" xfId="0" applyNumberFormat="1" applyFont="1"/>
  </cellXfs>
  <cellStyles count="5">
    <cellStyle name="Hiperlink" xfId="4" builtinId="8"/>
    <cellStyle name="Moeda" xfId="1" builtinId="4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precos.petrobras.com.br/w/gasolina/rs" TargetMode="External"/><Relationship Id="rId2" Type="http://schemas.openxmlformats.org/officeDocument/2006/relationships/hyperlink" Target="https://www.stihl.com.br/pt/dicas/manutencao/dicas-para-rocadeiras/mistura-combustivel-rocadeira" TargetMode="External"/><Relationship Id="rId1" Type="http://schemas.openxmlformats.org/officeDocument/2006/relationships/hyperlink" Target="https://www.jaledistribuidora.com.br/sacos-para-lixo/pretos/sacos-para-lixo-100l-preto-elaj-reforcado-c100un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legislacao.planalto.gov.br/legisla/legislacao.nsf/Viw_Identificacao/lei%207.418-1985?OpenDocume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DF121-863E-418A-A583-BF04D8378613}">
  <dimension ref="A1:AG57"/>
  <sheetViews>
    <sheetView workbookViewId="0">
      <selection activeCell="E12" sqref="E12"/>
    </sheetView>
  </sheetViews>
  <sheetFormatPr defaultRowHeight="15"/>
  <cols>
    <col min="1" max="1" width="15.85546875" style="31" customWidth="1"/>
    <col min="2" max="2" width="55" style="30" customWidth="1"/>
    <col min="3" max="3" width="20" style="30" customWidth="1"/>
    <col min="4" max="4" width="16.140625" style="30" bestFit="1" customWidth="1"/>
    <col min="5" max="5" width="18" style="30" bestFit="1" customWidth="1"/>
    <col min="6" max="6" width="9.140625" style="30"/>
    <col min="7" max="7" width="16.140625" style="30" bestFit="1" customWidth="1"/>
    <col min="8" max="9" width="9.140625" style="30"/>
    <col min="14" max="14" width="14.28515625" customWidth="1"/>
    <col min="16" max="16" width="14.42578125" customWidth="1"/>
    <col min="17" max="17" width="1.140625" customWidth="1"/>
    <col min="21" max="21" width="15.140625" customWidth="1"/>
    <col min="22" max="22" width="15.85546875" customWidth="1"/>
  </cols>
  <sheetData>
    <row r="1" spans="1:33">
      <c r="A1" s="205" t="s">
        <v>84</v>
      </c>
      <c r="B1" s="205"/>
      <c r="C1" s="205"/>
    </row>
    <row r="2" spans="1:33">
      <c r="A2" s="34"/>
      <c r="B2" s="34"/>
      <c r="C2" s="34"/>
    </row>
    <row r="3" spans="1:33" ht="15" customHeight="1">
      <c r="A3" s="207" t="s">
        <v>120</v>
      </c>
      <c r="B3" s="207"/>
      <c r="C3" s="207"/>
      <c r="D3" s="48"/>
      <c r="E3" s="48"/>
    </row>
    <row r="4" spans="1:33">
      <c r="A4" s="207"/>
      <c r="B4" s="207"/>
      <c r="C4" s="207"/>
      <c r="D4" s="48"/>
      <c r="E4" s="48"/>
    </row>
    <row r="5" spans="1:33">
      <c r="A5" s="34"/>
      <c r="B5" s="34"/>
      <c r="C5" s="34"/>
    </row>
    <row r="7" spans="1:33">
      <c r="A7" s="29"/>
      <c r="AG7">
        <f>(AD7+AE7+AF7)*AC7</f>
        <v>0</v>
      </c>
    </row>
    <row r="8" spans="1:33" ht="15.75">
      <c r="A8" s="33" t="s">
        <v>122</v>
      </c>
      <c r="B8" s="33" t="s">
        <v>85</v>
      </c>
      <c r="C8" s="33" t="s">
        <v>114</v>
      </c>
      <c r="G8" s="71"/>
    </row>
    <row r="9" spans="1:33" s="78" customFormat="1" ht="71.25">
      <c r="A9" s="72">
        <v>1</v>
      </c>
      <c r="B9" s="73" t="s">
        <v>121</v>
      </c>
      <c r="C9" s="74">
        <f>'Detalhamento do cálculo'!AJ13</f>
        <v>0.87000002720799674</v>
      </c>
      <c r="D9" s="75"/>
      <c r="E9" s="76"/>
      <c r="F9" s="76"/>
      <c r="G9" s="77"/>
      <c r="H9" s="76"/>
      <c r="I9" s="76"/>
      <c r="AF9" s="78">
        <v>0</v>
      </c>
    </row>
    <row r="10" spans="1:33">
      <c r="A10" s="32" t="s">
        <v>123</v>
      </c>
      <c r="G10" s="57"/>
    </row>
    <row r="11" spans="1:33">
      <c r="D11" s="57"/>
    </row>
    <row r="12" spans="1:33">
      <c r="A12" s="206" t="s">
        <v>116</v>
      </c>
      <c r="B12" s="206"/>
      <c r="C12" s="206"/>
      <c r="E12" s="57"/>
    </row>
    <row r="13" spans="1:33">
      <c r="A13" s="33" t="s">
        <v>6</v>
      </c>
      <c r="B13" s="58"/>
      <c r="C13" s="58"/>
      <c r="E13" s="57"/>
      <c r="G13" s="57"/>
    </row>
    <row r="14" spans="1:33" s="78" customFormat="1" ht="71.25">
      <c r="A14" s="72">
        <v>157297.64000000001</v>
      </c>
      <c r="B14" s="79" t="str">
        <f>B9</f>
        <v>Prestação de Serviços de Corte de Grama e Roçadas Urbanas por m², Incluso a Limpeza de Bocas de Lobo, roçada com Acabamento de Meio Fio, Varrição Manual e, Soprada com Recolhimento de Resíduos, Raspagem e Capina Manual</v>
      </c>
      <c r="C14" s="80">
        <f>C9*A14</f>
        <v>136848.95107975369</v>
      </c>
      <c r="D14" s="75"/>
      <c r="E14" s="75"/>
      <c r="F14" s="76"/>
      <c r="G14" s="75"/>
      <c r="H14" s="76"/>
      <c r="I14" s="76"/>
    </row>
    <row r="15" spans="1:33">
      <c r="E15" s="67"/>
    </row>
    <row r="16" spans="1:33">
      <c r="G16" s="57"/>
    </row>
    <row r="17" spans="1:16">
      <c r="E17" s="177"/>
      <c r="G17" s="57"/>
    </row>
    <row r="18" spans="1:16">
      <c r="A18" s="32" t="s">
        <v>327</v>
      </c>
    </row>
    <row r="27" spans="1:16">
      <c r="P27" s="178"/>
    </row>
    <row r="44" spans="16:16">
      <c r="P44" s="178"/>
    </row>
    <row r="57" spans="16:16">
      <c r="P57" s="178"/>
    </row>
  </sheetData>
  <mergeCells count="3">
    <mergeCell ref="A1:C1"/>
    <mergeCell ref="A12:C12"/>
    <mergeCell ref="A3:C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EC5C8-AFB2-4BB9-8E58-35BA50BAC5C6}">
  <dimension ref="B1:AK82"/>
  <sheetViews>
    <sheetView tabSelected="1" view="pageBreakPreview" topLeftCell="V4" zoomScale="64" zoomScaleNormal="82" zoomScaleSheetLayoutView="64" workbookViewId="0">
      <selection activeCell="Z41" sqref="Z41"/>
    </sheetView>
  </sheetViews>
  <sheetFormatPr defaultRowHeight="12.75"/>
  <cols>
    <col min="1" max="1" width="5.42578125" style="1" customWidth="1"/>
    <col min="2" max="2" width="45" style="1" customWidth="1"/>
    <col min="3" max="3" width="23.140625" style="24" customWidth="1"/>
    <col min="4" max="4" width="8.5703125" style="1" customWidth="1"/>
    <col min="5" max="5" width="3.42578125" style="1" customWidth="1"/>
    <col min="6" max="6" width="4.28515625" style="1" customWidth="1"/>
    <col min="7" max="7" width="20.28515625" style="1" customWidth="1"/>
    <col min="8" max="8" width="17.7109375" style="1" customWidth="1"/>
    <col min="9" max="9" width="35.140625" style="1" customWidth="1"/>
    <col min="10" max="10" width="24.7109375" style="1" customWidth="1"/>
    <col min="11" max="11" width="5.7109375" style="1" customWidth="1"/>
    <col min="12" max="12" width="32.28515625" style="1" bestFit="1" customWidth="1"/>
    <col min="13" max="13" width="13" style="1" bestFit="1" customWidth="1"/>
    <col min="14" max="14" width="14.28515625" style="1" customWidth="1"/>
    <col min="15" max="15" width="16.140625" style="1" bestFit="1" customWidth="1"/>
    <col min="16" max="16" width="14.42578125" style="1" customWidth="1"/>
    <col min="17" max="17" width="1.140625" style="41" customWidth="1"/>
    <col min="18" max="18" width="36.5703125" style="1" customWidth="1"/>
    <col min="19" max="19" width="16" style="1" customWidth="1"/>
    <col min="20" max="20" width="13.42578125" style="1" customWidth="1"/>
    <col min="21" max="21" width="15.5703125" style="1" customWidth="1"/>
    <col min="22" max="22" width="15.28515625" style="1" customWidth="1"/>
    <col min="23" max="23" width="9.140625" style="1"/>
    <col min="24" max="24" width="9.5703125" style="1" customWidth="1"/>
    <col min="25" max="25" width="29.5703125" style="1" customWidth="1"/>
    <col min="26" max="26" width="23" style="1" customWidth="1"/>
    <col min="27" max="27" width="15.5703125" style="45" customWidth="1"/>
    <col min="28" max="28" width="34.5703125" style="1" customWidth="1"/>
    <col min="29" max="29" width="6.7109375" style="1" customWidth="1"/>
    <col min="30" max="30" width="14.42578125" style="1" bestFit="1" customWidth="1"/>
    <col min="31" max="31" width="12.140625" style="1" bestFit="1" customWidth="1"/>
    <col min="32" max="32" width="13.7109375" style="1" bestFit="1" customWidth="1"/>
    <col min="33" max="33" width="23" style="1" customWidth="1"/>
    <col min="34" max="34" width="16.85546875" style="1" bestFit="1" customWidth="1"/>
    <col min="35" max="35" width="27.42578125" style="1" bestFit="1" customWidth="1"/>
    <col min="36" max="36" width="22.5703125" style="1" bestFit="1" customWidth="1"/>
    <col min="37" max="37" width="24.7109375" style="1" bestFit="1" customWidth="1"/>
    <col min="38" max="16384" width="9.140625" style="1"/>
  </cols>
  <sheetData>
    <row r="1" spans="2:37">
      <c r="R1" s="226" t="s">
        <v>202</v>
      </c>
      <c r="S1" s="226"/>
      <c r="T1" s="226"/>
      <c r="U1" s="226"/>
      <c r="V1" s="16"/>
      <c r="X1" s="226" t="s">
        <v>61</v>
      </c>
      <c r="Y1" s="226"/>
      <c r="Z1" s="226"/>
      <c r="AA1" s="46"/>
    </row>
    <row r="2" spans="2:37">
      <c r="B2" s="229" t="s">
        <v>103</v>
      </c>
      <c r="C2" s="229"/>
      <c r="L2" s="226" t="s">
        <v>113</v>
      </c>
      <c r="M2" s="226"/>
      <c r="N2" s="226"/>
      <c r="O2" s="226"/>
      <c r="P2" s="226"/>
      <c r="Q2" s="43"/>
      <c r="R2" s="1" t="s">
        <v>183</v>
      </c>
      <c r="X2" s="230" t="s">
        <v>89</v>
      </c>
      <c r="Y2" s="230"/>
      <c r="Z2" s="230"/>
    </row>
    <row r="3" spans="2:37">
      <c r="G3" s="226" t="s">
        <v>204</v>
      </c>
      <c r="H3" s="226"/>
      <c r="I3" s="226"/>
      <c r="J3" s="226"/>
      <c r="K3" s="226"/>
      <c r="AB3" s="231" t="s">
        <v>108</v>
      </c>
      <c r="AC3" s="231"/>
      <c r="AD3" s="231"/>
      <c r="AE3" s="231"/>
      <c r="AF3" s="231"/>
      <c r="AG3" s="231"/>
      <c r="AH3" s="231"/>
      <c r="AI3" s="231"/>
      <c r="AJ3" s="231"/>
    </row>
    <row r="4" spans="2:37" ht="15" customHeight="1">
      <c r="B4" s="226" t="s">
        <v>19</v>
      </c>
      <c r="C4" s="226"/>
      <c r="L4" s="240" t="s">
        <v>88</v>
      </c>
      <c r="M4" s="240"/>
      <c r="N4" s="240"/>
      <c r="O4" s="240"/>
      <c r="P4" s="240"/>
      <c r="Q4" s="65"/>
      <c r="R4" s="212" t="s">
        <v>62</v>
      </c>
      <c r="S4" s="212"/>
      <c r="T4" s="212"/>
      <c r="U4" s="212"/>
      <c r="V4" s="212"/>
      <c r="X4" s="212" t="s">
        <v>62</v>
      </c>
      <c r="Y4" s="212"/>
      <c r="Z4" s="212"/>
      <c r="AB4" s="242" t="s">
        <v>85</v>
      </c>
      <c r="AC4" s="243" t="s">
        <v>6</v>
      </c>
      <c r="AD4" s="231" t="s">
        <v>109</v>
      </c>
      <c r="AE4" s="231"/>
      <c r="AF4" s="231"/>
      <c r="AG4" s="231"/>
      <c r="AH4" s="231"/>
      <c r="AI4" s="231"/>
      <c r="AJ4" s="231"/>
    </row>
    <row r="5" spans="2:37" ht="29.25" customHeight="1">
      <c r="B5" s="239" t="s">
        <v>260</v>
      </c>
      <c r="C5" s="239"/>
      <c r="G5" s="232" t="s">
        <v>205</v>
      </c>
      <c r="H5" s="232"/>
      <c r="I5" s="232"/>
      <c r="J5" s="232"/>
      <c r="K5" s="65"/>
      <c r="L5" s="240"/>
      <c r="M5" s="240"/>
      <c r="N5" s="240"/>
      <c r="O5" s="240"/>
      <c r="P5" s="240"/>
      <c r="Q5" s="65"/>
      <c r="R5" s="62" t="s">
        <v>66</v>
      </c>
      <c r="S5" s="62" t="s">
        <v>67</v>
      </c>
      <c r="T5" s="62" t="s">
        <v>6</v>
      </c>
      <c r="U5" s="62" t="s">
        <v>21</v>
      </c>
      <c r="V5" s="62" t="s">
        <v>238</v>
      </c>
      <c r="W5" s="54"/>
      <c r="X5" s="55" t="s">
        <v>43</v>
      </c>
      <c r="Y5" s="55" t="s">
        <v>23</v>
      </c>
      <c r="Z5" s="55" t="s">
        <v>24</v>
      </c>
      <c r="AB5" s="242"/>
      <c r="AC5" s="243"/>
      <c r="AD5" s="62" t="s">
        <v>110</v>
      </c>
      <c r="AE5" s="62" t="s">
        <v>111</v>
      </c>
      <c r="AF5" s="62" t="s">
        <v>203</v>
      </c>
      <c r="AG5" s="62" t="s">
        <v>117</v>
      </c>
      <c r="AH5" s="62" t="s">
        <v>118</v>
      </c>
      <c r="AI5" s="62" t="s">
        <v>117</v>
      </c>
      <c r="AJ5" s="62" t="s">
        <v>119</v>
      </c>
    </row>
    <row r="6" spans="2:37" ht="12.75" customHeight="1">
      <c r="B6" s="239"/>
      <c r="C6" s="239"/>
      <c r="G6" s="232"/>
      <c r="H6" s="232"/>
      <c r="I6" s="232"/>
      <c r="J6" s="232"/>
      <c r="K6" s="65"/>
      <c r="O6" s="24"/>
      <c r="P6" s="24"/>
      <c r="Q6" s="66"/>
      <c r="R6" s="213" t="s">
        <v>69</v>
      </c>
      <c r="S6" s="233" t="s">
        <v>68</v>
      </c>
      <c r="T6" s="236">
        <f>30*21</f>
        <v>630</v>
      </c>
      <c r="U6" s="220">
        <v>1.2</v>
      </c>
      <c r="V6" s="216">
        <f>U6*T6</f>
        <v>756</v>
      </c>
      <c r="X6" s="14" t="s">
        <v>34</v>
      </c>
      <c r="Y6" s="20" t="s">
        <v>25</v>
      </c>
      <c r="Z6" s="18">
        <v>0.2</v>
      </c>
      <c r="AB6" s="133" t="str">
        <f>Resumo!A1</f>
        <v>Prefeitura Municipal de Nova Prata</v>
      </c>
      <c r="AC6" s="133"/>
      <c r="AD6" s="63"/>
      <c r="AE6" s="63"/>
      <c r="AF6" s="63"/>
    </row>
    <row r="7" spans="2:37" ht="15" customHeight="1">
      <c r="B7" s="24"/>
      <c r="G7" s="112" t="s">
        <v>210</v>
      </c>
      <c r="H7" s="121"/>
      <c r="I7" s="121"/>
      <c r="J7" s="122"/>
      <c r="L7" s="219" t="s">
        <v>124</v>
      </c>
      <c r="M7" s="219"/>
      <c r="N7" s="219"/>
      <c r="O7" s="219"/>
      <c r="R7" s="214"/>
      <c r="S7" s="234"/>
      <c r="T7" s="237"/>
      <c r="U7" s="221"/>
      <c r="V7" s="217"/>
      <c r="X7" s="14" t="s">
        <v>35</v>
      </c>
      <c r="Y7" s="20" t="s">
        <v>32</v>
      </c>
      <c r="Z7" s="18">
        <v>0.03</v>
      </c>
      <c r="AB7" s="2" t="s">
        <v>126</v>
      </c>
      <c r="AC7" s="130">
        <v>9</v>
      </c>
      <c r="AD7" s="5">
        <v>5439.99</v>
      </c>
      <c r="AE7" s="202">
        <v>274.44</v>
      </c>
      <c r="AF7" s="5">
        <v>1756.14</v>
      </c>
      <c r="AG7" s="49">
        <f>(AD7+AE7+AF7)*AC7</f>
        <v>67235.13</v>
      </c>
      <c r="AH7" s="49">
        <f>Z56</f>
        <v>3213.8439292118228</v>
      </c>
      <c r="AI7" s="183">
        <f>AH7*AC7</f>
        <v>28924.595362906406</v>
      </c>
      <c r="AJ7" s="194">
        <f>AI7+AG7</f>
        <v>96159.725362906407</v>
      </c>
      <c r="AK7" s="53"/>
    </row>
    <row r="8" spans="2:37">
      <c r="B8" s="208" t="s">
        <v>124</v>
      </c>
      <c r="C8" s="208"/>
      <c r="G8" s="212" t="s">
        <v>206</v>
      </c>
      <c r="H8" s="212"/>
      <c r="I8" s="212"/>
      <c r="J8" s="212"/>
      <c r="K8" s="106"/>
      <c r="L8" s="212" t="s">
        <v>5</v>
      </c>
      <c r="M8" s="212"/>
      <c r="N8" s="212"/>
      <c r="O8" s="212"/>
      <c r="P8" s="212"/>
      <c r="Q8" s="44"/>
      <c r="R8" s="215"/>
      <c r="S8" s="235"/>
      <c r="T8" s="238"/>
      <c r="U8" s="222"/>
      <c r="V8" s="218"/>
      <c r="W8" s="1" t="s">
        <v>33</v>
      </c>
      <c r="X8" s="14" t="s">
        <v>36</v>
      </c>
      <c r="Y8" s="20" t="s">
        <v>26</v>
      </c>
      <c r="Z8" s="19">
        <v>1.4999999999999999E-2</v>
      </c>
      <c r="AB8" s="2" t="s">
        <v>244</v>
      </c>
      <c r="AC8" s="130">
        <v>3</v>
      </c>
      <c r="AD8" s="5">
        <v>5439.99</v>
      </c>
      <c r="AE8" s="5">
        <v>229.92</v>
      </c>
      <c r="AF8" s="5">
        <f>AF7</f>
        <v>1756.14</v>
      </c>
      <c r="AG8" s="49">
        <f t="shared" ref="AG8:AG9" si="0">(AD8+AE8+AF8)*AC8</f>
        <v>22278.15</v>
      </c>
      <c r="AH8" s="49">
        <f>AH7</f>
        <v>3213.8439292118228</v>
      </c>
      <c r="AI8" s="183">
        <f>AH8*AC8</f>
        <v>9641.5317876354675</v>
      </c>
      <c r="AJ8" s="194">
        <f>AI8+AG8</f>
        <v>31919.681787635469</v>
      </c>
      <c r="AK8" s="53"/>
    </row>
    <row r="9" spans="2:37">
      <c r="B9" s="241" t="s">
        <v>5</v>
      </c>
      <c r="C9" s="241"/>
      <c r="G9" s="98" t="s">
        <v>207</v>
      </c>
      <c r="H9" s="98" t="s">
        <v>243</v>
      </c>
      <c r="I9" s="98" t="s">
        <v>208</v>
      </c>
      <c r="J9" s="98" t="s">
        <v>235</v>
      </c>
      <c r="K9" s="107"/>
      <c r="L9" s="6" t="s">
        <v>0</v>
      </c>
      <c r="M9" s="6" t="s">
        <v>137</v>
      </c>
      <c r="N9" s="6" t="s">
        <v>100</v>
      </c>
      <c r="O9" s="6" t="s">
        <v>98</v>
      </c>
      <c r="P9" s="6" t="s">
        <v>99</v>
      </c>
      <c r="Q9" s="44"/>
      <c r="R9" s="1" t="s">
        <v>182</v>
      </c>
      <c r="X9" s="14" t="s">
        <v>38</v>
      </c>
      <c r="Y9" s="20" t="s">
        <v>27</v>
      </c>
      <c r="Z9" s="19">
        <v>0.01</v>
      </c>
      <c r="AB9" s="2" t="s">
        <v>70</v>
      </c>
      <c r="AC9" s="14">
        <v>1</v>
      </c>
      <c r="AD9" s="5">
        <v>5322.79</v>
      </c>
      <c r="AE9" s="5">
        <v>174.76</v>
      </c>
      <c r="AF9" s="5">
        <v>58.15</v>
      </c>
      <c r="AG9" s="49">
        <f t="shared" si="0"/>
        <v>5555.7</v>
      </c>
      <c r="AH9" s="49">
        <f>AH8</f>
        <v>3213.8439292118228</v>
      </c>
      <c r="AI9" s="183">
        <f>AH9*AC9</f>
        <v>3213.8439292118228</v>
      </c>
      <c r="AJ9" s="194">
        <f>AI9+AG9</f>
        <v>8769.5439292118226</v>
      </c>
      <c r="AK9" s="53"/>
    </row>
    <row r="10" spans="2:37">
      <c r="B10" s="6" t="s">
        <v>0</v>
      </c>
      <c r="C10" s="6" t="s">
        <v>6</v>
      </c>
      <c r="G10" s="104">
        <v>1</v>
      </c>
      <c r="H10" s="99">
        <v>220</v>
      </c>
      <c r="I10" s="105">
        <f>8.8*21</f>
        <v>184.8</v>
      </c>
      <c r="J10" s="105">
        <f>((I10/21)*85%)+0.32</f>
        <v>7.8000000000000007</v>
      </c>
      <c r="K10" s="108"/>
      <c r="L10" s="82" t="s">
        <v>153</v>
      </c>
      <c r="M10" s="14">
        <v>2</v>
      </c>
      <c r="N10" s="25">
        <f>'Documentos Base'!B5</f>
        <v>155</v>
      </c>
      <c r="O10" s="17">
        <f>N10*M10</f>
        <v>310</v>
      </c>
      <c r="P10" s="169">
        <f t="shared" ref="P10:P16" si="1">O10/12</f>
        <v>25.833333333333332</v>
      </c>
      <c r="X10" s="14" t="s">
        <v>39</v>
      </c>
      <c r="Y10" s="20" t="s">
        <v>28</v>
      </c>
      <c r="Z10" s="19">
        <v>2E-3</v>
      </c>
      <c r="AB10" s="50" t="s">
        <v>102</v>
      </c>
      <c r="AC10" s="131">
        <f t="shared" ref="AC10" si="2">SUM(AC7:AC9)</f>
        <v>13</v>
      </c>
      <c r="AD10" s="203">
        <f t="shared" ref="AD10:AJ10" si="3">SUM(AD7:AD9)</f>
        <v>16202.77</v>
      </c>
      <c r="AE10" s="203">
        <f t="shared" si="3"/>
        <v>679.12</v>
      </c>
      <c r="AF10" s="204">
        <f t="shared" si="3"/>
        <v>3570.4300000000003</v>
      </c>
      <c r="AG10" s="64">
        <f>SUM(AG7:AG9)</f>
        <v>95068.98</v>
      </c>
      <c r="AH10" s="64">
        <f t="shared" si="3"/>
        <v>9641.5317876354675</v>
      </c>
      <c r="AI10" s="64">
        <f t="shared" si="3"/>
        <v>41779.97107975369</v>
      </c>
      <c r="AJ10" s="195">
        <f>SUM(AJ7:AJ9)</f>
        <v>136848.95107975369</v>
      </c>
      <c r="AK10" s="53"/>
    </row>
    <row r="11" spans="2:37">
      <c r="B11" s="8" t="s">
        <v>126</v>
      </c>
      <c r="C11" s="125">
        <v>9</v>
      </c>
      <c r="G11" s="212" t="s">
        <v>234</v>
      </c>
      <c r="H11" s="212"/>
      <c r="I11" s="212"/>
      <c r="J11" s="106"/>
      <c r="K11" s="108"/>
      <c r="L11" s="83" t="s">
        <v>20</v>
      </c>
      <c r="M11" s="14">
        <v>4</v>
      </c>
      <c r="N11" s="25">
        <f>'Documentos Base'!B6</f>
        <v>120.65</v>
      </c>
      <c r="O11" s="17">
        <f t="shared" ref="O11:O21" si="4">N11*M11</f>
        <v>482.6</v>
      </c>
      <c r="P11" s="169">
        <f t="shared" si="1"/>
        <v>40.216666666666669</v>
      </c>
      <c r="Q11" s="39"/>
      <c r="R11" s="212" t="s">
        <v>104</v>
      </c>
      <c r="S11" s="212"/>
      <c r="X11" s="14" t="s">
        <v>40</v>
      </c>
      <c r="Y11" s="20" t="s">
        <v>29</v>
      </c>
      <c r="Z11" s="19">
        <v>6.0000000000000001E-3</v>
      </c>
      <c r="AD11" s="193"/>
      <c r="AE11" s="193"/>
      <c r="AF11" s="201"/>
      <c r="AG11" s="201"/>
      <c r="AI11" s="14"/>
      <c r="AJ11" s="196">
        <f>157297.64</f>
        <v>157297.64000000001</v>
      </c>
    </row>
    <row r="12" spans="2:37">
      <c r="B12" s="8" t="s">
        <v>1</v>
      </c>
      <c r="C12" s="9">
        <v>1.8333333333333333</v>
      </c>
      <c r="G12" s="104" t="s">
        <v>211</v>
      </c>
      <c r="H12" s="99" t="s">
        <v>207</v>
      </c>
      <c r="I12" s="120" t="s">
        <v>212</v>
      </c>
      <c r="J12" s="111"/>
      <c r="L12" s="83" t="s">
        <v>138</v>
      </c>
      <c r="M12" s="14">
        <v>4</v>
      </c>
      <c r="N12" s="25">
        <f>'Documentos Base'!B7</f>
        <v>35</v>
      </c>
      <c r="O12" s="17">
        <f t="shared" si="4"/>
        <v>140</v>
      </c>
      <c r="P12" s="169">
        <f t="shared" si="1"/>
        <v>11.666666666666666</v>
      </c>
      <c r="Q12" s="40"/>
      <c r="R12" s="59" t="s">
        <v>87</v>
      </c>
      <c r="S12" s="5">
        <f>V6</f>
        <v>756</v>
      </c>
      <c r="T12" s="37"/>
      <c r="U12" s="51"/>
      <c r="X12" s="14" t="s">
        <v>41</v>
      </c>
      <c r="Y12" s="20" t="s">
        <v>30</v>
      </c>
      <c r="Z12" s="19">
        <v>2.5000000000000001E-2</v>
      </c>
      <c r="AF12" s="172"/>
      <c r="AG12" s="45"/>
      <c r="AI12" s="164"/>
      <c r="AJ12" s="53"/>
      <c r="AK12" s="53"/>
    </row>
    <row r="13" spans="2:37">
      <c r="B13" s="8" t="s">
        <v>7</v>
      </c>
      <c r="C13" s="9">
        <v>9.1666666666666661</v>
      </c>
      <c r="G13" s="103" t="s">
        <v>209</v>
      </c>
      <c r="H13" s="99">
        <v>1</v>
      </c>
      <c r="I13" s="113">
        <f>((600*60)/45/1000)</f>
        <v>0.8</v>
      </c>
      <c r="J13" s="111"/>
      <c r="L13" s="83" t="s">
        <v>139</v>
      </c>
      <c r="M13" s="14">
        <v>2</v>
      </c>
      <c r="N13" s="25">
        <f>'Documentos Base'!B8</f>
        <v>48.3</v>
      </c>
      <c r="O13" s="17">
        <f t="shared" si="4"/>
        <v>96.6</v>
      </c>
      <c r="P13" s="169">
        <f t="shared" si="1"/>
        <v>8.0499999999999989</v>
      </c>
      <c r="Q13" s="40"/>
      <c r="R13" s="2" t="s">
        <v>232</v>
      </c>
      <c r="S13" s="138">
        <v>13</v>
      </c>
      <c r="T13" s="53"/>
      <c r="U13" s="52"/>
      <c r="X13" s="14" t="s">
        <v>42</v>
      </c>
      <c r="Y13" s="20" t="s">
        <v>31</v>
      </c>
      <c r="Z13" s="18">
        <v>0.08</v>
      </c>
      <c r="AF13" s="172"/>
      <c r="AG13" s="45"/>
      <c r="AI13" s="53"/>
      <c r="AJ13" s="187">
        <f>(AJ10/AJ11)</f>
        <v>0.87000002720799674</v>
      </c>
      <c r="AK13" s="176"/>
    </row>
    <row r="14" spans="2:37" ht="13.5" thickBot="1">
      <c r="B14" s="2" t="s">
        <v>2</v>
      </c>
      <c r="C14" s="3">
        <v>1966.73</v>
      </c>
      <c r="G14" s="114" t="s">
        <v>129</v>
      </c>
      <c r="H14" s="115">
        <v>1</v>
      </c>
      <c r="I14" s="116">
        <f>((1500*60)/120/1000)</f>
        <v>0.75</v>
      </c>
      <c r="J14" s="111"/>
      <c r="L14" s="83" t="s">
        <v>145</v>
      </c>
      <c r="M14" s="14">
        <v>2</v>
      </c>
      <c r="N14" s="25">
        <f>'Documentos Base'!B9</f>
        <v>151.9</v>
      </c>
      <c r="O14" s="17">
        <f t="shared" si="4"/>
        <v>303.8</v>
      </c>
      <c r="P14" s="169">
        <f t="shared" si="1"/>
        <v>25.316666666666666</v>
      </c>
      <c r="Q14" s="40"/>
      <c r="R14" s="60" t="s">
        <v>106</v>
      </c>
      <c r="S14" s="166">
        <f>S12/S13</f>
        <v>58.153846153846153</v>
      </c>
      <c r="T14" s="53"/>
      <c r="U14" s="52"/>
      <c r="X14" s="225" t="s">
        <v>50</v>
      </c>
      <c r="Y14" s="225"/>
      <c r="Z14" s="22">
        <f>SUM(Z6:Z13)</f>
        <v>0.36800000000000005</v>
      </c>
      <c r="AA14" s="47"/>
      <c r="AF14" s="172"/>
      <c r="AG14" s="53"/>
      <c r="AI14" s="184"/>
      <c r="AJ14" s="197"/>
      <c r="AK14" s="165"/>
    </row>
    <row r="15" spans="2:37">
      <c r="B15" s="8" t="s">
        <v>136</v>
      </c>
      <c r="C15" s="10">
        <f>C14/220*220</f>
        <v>1966.7299999999998</v>
      </c>
      <c r="G15" s="212" t="s">
        <v>233</v>
      </c>
      <c r="H15" s="212"/>
      <c r="I15" s="212"/>
      <c r="J15" s="212"/>
      <c r="L15" s="83" t="s">
        <v>160</v>
      </c>
      <c r="M15" s="14">
        <v>2</v>
      </c>
      <c r="N15" s="25">
        <f>'Documentos Base'!B10</f>
        <v>10.416666666666666</v>
      </c>
      <c r="O15" s="17">
        <f t="shared" si="4"/>
        <v>20.833333333333332</v>
      </c>
      <c r="P15" s="169">
        <f t="shared" si="1"/>
        <v>1.7361111111111109</v>
      </c>
      <c r="Q15" s="40"/>
      <c r="R15" s="128"/>
      <c r="S15" s="175"/>
      <c r="T15" s="53"/>
      <c r="U15" s="52"/>
      <c r="X15" s="21" t="s">
        <v>44</v>
      </c>
      <c r="Y15" s="2" t="s">
        <v>54</v>
      </c>
      <c r="Z15" s="23">
        <v>8.3299999999999999E-2</v>
      </c>
      <c r="AF15" s="172"/>
      <c r="AG15" s="45"/>
      <c r="AJ15" s="53"/>
    </row>
    <row r="16" spans="2:37">
      <c r="B16" s="2" t="s">
        <v>3</v>
      </c>
      <c r="C16" s="4">
        <v>0.4</v>
      </c>
      <c r="G16" s="118" t="s">
        <v>214</v>
      </c>
      <c r="H16" s="119" t="s">
        <v>216</v>
      </c>
      <c r="I16" s="110" t="s">
        <v>236</v>
      </c>
      <c r="J16" s="110" t="s">
        <v>237</v>
      </c>
      <c r="L16" s="68" t="s">
        <v>141</v>
      </c>
      <c r="M16" s="14">
        <v>2</v>
      </c>
      <c r="N16" s="25">
        <f>'Documentos Base'!B11</f>
        <v>37.9</v>
      </c>
      <c r="O16" s="17">
        <f t="shared" si="4"/>
        <v>75.8</v>
      </c>
      <c r="P16" s="169">
        <f t="shared" si="1"/>
        <v>6.3166666666666664</v>
      </c>
      <c r="Q16" s="40"/>
      <c r="S16" s="24"/>
      <c r="T16" s="53"/>
      <c r="U16" s="52"/>
      <c r="X16" s="14" t="s">
        <v>45</v>
      </c>
      <c r="Y16" s="2" t="s">
        <v>48</v>
      </c>
      <c r="Z16" s="18">
        <v>2.7799999999999998E-2</v>
      </c>
      <c r="AG16" s="45"/>
      <c r="AI16" s="53"/>
      <c r="AJ16" s="53"/>
    </row>
    <row r="17" spans="2:36" ht="15" customHeight="1">
      <c r="B17" s="8" t="s">
        <v>4</v>
      </c>
      <c r="C17" s="11">
        <f>C14*C16</f>
        <v>786.69200000000001</v>
      </c>
      <c r="G17" s="103" t="s">
        <v>215</v>
      </c>
      <c r="H17" s="99">
        <v>1</v>
      </c>
      <c r="I17" s="123">
        <f>(650/2/3)*J10</f>
        <v>845</v>
      </c>
      <c r="J17" s="123">
        <f>I17*21</f>
        <v>17745</v>
      </c>
      <c r="L17" s="83" t="s">
        <v>142</v>
      </c>
      <c r="M17" s="14">
        <v>12</v>
      </c>
      <c r="N17" s="25">
        <f>'Documentos Base'!B12</f>
        <v>25.9</v>
      </c>
      <c r="O17" s="17">
        <f t="shared" si="4"/>
        <v>310.79999999999995</v>
      </c>
      <c r="P17" s="169">
        <f t="shared" ref="P17:P23" si="5">O17/12</f>
        <v>25.899999999999995</v>
      </c>
      <c r="Q17" s="40"/>
      <c r="R17" s="212" t="s">
        <v>185</v>
      </c>
      <c r="S17" s="212"/>
      <c r="T17" s="212"/>
      <c r="U17" s="212"/>
      <c r="V17" s="212"/>
      <c r="X17" s="21" t="s">
        <v>46</v>
      </c>
      <c r="Y17" s="2" t="s">
        <v>49</v>
      </c>
      <c r="Z17" s="18">
        <v>8.3299999999999999E-2</v>
      </c>
      <c r="AB17" s="172"/>
      <c r="AF17" s="45"/>
      <c r="AG17" s="45"/>
      <c r="AH17" s="188"/>
      <c r="AJ17" s="185"/>
    </row>
    <row r="18" spans="2:36" ht="15">
      <c r="B18" s="2" t="s">
        <v>8</v>
      </c>
      <c r="C18" s="5">
        <v>27.15</v>
      </c>
      <c r="G18" s="244" t="s">
        <v>217</v>
      </c>
      <c r="H18" s="246">
        <v>1</v>
      </c>
      <c r="I18" s="248">
        <f>300*J10</f>
        <v>2340</v>
      </c>
      <c r="J18" s="248">
        <f>I18*21</f>
        <v>49140</v>
      </c>
      <c r="L18" s="84" t="s">
        <v>146</v>
      </c>
      <c r="M18" s="14">
        <v>2</v>
      </c>
      <c r="N18" s="25">
        <f>'Documentos Base'!B13</f>
        <v>6.55</v>
      </c>
      <c r="O18" s="17">
        <f t="shared" si="4"/>
        <v>13.1</v>
      </c>
      <c r="P18" s="169">
        <f t="shared" si="5"/>
        <v>1.0916666666666666</v>
      </c>
      <c r="Q18" s="40"/>
      <c r="R18" s="70" t="s">
        <v>66</v>
      </c>
      <c r="S18" s="136" t="s">
        <v>240</v>
      </c>
      <c r="T18" s="94" t="s">
        <v>100</v>
      </c>
      <c r="U18" s="94" t="s">
        <v>98</v>
      </c>
      <c r="V18" s="94" t="s">
        <v>99</v>
      </c>
      <c r="X18" s="14" t="s">
        <v>47</v>
      </c>
      <c r="Y18" s="2" t="s">
        <v>91</v>
      </c>
      <c r="Z18" s="26">
        <f>(Z17)*Z14</f>
        <v>3.0654400000000005E-2</v>
      </c>
      <c r="AF18" s="45"/>
      <c r="AG18" s="45"/>
      <c r="AI18" s="182"/>
      <c r="AJ18" s="1">
        <f>AJ10/AJ11</f>
        <v>0.87000002720799674</v>
      </c>
    </row>
    <row r="19" spans="2:36" ht="13.5" thickBot="1">
      <c r="B19" s="2" t="s">
        <v>9</v>
      </c>
      <c r="C19" s="5">
        <f>C18*21</f>
        <v>570.15</v>
      </c>
      <c r="G19" s="245"/>
      <c r="H19" s="247"/>
      <c r="I19" s="249"/>
      <c r="J19" s="249"/>
      <c r="L19" s="83" t="s">
        <v>143</v>
      </c>
      <c r="M19" s="14">
        <v>12</v>
      </c>
      <c r="N19" s="25">
        <f>'Documentos Base'!B14</f>
        <v>4.2699999999999996</v>
      </c>
      <c r="O19" s="17">
        <f t="shared" si="4"/>
        <v>51.239999999999995</v>
      </c>
      <c r="P19" s="169">
        <f t="shared" si="5"/>
        <v>4.2699999999999996</v>
      </c>
      <c r="Q19" s="39"/>
      <c r="R19" s="96" t="s">
        <v>187</v>
      </c>
      <c r="S19" s="126">
        <v>9</v>
      </c>
      <c r="T19" s="101">
        <v>3100</v>
      </c>
      <c r="U19" s="100">
        <f>T19*S19</f>
        <v>27900</v>
      </c>
      <c r="V19" s="100">
        <f t="shared" ref="V19:V30" si="6">U19/12</f>
        <v>2325</v>
      </c>
      <c r="X19" s="225" t="s">
        <v>65</v>
      </c>
      <c r="Y19" s="225"/>
      <c r="Z19" s="22">
        <f>SUM(Z15:Z18)</f>
        <v>0.22505440000000002</v>
      </c>
      <c r="AA19" s="47"/>
      <c r="AF19" s="45"/>
      <c r="AG19" s="45"/>
      <c r="AH19" s="181"/>
      <c r="AI19" s="189"/>
      <c r="AJ19" s="1">
        <f>AJ13*AJ11</f>
        <v>136848.95107975369</v>
      </c>
    </row>
    <row r="20" spans="2:36">
      <c r="B20" s="2" t="s">
        <v>13</v>
      </c>
      <c r="C20" s="5">
        <f>-C19*19%</f>
        <v>-108.32849999999999</v>
      </c>
      <c r="G20" s="109"/>
      <c r="H20" s="109"/>
      <c r="I20" s="109"/>
      <c r="J20" s="117"/>
      <c r="L20" s="83" t="s">
        <v>144</v>
      </c>
      <c r="M20" s="14">
        <v>12</v>
      </c>
      <c r="N20" s="25">
        <f>'Documentos Base'!B15</f>
        <v>22.04</v>
      </c>
      <c r="O20" s="17">
        <f t="shared" si="4"/>
        <v>264.48</v>
      </c>
      <c r="P20" s="169">
        <f t="shared" si="5"/>
        <v>22.040000000000003</v>
      </c>
      <c r="R20" s="96" t="s">
        <v>129</v>
      </c>
      <c r="S20" s="126">
        <v>3</v>
      </c>
      <c r="T20" s="101">
        <v>2340.5</v>
      </c>
      <c r="U20" s="100">
        <f t="shared" ref="U20:U24" si="7">T20*S20</f>
        <v>7021.5</v>
      </c>
      <c r="V20" s="100">
        <f t="shared" si="6"/>
        <v>585.125</v>
      </c>
      <c r="X20" s="21" t="s">
        <v>51</v>
      </c>
      <c r="Y20" s="2" t="s">
        <v>92</v>
      </c>
      <c r="Z20" s="26">
        <v>8.3299999999999999E-2</v>
      </c>
      <c r="AF20" s="45"/>
      <c r="AG20" s="53"/>
      <c r="AJ20" s="163"/>
    </row>
    <row r="21" spans="2:36">
      <c r="B21" s="8" t="s">
        <v>16</v>
      </c>
      <c r="C21" s="11">
        <f>C19+C20</f>
        <v>461.82150000000001</v>
      </c>
      <c r="L21" s="2" t="s">
        <v>147</v>
      </c>
      <c r="M21" s="14">
        <v>1</v>
      </c>
      <c r="N21" s="25">
        <f>'Documentos Base'!B16</f>
        <v>31.25</v>
      </c>
      <c r="O21" s="17">
        <f t="shared" si="4"/>
        <v>31.25</v>
      </c>
      <c r="P21" s="169">
        <f t="shared" si="5"/>
        <v>2.6041666666666665</v>
      </c>
      <c r="R21" s="96" t="s">
        <v>130</v>
      </c>
      <c r="S21" s="81">
        <v>3</v>
      </c>
      <c r="T21" s="101">
        <f>'Documentos Base'!B31</f>
        <v>87.9</v>
      </c>
      <c r="U21" s="100">
        <f t="shared" si="7"/>
        <v>263.70000000000005</v>
      </c>
      <c r="V21" s="100">
        <f t="shared" si="6"/>
        <v>21.975000000000005</v>
      </c>
      <c r="X21" s="14" t="s">
        <v>52</v>
      </c>
      <c r="Y21" s="2" t="s">
        <v>55</v>
      </c>
      <c r="Z21" s="26">
        <f>Z20/12</f>
        <v>6.9416666666666663E-3</v>
      </c>
      <c r="AF21" s="179"/>
      <c r="AG21" s="13"/>
    </row>
    <row r="22" spans="2:36">
      <c r="B22" s="2" t="s">
        <v>115</v>
      </c>
      <c r="C22" s="5">
        <v>5.6</v>
      </c>
      <c r="G22" s="212" t="s">
        <v>219</v>
      </c>
      <c r="H22" s="212"/>
      <c r="I22" s="212"/>
      <c r="J22" s="106"/>
      <c r="L22" s="2" t="s">
        <v>168</v>
      </c>
      <c r="M22" s="14">
        <v>1</v>
      </c>
      <c r="N22" s="25">
        <f>'Documentos Base'!B17</f>
        <v>46.68</v>
      </c>
      <c r="O22" s="17">
        <f t="shared" ref="O22:O23" si="8">N22*M22</f>
        <v>46.68</v>
      </c>
      <c r="P22" s="169">
        <f t="shared" si="5"/>
        <v>3.89</v>
      </c>
      <c r="Q22" s="44"/>
      <c r="R22" s="96" t="s">
        <v>133</v>
      </c>
      <c r="S22" s="81">
        <v>3</v>
      </c>
      <c r="T22" s="101">
        <f>'Documentos Base'!B32</f>
        <v>30.99</v>
      </c>
      <c r="U22" s="100">
        <f t="shared" si="7"/>
        <v>92.97</v>
      </c>
      <c r="V22" s="100">
        <f t="shared" si="6"/>
        <v>7.7474999999999996</v>
      </c>
      <c r="X22" s="21" t="s">
        <v>37</v>
      </c>
      <c r="Y22" s="2" t="s">
        <v>56</v>
      </c>
      <c r="Z22" s="26">
        <f>Z21</f>
        <v>6.9416666666666663E-3</v>
      </c>
      <c r="AF22" s="45"/>
      <c r="AG22" s="52"/>
      <c r="AI22" s="190"/>
      <c r="AJ22" s="53"/>
    </row>
    <row r="23" spans="2:36">
      <c r="B23" s="2" t="s">
        <v>12</v>
      </c>
      <c r="C23" s="3">
        <f>C22*21*2</f>
        <v>235.2</v>
      </c>
      <c r="G23" s="139" t="s">
        <v>213</v>
      </c>
      <c r="H23" s="119" t="s">
        <v>218</v>
      </c>
      <c r="I23" s="137" t="s">
        <v>220</v>
      </c>
      <c r="J23" s="124"/>
      <c r="L23" s="2" t="s">
        <v>172</v>
      </c>
      <c r="M23" s="14">
        <v>2</v>
      </c>
      <c r="N23" s="25">
        <f>'Documentos Base'!B18</f>
        <v>34</v>
      </c>
      <c r="O23" s="17">
        <f t="shared" si="8"/>
        <v>68</v>
      </c>
      <c r="P23" s="169">
        <f t="shared" si="5"/>
        <v>5.666666666666667</v>
      </c>
      <c r="Q23" s="44"/>
      <c r="R23" s="96" t="s">
        <v>128</v>
      </c>
      <c r="S23" s="81">
        <v>6</v>
      </c>
      <c r="T23" s="101">
        <f>'Documentos Base'!B33</f>
        <v>33.99</v>
      </c>
      <c r="U23" s="100">
        <f t="shared" si="7"/>
        <v>203.94</v>
      </c>
      <c r="V23" s="100">
        <f t="shared" si="6"/>
        <v>16.995000000000001</v>
      </c>
      <c r="X23" s="21" t="s">
        <v>53</v>
      </c>
      <c r="Y23" s="2" t="s">
        <v>57</v>
      </c>
      <c r="Z23" s="26">
        <f>Z22/3</f>
        <v>2.3138888888888888E-3</v>
      </c>
      <c r="AC23" s="24"/>
      <c r="AD23" s="24"/>
      <c r="AE23" s="24"/>
      <c r="AF23" s="180"/>
      <c r="AG23" s="52"/>
      <c r="AJ23" s="53"/>
    </row>
    <row r="24" spans="2:36">
      <c r="B24" s="2" t="s">
        <v>14</v>
      </c>
      <c r="C24" s="5">
        <f>-C15*6%</f>
        <v>-118.00379999999998</v>
      </c>
      <c r="G24" s="103" t="s">
        <v>126</v>
      </c>
      <c r="H24" s="134">
        <f>J17</f>
        <v>17745</v>
      </c>
      <c r="I24" s="138">
        <f>157297.64/H24</f>
        <v>8.8643358692589462</v>
      </c>
      <c r="J24" s="124"/>
      <c r="L24" s="2" t="s">
        <v>175</v>
      </c>
      <c r="M24" s="14">
        <v>2</v>
      </c>
      <c r="N24" s="25">
        <v>94.15</v>
      </c>
      <c r="O24" s="17">
        <f>N24*M24</f>
        <v>188.3</v>
      </c>
      <c r="P24" s="169">
        <f t="shared" ref="P24:P25" si="9">O24/12</f>
        <v>15.691666666666668</v>
      </c>
      <c r="R24" s="127" t="s">
        <v>131</v>
      </c>
      <c r="S24" s="126">
        <f>800*12</f>
        <v>9600</v>
      </c>
      <c r="T24" s="101">
        <v>0.43</v>
      </c>
      <c r="U24" s="100">
        <f t="shared" si="7"/>
        <v>4128</v>
      </c>
      <c r="V24" s="100">
        <f t="shared" si="6"/>
        <v>344</v>
      </c>
      <c r="X24" s="21" t="s">
        <v>59</v>
      </c>
      <c r="Y24" s="2" t="s">
        <v>58</v>
      </c>
      <c r="Z24" s="26">
        <f>Z13*40%</f>
        <v>3.2000000000000001E-2</v>
      </c>
      <c r="AC24" s="24"/>
      <c r="AD24" s="24"/>
      <c r="AE24" s="24"/>
      <c r="AF24" s="24"/>
      <c r="AG24" s="52"/>
      <c r="AJ24" s="53"/>
    </row>
    <row r="25" spans="2:36">
      <c r="B25" s="8" t="s">
        <v>15</v>
      </c>
      <c r="C25" s="11">
        <f>C23+C24</f>
        <v>117.1962</v>
      </c>
      <c r="G25" s="103" t="s">
        <v>242</v>
      </c>
      <c r="H25" s="134">
        <f>J18</f>
        <v>49140</v>
      </c>
      <c r="I25" s="138">
        <f>157297.64/H25</f>
        <v>3.2010101750101754</v>
      </c>
      <c r="J25" s="124"/>
      <c r="L25" s="2" t="s">
        <v>177</v>
      </c>
      <c r="M25" s="14">
        <v>1</v>
      </c>
      <c r="N25" s="25">
        <f>'Documentos Base'!B20</f>
        <v>31.25</v>
      </c>
      <c r="O25" s="17">
        <f t="shared" ref="O25" si="10">N25*M25</f>
        <v>31.25</v>
      </c>
      <c r="P25" s="169">
        <f t="shared" si="9"/>
        <v>2.6041666666666665</v>
      </c>
      <c r="Q25" s="39"/>
      <c r="R25" s="96" t="s">
        <v>132</v>
      </c>
      <c r="S25" s="81">
        <v>3</v>
      </c>
      <c r="T25" s="101">
        <v>48.95</v>
      </c>
      <c r="U25" s="100">
        <f t="shared" ref="U25:U28" si="11">T25*S25</f>
        <v>146.85000000000002</v>
      </c>
      <c r="V25" s="100">
        <f t="shared" si="6"/>
        <v>12.237500000000002</v>
      </c>
      <c r="X25" s="14" t="s">
        <v>60</v>
      </c>
      <c r="Y25" s="2" t="s">
        <v>90</v>
      </c>
      <c r="Z25" s="26">
        <f>Z21*Z14</f>
        <v>2.5545333333333335E-3</v>
      </c>
      <c r="AB25" s="24"/>
      <c r="AC25" s="24"/>
      <c r="AD25" s="24"/>
      <c r="AE25" s="24"/>
      <c r="AF25" s="24"/>
      <c r="AG25" s="7"/>
    </row>
    <row r="26" spans="2:36" ht="13.5" thickBot="1">
      <c r="B26" s="8" t="s">
        <v>18</v>
      </c>
      <c r="C26" s="11">
        <f>25.52+0.00021</f>
        <v>25.520209999999999</v>
      </c>
      <c r="J26" s="109"/>
      <c r="L26" s="2" t="s">
        <v>189</v>
      </c>
      <c r="M26" s="14">
        <v>2</v>
      </c>
      <c r="N26" s="25">
        <v>100</v>
      </c>
      <c r="O26" s="17">
        <f t="shared" ref="O26" si="12">N26*M26</f>
        <v>200</v>
      </c>
      <c r="P26" s="169">
        <f>(O26/12)- 0.00111</f>
        <v>16.665556666666667</v>
      </c>
      <c r="Q26" s="40"/>
      <c r="R26" s="96" t="s">
        <v>191</v>
      </c>
      <c r="S26" s="81">
        <v>3</v>
      </c>
      <c r="T26" s="101">
        <f>'Documentos Base'!B36</f>
        <v>71.900000000000006</v>
      </c>
      <c r="U26" s="100">
        <f t="shared" si="11"/>
        <v>215.70000000000002</v>
      </c>
      <c r="V26" s="100">
        <f t="shared" si="6"/>
        <v>17.975000000000001</v>
      </c>
      <c r="X26" s="225" t="s">
        <v>64</v>
      </c>
      <c r="Y26" s="225"/>
      <c r="Z26" s="22">
        <f>SUM(Z20:Z25)</f>
        <v>0.13405175555555554</v>
      </c>
      <c r="AA26" s="47"/>
      <c r="AG26" s="61"/>
    </row>
    <row r="27" spans="2:36">
      <c r="B27" s="8" t="s">
        <v>261</v>
      </c>
      <c r="C27" s="11">
        <v>80</v>
      </c>
      <c r="L27" s="60" t="s">
        <v>22</v>
      </c>
      <c r="M27" s="6"/>
      <c r="N27" s="38">
        <f>SUM(N10:N26)</f>
        <v>955.25666666666643</v>
      </c>
      <c r="O27" s="38">
        <f>SUM(O10:O26)</f>
        <v>2634.7333333333331</v>
      </c>
      <c r="P27" s="170">
        <f>SUM(P10:P26)</f>
        <v>219.56000111111106</v>
      </c>
      <c r="Q27" s="40"/>
      <c r="R27" s="96" t="s">
        <v>134</v>
      </c>
      <c r="S27" s="81">
        <v>3</v>
      </c>
      <c r="T27" s="101">
        <f>'Documentos Base'!B37</f>
        <v>177.69</v>
      </c>
      <c r="U27" s="100">
        <f t="shared" si="11"/>
        <v>533.06999999999994</v>
      </c>
      <c r="V27" s="100">
        <f t="shared" si="6"/>
        <v>44.422499999999992</v>
      </c>
      <c r="X27" s="227" t="s">
        <v>63</v>
      </c>
      <c r="Y27" s="228"/>
      <c r="Z27" s="28">
        <f>Z26+Z19+Z14</f>
        <v>0.72710615555555558</v>
      </c>
      <c r="AB27" s="229"/>
      <c r="AC27" s="229"/>
      <c r="AD27" s="229"/>
      <c r="AE27" s="229"/>
      <c r="AF27" s="229"/>
      <c r="AG27" s="229"/>
    </row>
    <row r="28" spans="2:36" ht="15.75" customHeight="1">
      <c r="B28" s="2" t="s">
        <v>93</v>
      </c>
      <c r="C28" s="18">
        <f>$Z$27</f>
        <v>0.72710615555555558</v>
      </c>
      <c r="P28" s="172"/>
      <c r="Q28" s="40"/>
      <c r="R28" s="96" t="s">
        <v>200</v>
      </c>
      <c r="S28" s="81">
        <v>12</v>
      </c>
      <c r="T28" s="101">
        <v>57.75</v>
      </c>
      <c r="U28" s="100">
        <f t="shared" si="11"/>
        <v>693</v>
      </c>
      <c r="V28" s="100">
        <f t="shared" si="6"/>
        <v>57.75</v>
      </c>
      <c r="X28" s="1" t="s">
        <v>112</v>
      </c>
      <c r="AB28" s="37"/>
      <c r="AC28" s="37"/>
      <c r="AD28" s="37"/>
      <c r="AE28" s="37"/>
      <c r="AF28" s="37"/>
      <c r="AG28" s="37"/>
    </row>
    <row r="29" spans="2:36">
      <c r="B29" s="8" t="s">
        <v>94</v>
      </c>
      <c r="C29" s="11">
        <f>(C15+C17)*C28</f>
        <v>2002.0300850420886</v>
      </c>
      <c r="L29" s="219" t="s">
        <v>125</v>
      </c>
      <c r="M29" s="219"/>
      <c r="N29" s="219"/>
      <c r="O29" s="219"/>
      <c r="Q29" s="40"/>
      <c r="R29" s="96" t="s">
        <v>221</v>
      </c>
      <c r="S29" s="81">
        <v>9</v>
      </c>
      <c r="T29" s="101">
        <v>44.88</v>
      </c>
      <c r="U29" s="100">
        <f t="shared" ref="U29" si="13">T29*S29</f>
        <v>403.92</v>
      </c>
      <c r="V29" s="100">
        <f t="shared" si="6"/>
        <v>33.660000000000004</v>
      </c>
      <c r="AB29" s="12"/>
      <c r="AC29" s="53"/>
      <c r="AD29" s="53"/>
      <c r="AE29" s="53"/>
      <c r="AF29" s="53"/>
      <c r="AG29" s="37"/>
    </row>
    <row r="30" spans="2:36">
      <c r="B30" s="6" t="s">
        <v>86</v>
      </c>
      <c r="C30" s="35">
        <f>C29+C26+C25+C21+C17+C15+C27</f>
        <v>5439.9899950420886</v>
      </c>
      <c r="L30" s="212" t="s">
        <v>5</v>
      </c>
      <c r="M30" s="212"/>
      <c r="N30" s="212"/>
      <c r="O30" s="212"/>
      <c r="P30" s="212"/>
      <c r="Q30" s="40"/>
      <c r="R30" s="96" t="s">
        <v>239</v>
      </c>
      <c r="S30" s="135">
        <f>((((4*C11))*21)/226)*12</f>
        <v>40.141592920353979</v>
      </c>
      <c r="T30" s="101">
        <v>154</v>
      </c>
      <c r="U30" s="100">
        <f>T30*S30</f>
        <v>6181.8053097345128</v>
      </c>
      <c r="V30" s="100">
        <f t="shared" si="6"/>
        <v>515.15044247787603</v>
      </c>
      <c r="Y30" s="226" t="s">
        <v>82</v>
      </c>
      <c r="Z30" s="226"/>
      <c r="AC30" s="24"/>
      <c r="AD30" s="24"/>
      <c r="AE30" s="24"/>
      <c r="AF30" s="24"/>
      <c r="AG30" s="52"/>
    </row>
    <row r="31" spans="2:36">
      <c r="B31" s="1" t="s">
        <v>10</v>
      </c>
      <c r="C31" s="168"/>
      <c r="L31" s="93" t="s">
        <v>0</v>
      </c>
      <c r="M31" s="93" t="s">
        <v>137</v>
      </c>
      <c r="N31" s="93" t="s">
        <v>100</v>
      </c>
      <c r="O31" s="93" t="s">
        <v>98</v>
      </c>
      <c r="P31" s="93" t="s">
        <v>99</v>
      </c>
      <c r="Q31" s="40"/>
      <c r="R31" s="96" t="s">
        <v>230</v>
      </c>
      <c r="S31" s="126">
        <f>(((I13*7.8*9)*21)+(I14*7.8*3)*21)*12</f>
        <v>18574.920000000002</v>
      </c>
      <c r="T31" s="101">
        <v>5.89</v>
      </c>
      <c r="U31" s="100">
        <f>T31*S31</f>
        <v>109406.2788</v>
      </c>
      <c r="V31" s="100">
        <f>(U31/12)</f>
        <v>9117.1898999999994</v>
      </c>
      <c r="Y31" s="1" t="s">
        <v>89</v>
      </c>
      <c r="AC31" s="24"/>
      <c r="AD31" s="24"/>
      <c r="AE31" s="24"/>
      <c r="AF31" s="24"/>
      <c r="AG31" s="52"/>
      <c r="AH31" s="181"/>
    </row>
    <row r="32" spans="2:36">
      <c r="B32" s="1" t="s">
        <v>11</v>
      </c>
      <c r="L32" s="82" t="s">
        <v>153</v>
      </c>
      <c r="M32" s="14">
        <v>2</v>
      </c>
      <c r="N32" s="25">
        <f>'Documentos Base'!B5</f>
        <v>155</v>
      </c>
      <c r="O32" s="17">
        <f>N32*M32</f>
        <v>310</v>
      </c>
      <c r="P32" s="17">
        <f>O32/12</f>
        <v>25.833333333333332</v>
      </c>
      <c r="Q32" s="39"/>
      <c r="R32" s="96" t="s">
        <v>231</v>
      </c>
      <c r="S32" s="135">
        <f>S31/50</f>
        <v>371.49840000000006</v>
      </c>
      <c r="T32" s="101">
        <v>80</v>
      </c>
      <c r="U32" s="100">
        <f>T32*S32</f>
        <v>29719.872000000003</v>
      </c>
      <c r="V32" s="100">
        <f>U32/12</f>
        <v>2476.6560000000004</v>
      </c>
      <c r="AC32" s="24"/>
      <c r="AD32" s="24"/>
      <c r="AE32" s="182"/>
      <c r="AF32" s="24"/>
      <c r="AG32" s="52"/>
    </row>
    <row r="33" spans="2:34">
      <c r="L33" s="83" t="s">
        <v>20</v>
      </c>
      <c r="M33" s="14">
        <v>4</v>
      </c>
      <c r="N33" s="25">
        <f>'Documentos Base'!B6</f>
        <v>120.65</v>
      </c>
      <c r="O33" s="17">
        <f t="shared" ref="O33:O43" si="14">N33*M33</f>
        <v>482.6</v>
      </c>
      <c r="P33" s="17">
        <f t="shared" ref="P33:P42" si="15">O33/12</f>
        <v>40.216666666666669</v>
      </c>
      <c r="R33" s="60" t="s">
        <v>188</v>
      </c>
      <c r="S33" s="125">
        <f>SUM(S19:S32)</f>
        <v>28640.559992920356</v>
      </c>
      <c r="T33" s="97">
        <f>SUM(T19:T32)</f>
        <v>6234.869999999999</v>
      </c>
      <c r="U33" s="97">
        <f>SUM(U19:U32)</f>
        <v>186910.60610973451</v>
      </c>
      <c r="V33" s="162">
        <f>SUM(V19:V32)</f>
        <v>15575.883842477875</v>
      </c>
      <c r="Y33" s="212" t="s">
        <v>62</v>
      </c>
      <c r="Z33" s="212"/>
      <c r="AB33" s="12"/>
      <c r="AC33" s="53"/>
      <c r="AD33" s="181"/>
      <c r="AE33" s="181"/>
      <c r="AF33" s="53"/>
      <c r="AH33" s="190"/>
    </row>
    <row r="34" spans="2:34">
      <c r="B34" s="208" t="s">
        <v>241</v>
      </c>
      <c r="C34" s="208"/>
      <c r="L34" s="83" t="s">
        <v>138</v>
      </c>
      <c r="M34" s="14">
        <v>4</v>
      </c>
      <c r="N34" s="25">
        <f>'Documentos Base'!B7</f>
        <v>35</v>
      </c>
      <c r="O34" s="17">
        <f t="shared" si="14"/>
        <v>140</v>
      </c>
      <c r="P34" s="17">
        <f t="shared" si="15"/>
        <v>11.666666666666666</v>
      </c>
      <c r="R34" s="128"/>
      <c r="S34" s="140"/>
      <c r="T34" s="132"/>
      <c r="U34" s="132"/>
      <c r="V34" s="132"/>
      <c r="Y34" s="6" t="s">
        <v>66</v>
      </c>
      <c r="Z34" s="6" t="s">
        <v>24</v>
      </c>
      <c r="AC34" s="24"/>
      <c r="AD34" s="182"/>
      <c r="AE34" s="182"/>
      <c r="AF34" s="53"/>
      <c r="AG34" s="52"/>
    </row>
    <row r="35" spans="2:34">
      <c r="B35" s="209" t="s">
        <v>5</v>
      </c>
      <c r="C35" s="210"/>
      <c r="L35" s="83" t="s">
        <v>139</v>
      </c>
      <c r="M35" s="14">
        <v>2</v>
      </c>
      <c r="N35" s="25">
        <f>'Documentos Base'!B8</f>
        <v>48.3</v>
      </c>
      <c r="O35" s="17">
        <f t="shared" si="14"/>
        <v>96.6</v>
      </c>
      <c r="P35" s="17">
        <f t="shared" si="15"/>
        <v>8.0499999999999989</v>
      </c>
      <c r="Q35" s="44"/>
      <c r="T35" s="12"/>
      <c r="Y35" s="2" t="s">
        <v>72</v>
      </c>
      <c r="Z35" s="18">
        <v>0.03</v>
      </c>
      <c r="AC35" s="24"/>
      <c r="AD35" s="182"/>
      <c r="AE35" s="182"/>
      <c r="AF35" s="53"/>
      <c r="AG35" s="52"/>
    </row>
    <row r="36" spans="2:34">
      <c r="B36" s="6" t="s">
        <v>0</v>
      </c>
      <c r="C36" s="6" t="s">
        <v>6</v>
      </c>
      <c r="L36" s="83" t="s">
        <v>145</v>
      </c>
      <c r="M36" s="14">
        <v>2</v>
      </c>
      <c r="N36" s="25">
        <f>'Documentos Base'!B9</f>
        <v>151.9</v>
      </c>
      <c r="O36" s="17">
        <f t="shared" si="14"/>
        <v>303.8</v>
      </c>
      <c r="P36" s="17">
        <f t="shared" si="15"/>
        <v>25.316666666666666</v>
      </c>
      <c r="Q36" s="44"/>
      <c r="R36" s="212" t="s">
        <v>186</v>
      </c>
      <c r="S36" s="212"/>
      <c r="Y36" s="2" t="s">
        <v>73</v>
      </c>
      <c r="Z36" s="18">
        <v>6.4999999999999997E-3</v>
      </c>
      <c r="AC36" s="24"/>
      <c r="AD36" s="182"/>
      <c r="AE36" s="182"/>
      <c r="AF36" s="53"/>
      <c r="AG36" s="52"/>
    </row>
    <row r="37" spans="2:34">
      <c r="B37" s="8" t="s">
        <v>127</v>
      </c>
      <c r="C37" s="125">
        <v>3</v>
      </c>
      <c r="L37" s="83" t="s">
        <v>160</v>
      </c>
      <c r="M37" s="14">
        <v>2</v>
      </c>
      <c r="N37" s="25">
        <f>'Documentos Base'!B10</f>
        <v>10.416666666666666</v>
      </c>
      <c r="O37" s="17">
        <f t="shared" si="14"/>
        <v>20.833333333333332</v>
      </c>
      <c r="P37" s="17">
        <f t="shared" si="15"/>
        <v>1.7361111111111109</v>
      </c>
      <c r="R37" s="59" t="s">
        <v>87</v>
      </c>
      <c r="S37" s="5">
        <f>V33</f>
        <v>15575.883842477875</v>
      </c>
      <c r="T37" s="69"/>
      <c r="U37" s="51"/>
      <c r="V37" s="53"/>
      <c r="Y37" s="2" t="s">
        <v>74</v>
      </c>
      <c r="Z37" s="18">
        <v>0.03</v>
      </c>
      <c r="AC37" s="24"/>
      <c r="AD37" s="24"/>
      <c r="AE37" s="24"/>
      <c r="AF37" s="24"/>
      <c r="AG37" s="52"/>
    </row>
    <row r="38" spans="2:34">
      <c r="B38" s="8" t="s">
        <v>1</v>
      </c>
      <c r="C38" s="9">
        <v>1.8333333333333333</v>
      </c>
      <c r="L38" s="68" t="s">
        <v>141</v>
      </c>
      <c r="M38" s="14">
        <v>2</v>
      </c>
      <c r="N38" s="25">
        <f>'Documentos Base'!B11</f>
        <v>37.9</v>
      </c>
      <c r="O38" s="17">
        <f t="shared" si="14"/>
        <v>75.8</v>
      </c>
      <c r="P38" s="17">
        <f t="shared" si="15"/>
        <v>6.3166666666666664</v>
      </c>
      <c r="Q38" s="42"/>
      <c r="R38" s="2" t="s">
        <v>105</v>
      </c>
      <c r="S38" s="138">
        <v>12</v>
      </c>
      <c r="T38" s="53"/>
      <c r="U38" s="52"/>
      <c r="Y38" s="2" t="s">
        <v>75</v>
      </c>
      <c r="Z38" s="19">
        <f>((100*32%)*15%)/100</f>
        <v>4.8000000000000001E-2</v>
      </c>
      <c r="AB38" s="12"/>
      <c r="AC38" s="53"/>
      <c r="AD38" s="53"/>
      <c r="AE38" s="53"/>
      <c r="AF38" s="53"/>
    </row>
    <row r="39" spans="2:34">
      <c r="B39" s="8" t="s">
        <v>7</v>
      </c>
      <c r="C39" s="9">
        <v>9.1666666666666661</v>
      </c>
      <c r="L39" s="83" t="s">
        <v>142</v>
      </c>
      <c r="M39" s="14">
        <v>12</v>
      </c>
      <c r="N39" s="25">
        <f>'Documentos Base'!B12</f>
        <v>25.9</v>
      </c>
      <c r="O39" s="17">
        <f t="shared" si="14"/>
        <v>310.79999999999995</v>
      </c>
      <c r="P39" s="17">
        <f t="shared" si="15"/>
        <v>25.899999999999995</v>
      </c>
      <c r="Q39" s="40"/>
      <c r="R39" s="60" t="s">
        <v>106</v>
      </c>
      <c r="S39" s="167">
        <f>S37/S38</f>
        <v>1297.9903202064895</v>
      </c>
      <c r="T39" s="53"/>
      <c r="U39" s="52"/>
      <c r="Y39" s="2" t="s">
        <v>76</v>
      </c>
      <c r="Z39" s="19">
        <f>(((100*32%)-20)*10%)/100</f>
        <v>1.2000000000000002E-2</v>
      </c>
      <c r="AC39" s="24"/>
      <c r="AD39" s="198"/>
      <c r="AE39" s="24"/>
      <c r="AF39" s="24"/>
      <c r="AG39" s="52"/>
    </row>
    <row r="40" spans="2:34" ht="15">
      <c r="B40" s="2" t="s">
        <v>2</v>
      </c>
      <c r="C40" s="3">
        <v>1966.73</v>
      </c>
      <c r="L40" s="84" t="s">
        <v>146</v>
      </c>
      <c r="M40" s="14">
        <v>2</v>
      </c>
      <c r="N40" s="25">
        <f>'Documentos Base'!B13</f>
        <v>6.55</v>
      </c>
      <c r="O40" s="17">
        <f t="shared" si="14"/>
        <v>13.1</v>
      </c>
      <c r="P40" s="17">
        <f t="shared" si="15"/>
        <v>1.0916666666666666</v>
      </c>
      <c r="Q40" s="40"/>
      <c r="R40" s="128"/>
      <c r="S40" s="129"/>
      <c r="T40" s="53"/>
      <c r="U40" s="52"/>
      <c r="Y40" s="2" t="s">
        <v>78</v>
      </c>
      <c r="Z40" s="19">
        <f>((100*32%)*9%)/100</f>
        <v>2.8799999999999999E-2</v>
      </c>
      <c r="AC40" s="24"/>
      <c r="AD40" s="199"/>
      <c r="AE40" s="24"/>
      <c r="AF40" s="24"/>
      <c r="AG40" s="52"/>
    </row>
    <row r="41" spans="2:34">
      <c r="B41" s="8" t="s">
        <v>136</v>
      </c>
      <c r="C41" s="10">
        <f>C40/220*220</f>
        <v>1966.7299999999998</v>
      </c>
      <c r="L41" s="83" t="s">
        <v>143</v>
      </c>
      <c r="M41" s="14">
        <v>12</v>
      </c>
      <c r="N41" s="25">
        <f>'Documentos Base'!B14</f>
        <v>4.2699999999999996</v>
      </c>
      <c r="O41" s="17">
        <f t="shared" si="14"/>
        <v>51.239999999999995</v>
      </c>
      <c r="P41" s="17">
        <f t="shared" si="15"/>
        <v>4.2699999999999996</v>
      </c>
      <c r="Q41" s="40"/>
      <c r="R41" s="128"/>
      <c r="S41" s="129"/>
      <c r="T41" s="53"/>
      <c r="U41" s="52"/>
      <c r="Y41" s="141" t="s">
        <v>83</v>
      </c>
      <c r="Z41" s="142">
        <v>0.14999989999999999</v>
      </c>
      <c r="AD41" s="190"/>
      <c r="AG41" s="61"/>
    </row>
    <row r="42" spans="2:34">
      <c r="B42" s="2" t="s">
        <v>3</v>
      </c>
      <c r="C42" s="4">
        <v>0.4</v>
      </c>
      <c r="L42" s="83" t="s">
        <v>144</v>
      </c>
      <c r="M42" s="14">
        <v>12</v>
      </c>
      <c r="N42" s="25">
        <f>'Documentos Base'!B15</f>
        <v>22.04</v>
      </c>
      <c r="O42" s="17">
        <f t="shared" si="14"/>
        <v>264.48</v>
      </c>
      <c r="P42" s="17">
        <f t="shared" si="15"/>
        <v>22.040000000000003</v>
      </c>
      <c r="Q42" s="40"/>
      <c r="R42" s="209" t="s">
        <v>263</v>
      </c>
      <c r="S42" s="211"/>
      <c r="T42" s="211"/>
      <c r="U42" s="210"/>
      <c r="V42" s="106"/>
      <c r="Y42" s="8" t="s">
        <v>79</v>
      </c>
      <c r="Z42" s="27">
        <f>SUM(Z35:Z41)</f>
        <v>0.30529989999999996</v>
      </c>
      <c r="AG42" s="61"/>
    </row>
    <row r="43" spans="2:34">
      <c r="B43" s="8" t="s">
        <v>4</v>
      </c>
      <c r="C43" s="11">
        <f>C40*C42</f>
        <v>786.69200000000001</v>
      </c>
      <c r="L43" s="2" t="s">
        <v>147</v>
      </c>
      <c r="M43" s="14">
        <v>1</v>
      </c>
      <c r="N43" s="25">
        <f>'Documentos Base'!B16</f>
        <v>31.25</v>
      </c>
      <c r="O43" s="17">
        <f t="shared" si="14"/>
        <v>31.25</v>
      </c>
      <c r="P43" s="17">
        <f>(O43/12)-0.001944</f>
        <v>2.6022226666666666</v>
      </c>
      <c r="Q43" s="40"/>
      <c r="R43" s="70" t="s">
        <v>66</v>
      </c>
      <c r="S43" s="94" t="s">
        <v>137</v>
      </c>
      <c r="T43" s="94" t="s">
        <v>100</v>
      </c>
      <c r="U43" s="94" t="s">
        <v>99</v>
      </c>
      <c r="V43" s="111"/>
      <c r="Y43" s="12"/>
      <c r="Z43" s="56"/>
      <c r="AG43" s="61"/>
    </row>
    <row r="44" spans="2:34">
      <c r="B44" s="2" t="s">
        <v>8</v>
      </c>
      <c r="C44" s="5">
        <v>27.15</v>
      </c>
      <c r="L44" s="60" t="s">
        <v>22</v>
      </c>
      <c r="M44" s="93"/>
      <c r="N44" s="38">
        <f>SUM(N32:N43)</f>
        <v>649.17666666666651</v>
      </c>
      <c r="O44" s="38">
        <f>SUM(O32:O43)</f>
        <v>2100.5033333333331</v>
      </c>
      <c r="P44" s="170">
        <f>SUM(P32:P43)</f>
        <v>175.04000044444444</v>
      </c>
      <c r="Q44" s="40"/>
      <c r="R44" s="59" t="s">
        <v>262</v>
      </c>
      <c r="S44" s="120">
        <v>4</v>
      </c>
      <c r="T44" s="17">
        <f>(300*4)</f>
        <v>1200</v>
      </c>
      <c r="U44" s="25">
        <f>T44*S44</f>
        <v>4800</v>
      </c>
      <c r="V44" s="191"/>
      <c r="Y44" s="1" t="s">
        <v>80</v>
      </c>
      <c r="AG44" s="61"/>
    </row>
    <row r="45" spans="2:34">
      <c r="B45" s="2" t="s">
        <v>9</v>
      </c>
      <c r="C45" s="5">
        <f>C44*21</f>
        <v>570.15</v>
      </c>
      <c r="P45" s="173"/>
      <c r="Q45" s="39"/>
      <c r="R45" s="60" t="s">
        <v>188</v>
      </c>
      <c r="S45" s="97"/>
      <c r="T45" s="97"/>
      <c r="U45" s="97">
        <f>SUM(U44:U44)</f>
        <v>4800</v>
      </c>
      <c r="V45" s="200"/>
      <c r="Y45" s="1" t="s">
        <v>77</v>
      </c>
      <c r="AG45" s="61"/>
    </row>
    <row r="46" spans="2:34">
      <c r="B46" s="2" t="s">
        <v>13</v>
      </c>
      <c r="C46" s="5">
        <f>-C45*19%</f>
        <v>-108.32849999999999</v>
      </c>
      <c r="L46" s="208" t="s">
        <v>135</v>
      </c>
      <c r="M46" s="208"/>
      <c r="N46" s="208"/>
      <c r="O46" s="208"/>
      <c r="P46" s="208"/>
      <c r="V46" s="107"/>
      <c r="Y46" s="1" t="s">
        <v>81</v>
      </c>
      <c r="AB46" s="190"/>
      <c r="AG46" s="61"/>
    </row>
    <row r="47" spans="2:34">
      <c r="B47" s="8" t="s">
        <v>16</v>
      </c>
      <c r="C47" s="11">
        <f>C45+C46</f>
        <v>461.82150000000001</v>
      </c>
      <c r="L47" s="92" t="s">
        <v>5</v>
      </c>
      <c r="M47" s="92"/>
      <c r="N47" s="92"/>
      <c r="O47" s="92"/>
      <c r="P47" s="92"/>
      <c r="V47" s="132"/>
      <c r="AB47" s="172"/>
    </row>
    <row r="48" spans="2:34">
      <c r="B48" s="2" t="s">
        <v>115</v>
      </c>
      <c r="C48" s="5">
        <v>5.6</v>
      </c>
      <c r="L48" s="93" t="s">
        <v>0</v>
      </c>
      <c r="M48" s="93" t="s">
        <v>137</v>
      </c>
      <c r="N48" s="93" t="s">
        <v>100</v>
      </c>
      <c r="O48" s="93" t="s">
        <v>98</v>
      </c>
      <c r="P48" s="93" t="s">
        <v>99</v>
      </c>
      <c r="R48" s="212" t="s">
        <v>148</v>
      </c>
      <c r="S48" s="212"/>
      <c r="V48" s="132"/>
      <c r="Y48" s="223" t="s">
        <v>97</v>
      </c>
      <c r="Z48" s="224"/>
      <c r="AB48" s="45"/>
    </row>
    <row r="49" spans="2:29" ht="15">
      <c r="B49" s="2" t="s">
        <v>12</v>
      </c>
      <c r="C49" s="3">
        <f>C48*21*2</f>
        <v>235.2</v>
      </c>
      <c r="L49" s="82" t="s">
        <v>153</v>
      </c>
      <c r="M49" s="14">
        <v>2</v>
      </c>
      <c r="N49" s="25">
        <f>'Documentos Base'!B5</f>
        <v>155</v>
      </c>
      <c r="O49" s="17">
        <f>N49*M49</f>
        <v>310</v>
      </c>
      <c r="P49" s="17">
        <f>O49/12</f>
        <v>25.833333333333332</v>
      </c>
      <c r="R49" s="59" t="s">
        <v>87</v>
      </c>
      <c r="S49" s="5">
        <f>U45</f>
        <v>4800</v>
      </c>
      <c r="V49" s="132"/>
      <c r="Y49" s="2" t="s">
        <v>101</v>
      </c>
      <c r="Z49" s="49">
        <f>AG10</f>
        <v>95068.98</v>
      </c>
      <c r="AA49" s="178"/>
      <c r="AB49" s="53"/>
    </row>
    <row r="50" spans="2:29" ht="15">
      <c r="B50" s="2" t="s">
        <v>14</v>
      </c>
      <c r="C50" s="5">
        <f>-C41*6%</f>
        <v>-118.00379999999998</v>
      </c>
      <c r="L50" s="83" t="s">
        <v>20</v>
      </c>
      <c r="M50" s="14">
        <v>4</v>
      </c>
      <c r="N50" s="25">
        <f>'Documentos Base'!B6</f>
        <v>120.65</v>
      </c>
      <c r="O50" s="17">
        <f t="shared" ref="O50:O56" si="16">N50*M50</f>
        <v>482.6</v>
      </c>
      <c r="P50" s="17">
        <f t="shared" ref="P50:P55" si="17">O50/12</f>
        <v>40.216666666666669</v>
      </c>
      <c r="R50" s="2" t="s">
        <v>105</v>
      </c>
      <c r="S50" s="123">
        <v>12</v>
      </c>
      <c r="V50" s="132"/>
      <c r="Y50" s="8" t="s">
        <v>96</v>
      </c>
      <c r="Z50" s="36">
        <f>(Z49/(100%-Z42))-Z49</f>
        <v>41779.971079753697</v>
      </c>
      <c r="AA50" s="178"/>
      <c r="AB50" s="53"/>
    </row>
    <row r="51" spans="2:29">
      <c r="B51" s="8" t="s">
        <v>15</v>
      </c>
      <c r="C51" s="11">
        <f>C49+C50</f>
        <v>117.1962</v>
      </c>
      <c r="L51" s="83" t="s">
        <v>138</v>
      </c>
      <c r="M51" s="14">
        <v>4</v>
      </c>
      <c r="N51" s="25">
        <f>'Documentos Base'!B7</f>
        <v>35</v>
      </c>
      <c r="O51" s="17">
        <f t="shared" si="16"/>
        <v>140</v>
      </c>
      <c r="P51" s="17">
        <f t="shared" si="17"/>
        <v>11.666666666666666</v>
      </c>
      <c r="R51" s="60" t="s">
        <v>106</v>
      </c>
      <c r="S51" s="35">
        <f>S49/S50</f>
        <v>400</v>
      </c>
      <c r="V51" s="132"/>
      <c r="Y51" s="2" t="s">
        <v>95</v>
      </c>
      <c r="Z51" s="186">
        <f>Z50+Z49</f>
        <v>136848.95107975369</v>
      </c>
      <c r="AB51" s="53"/>
    </row>
    <row r="52" spans="2:29">
      <c r="B52" s="8" t="s">
        <v>18</v>
      </c>
      <c r="C52" s="11">
        <f>25.52+0.00021</f>
        <v>25.520209999999999</v>
      </c>
      <c r="L52" s="83" t="s">
        <v>145</v>
      </c>
      <c r="M52" s="14">
        <v>2</v>
      </c>
      <c r="N52" s="25">
        <f>'Documentos Base'!B9</f>
        <v>151.9</v>
      </c>
      <c r="O52" s="17">
        <f t="shared" si="16"/>
        <v>303.8</v>
      </c>
      <c r="P52" s="17">
        <f t="shared" si="17"/>
        <v>25.316666666666666</v>
      </c>
      <c r="V52" s="132"/>
      <c r="Y52" s="12"/>
      <c r="Z52" s="52"/>
      <c r="AB52" s="250"/>
    </row>
    <row r="53" spans="2:29" ht="15">
      <c r="B53" s="8" t="s">
        <v>261</v>
      </c>
      <c r="C53" s="11">
        <v>80</v>
      </c>
      <c r="L53" s="84" t="s">
        <v>146</v>
      </c>
      <c r="M53" s="14">
        <v>2</v>
      </c>
      <c r="N53" s="25">
        <f>'Documentos Base'!B13</f>
        <v>6.55</v>
      </c>
      <c r="O53" s="17">
        <f t="shared" si="16"/>
        <v>13.1</v>
      </c>
      <c r="P53" s="17">
        <f t="shared" si="17"/>
        <v>1.0916666666666666</v>
      </c>
      <c r="V53" s="132"/>
      <c r="Y53" s="212" t="s">
        <v>107</v>
      </c>
      <c r="Z53" s="212"/>
      <c r="AB53" s="53"/>
      <c r="AC53" s="53"/>
    </row>
    <row r="54" spans="2:29">
      <c r="B54" s="2" t="s">
        <v>93</v>
      </c>
      <c r="C54" s="18">
        <f>$Z$27</f>
        <v>0.72710615555555558</v>
      </c>
      <c r="L54" s="83" t="s">
        <v>143</v>
      </c>
      <c r="M54" s="14">
        <v>6</v>
      </c>
      <c r="N54" s="25">
        <f>'Documentos Base'!B14</f>
        <v>4.2699999999999996</v>
      </c>
      <c r="O54" s="17">
        <f t="shared" si="16"/>
        <v>25.619999999999997</v>
      </c>
      <c r="P54" s="17">
        <f t="shared" si="17"/>
        <v>2.1349999999999998</v>
      </c>
      <c r="Y54" s="59" t="s">
        <v>87</v>
      </c>
      <c r="Z54" s="5">
        <f>Z50</f>
        <v>41779.971079753697</v>
      </c>
      <c r="AB54" s="53"/>
    </row>
    <row r="55" spans="2:29">
      <c r="B55" s="8" t="s">
        <v>94</v>
      </c>
      <c r="C55" s="11">
        <f>(C41+C43)*C54</f>
        <v>2002.0300850420886</v>
      </c>
      <c r="L55" s="83" t="s">
        <v>144</v>
      </c>
      <c r="M55" s="14">
        <v>6</v>
      </c>
      <c r="N55" s="25">
        <f>'Documentos Base'!B15</f>
        <v>22.04</v>
      </c>
      <c r="O55" s="17">
        <f t="shared" si="16"/>
        <v>132.24</v>
      </c>
      <c r="P55" s="17">
        <f t="shared" si="17"/>
        <v>11.020000000000001</v>
      </c>
      <c r="Y55" s="2" t="s">
        <v>105</v>
      </c>
      <c r="Z55" s="123">
        <v>13</v>
      </c>
    </row>
    <row r="56" spans="2:29">
      <c r="B56" s="6" t="s">
        <v>86</v>
      </c>
      <c r="C56" s="166">
        <f>C55+C52+C51+C47+C43+C41+C53</f>
        <v>5439.9899950420886</v>
      </c>
      <c r="L56" s="2" t="s">
        <v>147</v>
      </c>
      <c r="M56" s="14">
        <v>1</v>
      </c>
      <c r="N56" s="25">
        <f>'Documentos Base'!B16</f>
        <v>31.25</v>
      </c>
      <c r="O56" s="17">
        <f t="shared" si="16"/>
        <v>31.25</v>
      </c>
      <c r="P56" s="17">
        <f>(O56/12)-0.0042</f>
        <v>2.5999666666666665</v>
      </c>
      <c r="Y56" s="60" t="s">
        <v>106</v>
      </c>
      <c r="Z56" s="35">
        <f>Z54/Z55</f>
        <v>3213.8439292118228</v>
      </c>
    </row>
    <row r="57" spans="2:29">
      <c r="B57" s="1" t="s">
        <v>10</v>
      </c>
      <c r="L57" s="60" t="s">
        <v>22</v>
      </c>
      <c r="M57" s="93"/>
      <c r="N57" s="38">
        <f>SUM(N49:N56)</f>
        <v>526.66</v>
      </c>
      <c r="O57" s="38">
        <f>SUM(O49:O56)</f>
        <v>1438.61</v>
      </c>
      <c r="P57" s="170">
        <f>SUM(P49:P56)</f>
        <v>119.87996666666666</v>
      </c>
    </row>
    <row r="58" spans="2:29">
      <c r="B58" s="1" t="s">
        <v>17</v>
      </c>
      <c r="P58" s="174"/>
    </row>
    <row r="59" spans="2:29">
      <c r="AA59" s="61"/>
    </row>
    <row r="60" spans="2:29">
      <c r="L60" s="208" t="s">
        <v>152</v>
      </c>
      <c r="M60" s="208"/>
      <c r="N60" s="208"/>
      <c r="O60" s="208"/>
      <c r="AA60" s="61"/>
    </row>
    <row r="61" spans="2:29">
      <c r="B61" s="208" t="s">
        <v>135</v>
      </c>
      <c r="C61" s="208"/>
      <c r="L61" s="209" t="s">
        <v>5</v>
      </c>
      <c r="M61" s="211"/>
      <c r="N61" s="211"/>
      <c r="O61" s="211"/>
      <c r="P61" s="210"/>
      <c r="AA61" s="61"/>
    </row>
    <row r="62" spans="2:29">
      <c r="B62" s="209" t="s">
        <v>5</v>
      </c>
      <c r="C62" s="210"/>
      <c r="L62" s="93" t="s">
        <v>0</v>
      </c>
      <c r="M62" s="93" t="s">
        <v>6</v>
      </c>
      <c r="N62" s="93" t="s">
        <v>100</v>
      </c>
      <c r="O62" s="93" t="s">
        <v>98</v>
      </c>
      <c r="P62" s="93" t="s">
        <v>99</v>
      </c>
      <c r="AA62" s="61"/>
    </row>
    <row r="63" spans="2:29">
      <c r="B63" s="6" t="s">
        <v>0</v>
      </c>
      <c r="C63" s="6" t="s">
        <v>6</v>
      </c>
      <c r="L63" s="83" t="s">
        <v>149</v>
      </c>
      <c r="M63" s="120">
        <v>9</v>
      </c>
      <c r="N63" s="25">
        <f>'Documentos Base'!B24</f>
        <v>29.99</v>
      </c>
      <c r="O63" s="17">
        <f t="shared" ref="O63:O65" si="18">N63*M63</f>
        <v>269.90999999999997</v>
      </c>
      <c r="P63" s="17">
        <f t="shared" ref="P63:P64" si="19">O63/12</f>
        <v>22.492499999999996</v>
      </c>
      <c r="AA63" s="61"/>
    </row>
    <row r="64" spans="2:29">
      <c r="B64" s="8" t="s">
        <v>70</v>
      </c>
      <c r="C64" s="94">
        <v>1</v>
      </c>
      <c r="L64" s="83" t="s">
        <v>150</v>
      </c>
      <c r="M64" s="120">
        <v>5</v>
      </c>
      <c r="N64" s="25">
        <v>1625</v>
      </c>
      <c r="O64" s="17">
        <f>N64*M64</f>
        <v>8125</v>
      </c>
      <c r="P64" s="17">
        <f t="shared" si="19"/>
        <v>677.08333333333337</v>
      </c>
      <c r="R64" s="53"/>
      <c r="S64" s="172"/>
      <c r="AA64" s="61"/>
    </row>
    <row r="65" spans="2:27">
      <c r="B65" s="8" t="s">
        <v>1</v>
      </c>
      <c r="C65" s="9">
        <v>1.8333333333333333</v>
      </c>
      <c r="L65" s="83" t="s">
        <v>151</v>
      </c>
      <c r="M65" s="120">
        <v>5</v>
      </c>
      <c r="N65" s="25">
        <v>33.26</v>
      </c>
      <c r="O65" s="17">
        <f t="shared" si="18"/>
        <v>166.29999999999998</v>
      </c>
      <c r="P65" s="17">
        <f>(O65/12)+0.00083</f>
        <v>13.859163333333333</v>
      </c>
      <c r="AA65" s="61"/>
    </row>
    <row r="66" spans="2:27">
      <c r="B66" s="8" t="s">
        <v>7</v>
      </c>
      <c r="C66" s="9">
        <f>C65*5</f>
        <v>9.1666666666666661</v>
      </c>
      <c r="L66" s="60" t="s">
        <v>188</v>
      </c>
      <c r="M66" s="6"/>
      <c r="N66" s="35">
        <f>SUM(N63:N65)</f>
        <v>1688.25</v>
      </c>
      <c r="O66" s="35">
        <f>SUM(O63:O65)</f>
        <v>8561.2099999999991</v>
      </c>
      <c r="P66" s="171">
        <f>SUM(P63:P65)</f>
        <v>713.43499666666662</v>
      </c>
      <c r="AA66" s="61"/>
    </row>
    <row r="67" spans="2:27">
      <c r="B67" s="2" t="s">
        <v>71</v>
      </c>
      <c r="C67" s="3">
        <f>1966.73</f>
        <v>1966.73</v>
      </c>
      <c r="O67" s="60" t="s">
        <v>201</v>
      </c>
      <c r="P67" s="64">
        <f>P66/(C64+C37+C11)</f>
        <v>54.879615128205124</v>
      </c>
      <c r="R67" s="53"/>
      <c r="AA67" s="61"/>
    </row>
    <row r="68" spans="2:27">
      <c r="B68" s="8" t="s">
        <v>136</v>
      </c>
      <c r="C68" s="10">
        <f>C67/220*220</f>
        <v>1966.7299999999998</v>
      </c>
      <c r="L68" s="41"/>
      <c r="M68" s="41"/>
      <c r="N68" s="41"/>
      <c r="O68" s="41"/>
      <c r="P68" s="172"/>
      <c r="AA68" s="61"/>
    </row>
    <row r="69" spans="2:27">
      <c r="B69" s="8" t="s">
        <v>326</v>
      </c>
      <c r="C69" s="160">
        <v>0.4</v>
      </c>
      <c r="L69" s="12"/>
      <c r="M69" s="12"/>
      <c r="N69" s="12"/>
      <c r="O69" s="12"/>
      <c r="P69" s="12"/>
      <c r="AA69" s="61"/>
    </row>
    <row r="70" spans="2:27">
      <c r="B70" s="8" t="s">
        <v>325</v>
      </c>
      <c r="C70" s="10">
        <f>C67*C69</f>
        <v>786.69200000000001</v>
      </c>
      <c r="L70" s="152"/>
      <c r="M70" s="152"/>
      <c r="N70" s="152"/>
      <c r="O70" s="152"/>
      <c r="P70" s="109"/>
      <c r="AA70" s="61"/>
    </row>
    <row r="71" spans="2:27">
      <c r="B71" s="2" t="s">
        <v>3</v>
      </c>
      <c r="C71" s="4">
        <v>0</v>
      </c>
      <c r="L71" s="106"/>
      <c r="M71" s="106"/>
      <c r="N71" s="106"/>
      <c r="O71" s="106"/>
      <c r="P71" s="106"/>
      <c r="AA71" s="61"/>
    </row>
    <row r="72" spans="2:27">
      <c r="B72" s="8" t="s">
        <v>4</v>
      </c>
      <c r="C72" s="11">
        <f>1736.16*C71</f>
        <v>0</v>
      </c>
      <c r="L72" s="111"/>
      <c r="M72" s="111"/>
      <c r="N72" s="111"/>
      <c r="O72" s="111"/>
      <c r="P72" s="111"/>
      <c r="AA72" s="61"/>
    </row>
    <row r="73" spans="2:27">
      <c r="B73" s="2" t="s">
        <v>8</v>
      </c>
      <c r="C73" s="5">
        <v>27.15</v>
      </c>
      <c r="L73" s="150"/>
      <c r="M73" s="149"/>
      <c r="N73" s="61"/>
      <c r="O73" s="147"/>
      <c r="P73" s="147"/>
      <c r="AA73" s="61"/>
    </row>
    <row r="74" spans="2:27">
      <c r="B74" s="2" t="s">
        <v>9</v>
      </c>
      <c r="C74" s="5">
        <f>C73*21</f>
        <v>570.15</v>
      </c>
      <c r="L74" s="150"/>
      <c r="M74" s="149"/>
      <c r="N74" s="61"/>
      <c r="O74" s="147"/>
      <c r="P74" s="147"/>
      <c r="AA74" s="61"/>
    </row>
    <row r="75" spans="2:27">
      <c r="B75" s="2" t="s">
        <v>13</v>
      </c>
      <c r="C75" s="5">
        <f>-C74*19%</f>
        <v>-108.32849999999999</v>
      </c>
      <c r="L75" s="150"/>
      <c r="M75" s="149"/>
      <c r="N75" s="61"/>
      <c r="O75" s="147"/>
      <c r="P75" s="147"/>
      <c r="AA75" s="61"/>
    </row>
    <row r="76" spans="2:27">
      <c r="B76" s="8" t="s">
        <v>16</v>
      </c>
      <c r="C76" s="11">
        <f>C74+C75</f>
        <v>461.82150000000001</v>
      </c>
      <c r="L76" s="150"/>
      <c r="M76" s="149"/>
      <c r="N76" s="61"/>
      <c r="O76" s="147"/>
      <c r="P76" s="147"/>
      <c r="AA76" s="61"/>
    </row>
    <row r="77" spans="2:27">
      <c r="B77" s="8" t="s">
        <v>18</v>
      </c>
      <c r="C77" s="11">
        <v>25.52</v>
      </c>
      <c r="L77" s="150"/>
      <c r="M77" s="149"/>
      <c r="N77" s="61"/>
      <c r="O77" s="147"/>
      <c r="P77" s="147"/>
      <c r="AA77" s="61"/>
    </row>
    <row r="78" spans="2:27" ht="15">
      <c r="B78" s="8" t="s">
        <v>261</v>
      </c>
      <c r="C78" s="11">
        <v>80</v>
      </c>
      <c r="L78" s="151"/>
      <c r="M78" s="149"/>
      <c r="N78" s="61"/>
      <c r="O78" s="147"/>
      <c r="P78" s="147"/>
      <c r="AA78" s="61"/>
    </row>
    <row r="79" spans="2:27">
      <c r="B79" s="2" t="s">
        <v>93</v>
      </c>
      <c r="C79" s="18">
        <f>$Z$27</f>
        <v>0.72710615555555558</v>
      </c>
      <c r="L79" s="150"/>
      <c r="M79" s="149"/>
      <c r="N79" s="61"/>
      <c r="O79" s="147"/>
      <c r="P79" s="147"/>
      <c r="AA79" s="61"/>
    </row>
    <row r="80" spans="2:27">
      <c r="B80" s="8" t="s">
        <v>94</v>
      </c>
      <c r="C80" s="11">
        <f>((C68+C70)+C72)*C79</f>
        <v>2002.0300850420886</v>
      </c>
      <c r="L80" s="150"/>
      <c r="M80" s="149"/>
      <c r="N80" s="61"/>
      <c r="O80" s="147"/>
      <c r="P80" s="147"/>
    </row>
    <row r="81" spans="2:16">
      <c r="B81" s="6" t="s">
        <v>86</v>
      </c>
      <c r="C81" s="35">
        <f>C68+C72+C76+C77+C80+C78+C70</f>
        <v>5322.7935850420881</v>
      </c>
      <c r="L81" s="109"/>
      <c r="M81" s="149"/>
      <c r="N81" s="61"/>
      <c r="O81" s="147"/>
      <c r="P81" s="147"/>
    </row>
    <row r="82" spans="2:16">
      <c r="B82" s="1" t="s">
        <v>10</v>
      </c>
      <c r="L82" s="128"/>
      <c r="M82" s="111"/>
      <c r="N82" s="148"/>
      <c r="O82" s="148"/>
      <c r="P82" s="148"/>
    </row>
  </sheetData>
  <mergeCells count="56">
    <mergeCell ref="AB27:AG27"/>
    <mergeCell ref="AD4:AJ4"/>
    <mergeCell ref="AB4:AB5"/>
    <mergeCell ref="AC4:AC5"/>
    <mergeCell ref="G18:G19"/>
    <mergeCell ref="H18:H19"/>
    <mergeCell ref="I18:I19"/>
    <mergeCell ref="G11:I11"/>
    <mergeCell ref="G15:J15"/>
    <mergeCell ref="J18:J19"/>
    <mergeCell ref="G22:I22"/>
    <mergeCell ref="B5:C6"/>
    <mergeCell ref="L4:P5"/>
    <mergeCell ref="L7:O7"/>
    <mergeCell ref="L8:P8"/>
    <mergeCell ref="B9:C9"/>
    <mergeCell ref="B8:C8"/>
    <mergeCell ref="G8:J8"/>
    <mergeCell ref="AB3:AJ3"/>
    <mergeCell ref="X14:Y14"/>
    <mergeCell ref="G5:J6"/>
    <mergeCell ref="S6:S8"/>
    <mergeCell ref="T6:T8"/>
    <mergeCell ref="R11:S11"/>
    <mergeCell ref="X1:Z1"/>
    <mergeCell ref="B2:C2"/>
    <mergeCell ref="R1:U1"/>
    <mergeCell ref="L2:P2"/>
    <mergeCell ref="B4:C4"/>
    <mergeCell ref="X4:Z4"/>
    <mergeCell ref="G3:K3"/>
    <mergeCell ref="X2:Z2"/>
    <mergeCell ref="R4:V4"/>
    <mergeCell ref="Y53:Z53"/>
    <mergeCell ref="Y33:Z33"/>
    <mergeCell ref="R6:R8"/>
    <mergeCell ref="V6:V8"/>
    <mergeCell ref="L46:P46"/>
    <mergeCell ref="L29:O29"/>
    <mergeCell ref="L30:P30"/>
    <mergeCell ref="U6:U8"/>
    <mergeCell ref="Y48:Z48"/>
    <mergeCell ref="X19:Y19"/>
    <mergeCell ref="R48:S48"/>
    <mergeCell ref="R17:V17"/>
    <mergeCell ref="R36:S36"/>
    <mergeCell ref="Y30:Z30"/>
    <mergeCell ref="X26:Y26"/>
    <mergeCell ref="X27:Y27"/>
    <mergeCell ref="B34:C34"/>
    <mergeCell ref="B35:C35"/>
    <mergeCell ref="B61:C61"/>
    <mergeCell ref="R42:U42"/>
    <mergeCell ref="B62:C62"/>
    <mergeCell ref="L61:P61"/>
    <mergeCell ref="L60:O60"/>
  </mergeCells>
  <phoneticPr fontId="5" type="noConversion"/>
  <pageMargins left="0.11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97AEF-0929-4493-87A3-CD7B64DCA179}">
  <dimension ref="A4:C43"/>
  <sheetViews>
    <sheetView topLeftCell="A16" workbookViewId="0">
      <selection activeCell="C30" sqref="C30"/>
    </sheetView>
  </sheetViews>
  <sheetFormatPr defaultRowHeight="15"/>
  <cols>
    <col min="1" max="1" width="36.5703125" customWidth="1"/>
    <col min="2" max="2" width="13.42578125" customWidth="1"/>
    <col min="3" max="3" width="255.7109375" bestFit="1" customWidth="1"/>
  </cols>
  <sheetData>
    <row r="4" spans="1:3" ht="26.25">
      <c r="A4" s="90" t="s">
        <v>154</v>
      </c>
    </row>
    <row r="5" spans="1:3">
      <c r="A5" s="83" t="s">
        <v>153</v>
      </c>
      <c r="B5" s="85">
        <v>155</v>
      </c>
      <c r="C5" s="89" t="s">
        <v>155</v>
      </c>
    </row>
    <row r="6" spans="1:3">
      <c r="A6" s="83" t="s">
        <v>20</v>
      </c>
      <c r="B6" s="86">
        <v>120.65</v>
      </c>
      <c r="C6" s="89" t="s">
        <v>156</v>
      </c>
    </row>
    <row r="7" spans="1:3">
      <c r="A7" s="83" t="s">
        <v>138</v>
      </c>
      <c r="B7" s="86">
        <v>35</v>
      </c>
      <c r="C7" s="89" t="s">
        <v>157</v>
      </c>
    </row>
    <row r="8" spans="1:3">
      <c r="A8" s="83" t="s">
        <v>139</v>
      </c>
      <c r="B8" s="86">
        <v>48.3</v>
      </c>
      <c r="C8" s="89" t="s">
        <v>158</v>
      </c>
    </row>
    <row r="9" spans="1:3">
      <c r="A9" s="83" t="s">
        <v>145</v>
      </c>
      <c r="B9" s="86">
        <v>151.9</v>
      </c>
      <c r="C9" s="89" t="s">
        <v>170</v>
      </c>
    </row>
    <row r="10" spans="1:3">
      <c r="A10" s="83" t="s">
        <v>140</v>
      </c>
      <c r="B10" s="86">
        <f>31.25/3</f>
        <v>10.416666666666666</v>
      </c>
      <c r="C10" s="89" t="s">
        <v>161</v>
      </c>
    </row>
    <row r="11" spans="1:3">
      <c r="A11" s="68" t="s">
        <v>141</v>
      </c>
      <c r="B11" s="87">
        <v>37.9</v>
      </c>
      <c r="C11" s="89" t="s">
        <v>162</v>
      </c>
    </row>
    <row r="12" spans="1:3">
      <c r="A12" s="83" t="s">
        <v>142</v>
      </c>
      <c r="B12" s="86">
        <v>25.9</v>
      </c>
      <c r="C12" s="89" t="s">
        <v>163</v>
      </c>
    </row>
    <row r="13" spans="1:3">
      <c r="A13" s="84" t="s">
        <v>146</v>
      </c>
      <c r="B13" s="88">
        <v>6.55</v>
      </c>
      <c r="C13" s="89" t="s">
        <v>159</v>
      </c>
    </row>
    <row r="14" spans="1:3">
      <c r="A14" s="83" t="s">
        <v>143</v>
      </c>
      <c r="B14" s="86">
        <v>4.2699999999999996</v>
      </c>
      <c r="C14" s="89" t="s">
        <v>164</v>
      </c>
    </row>
    <row r="15" spans="1:3">
      <c r="A15" s="83" t="s">
        <v>165</v>
      </c>
      <c r="B15" s="86">
        <v>22.04</v>
      </c>
      <c r="C15" s="89" t="s">
        <v>166</v>
      </c>
    </row>
    <row r="16" spans="1:3">
      <c r="A16" s="2" t="s">
        <v>147</v>
      </c>
      <c r="B16" s="15">
        <v>31.25</v>
      </c>
      <c r="C16" s="89" t="s">
        <v>167</v>
      </c>
    </row>
    <row r="17" spans="1:3">
      <c r="A17" s="2" t="s">
        <v>168</v>
      </c>
      <c r="B17" s="15">
        <v>46.68</v>
      </c>
      <c r="C17" s="89" t="s">
        <v>169</v>
      </c>
    </row>
    <row r="18" spans="1:3">
      <c r="A18" s="89" t="s">
        <v>172</v>
      </c>
      <c r="B18" s="91">
        <v>34</v>
      </c>
      <c r="C18" s="89" t="s">
        <v>171</v>
      </c>
    </row>
    <row r="19" spans="1:3">
      <c r="A19" s="89" t="s">
        <v>173</v>
      </c>
      <c r="B19" s="91">
        <v>94.15</v>
      </c>
      <c r="C19" s="89" t="s">
        <v>174</v>
      </c>
    </row>
    <row r="20" spans="1:3">
      <c r="A20" s="2" t="s">
        <v>177</v>
      </c>
      <c r="B20" s="91">
        <v>31.25</v>
      </c>
      <c r="C20" s="89" t="s">
        <v>176</v>
      </c>
    </row>
    <row r="21" spans="1:3">
      <c r="A21" s="2" t="s">
        <v>189</v>
      </c>
      <c r="B21" s="91">
        <v>100</v>
      </c>
      <c r="C21" s="89"/>
    </row>
    <row r="22" spans="1:3">
      <c r="B22" s="192"/>
    </row>
    <row r="23" spans="1:3" ht="26.25">
      <c r="A23" s="90" t="s">
        <v>179</v>
      </c>
    </row>
    <row r="24" spans="1:3">
      <c r="A24" s="89" t="str">
        <f>'Detalhamento do cálculo'!L63</f>
        <v>Cones de sinalização</v>
      </c>
      <c r="B24" s="95">
        <v>29.99</v>
      </c>
      <c r="C24" s="89" t="s">
        <v>178</v>
      </c>
    </row>
    <row r="25" spans="1:3">
      <c r="A25" s="89" t="str">
        <f>'Detalhamento do cálculo'!L64</f>
        <v>Rede de proteção</v>
      </c>
      <c r="B25" s="91">
        <v>1625</v>
      </c>
      <c r="C25" s="89" t="s">
        <v>180</v>
      </c>
    </row>
    <row r="26" spans="1:3">
      <c r="A26" s="89" t="str">
        <f>'Detalhamento do cálculo'!L65</f>
        <v>Fita de isolamento</v>
      </c>
      <c r="B26" s="91">
        <v>33.26</v>
      </c>
      <c r="C26" s="89" t="s">
        <v>181</v>
      </c>
    </row>
    <row r="28" spans="1:3" ht="26.25">
      <c r="A28" s="90" t="s">
        <v>190</v>
      </c>
    </row>
    <row r="29" spans="1:3">
      <c r="A29" s="96" t="s">
        <v>187</v>
      </c>
      <c r="B29" s="91">
        <v>3100</v>
      </c>
      <c r="C29" s="102"/>
    </row>
    <row r="30" spans="1:3">
      <c r="A30" s="96" t="s">
        <v>129</v>
      </c>
      <c r="B30" s="91">
        <v>2340.5</v>
      </c>
      <c r="C30" s="89"/>
    </row>
    <row r="31" spans="1:3">
      <c r="A31" s="96" t="s">
        <v>130</v>
      </c>
      <c r="B31" s="91">
        <v>87.9</v>
      </c>
      <c r="C31" s="89" t="s">
        <v>193</v>
      </c>
    </row>
    <row r="32" spans="1:3">
      <c r="A32" s="96" t="s">
        <v>133</v>
      </c>
      <c r="B32" s="91">
        <v>30.99</v>
      </c>
      <c r="C32" s="89" t="s">
        <v>194</v>
      </c>
    </row>
    <row r="33" spans="1:3">
      <c r="A33" s="96" t="s">
        <v>128</v>
      </c>
      <c r="B33" s="91">
        <v>33.99</v>
      </c>
      <c r="C33" s="89" t="s">
        <v>195</v>
      </c>
    </row>
    <row r="34" spans="1:3">
      <c r="A34" s="96" t="s">
        <v>131</v>
      </c>
      <c r="B34" s="91">
        <f>43.9/100</f>
        <v>0.439</v>
      </c>
      <c r="C34" s="102" t="s">
        <v>197</v>
      </c>
    </row>
    <row r="35" spans="1:3">
      <c r="A35" s="96" t="s">
        <v>132</v>
      </c>
      <c r="B35" s="91">
        <v>48.99</v>
      </c>
      <c r="C35" s="89" t="s">
        <v>196</v>
      </c>
    </row>
    <row r="36" spans="1:3">
      <c r="A36" s="96" t="s">
        <v>191</v>
      </c>
      <c r="B36" s="91">
        <v>71.900000000000006</v>
      </c>
      <c r="C36" s="89" t="s">
        <v>192</v>
      </c>
    </row>
    <row r="37" spans="1:3">
      <c r="A37" s="96" t="s">
        <v>134</v>
      </c>
      <c r="B37" s="91">
        <v>177.69</v>
      </c>
      <c r="C37" s="89" t="s">
        <v>198</v>
      </c>
    </row>
    <row r="38" spans="1:3">
      <c r="A38" s="96" t="s">
        <v>184</v>
      </c>
      <c r="B38" s="91">
        <v>57.76</v>
      </c>
      <c r="C38" s="89" t="s">
        <v>199</v>
      </c>
    </row>
    <row r="39" spans="1:3">
      <c r="A39" s="96" t="s">
        <v>221</v>
      </c>
      <c r="B39" s="91">
        <v>44.88</v>
      </c>
      <c r="C39" s="89" t="s">
        <v>223</v>
      </c>
    </row>
    <row r="40" spans="1:3">
      <c r="A40" s="96" t="s">
        <v>225</v>
      </c>
      <c r="B40" s="91">
        <v>154</v>
      </c>
      <c r="C40" s="89" t="s">
        <v>224</v>
      </c>
    </row>
    <row r="41" spans="1:3">
      <c r="A41" s="96" t="s">
        <v>222</v>
      </c>
      <c r="B41" s="91">
        <v>5.89</v>
      </c>
      <c r="C41" s="102" t="s">
        <v>328</v>
      </c>
    </row>
    <row r="42" spans="1:3">
      <c r="A42" s="96" t="s">
        <v>227</v>
      </c>
      <c r="B42" s="89">
        <v>42.53</v>
      </c>
      <c r="C42" s="89" t="s">
        <v>226</v>
      </c>
    </row>
    <row r="43" spans="1:3">
      <c r="A43" s="96" t="s">
        <v>229</v>
      </c>
      <c r="B43" s="89"/>
      <c r="C43" s="102" t="s">
        <v>228</v>
      </c>
    </row>
  </sheetData>
  <hyperlinks>
    <hyperlink ref="C34" r:id="rId1" xr:uid="{13798FBA-B630-4BF1-8BF8-7F6FB2E7B0BF}"/>
    <hyperlink ref="C43" r:id="rId2" xr:uid="{48FE2319-2DAD-4C18-89E2-41856046BA2D}"/>
    <hyperlink ref="C41" r:id="rId3" display="https://precos.petrobras.com.br/w/gasolina/rs" xr:uid="{A5C210D3-649F-4242-A2DF-2844230AE8FD}"/>
  </hyperlinks>
  <pageMargins left="0.511811024" right="0.511811024" top="0.78740157499999996" bottom="0.78740157499999996" header="0.31496062000000002" footer="0.31496062000000002"/>
  <pageSetup paperSize="9" orientation="portrait" r:id="rId4"/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27D3C-E084-4B40-B9BB-1C47E7C61710}">
  <dimension ref="A2:C9"/>
  <sheetViews>
    <sheetView workbookViewId="0">
      <selection activeCell="B10" sqref="B10"/>
    </sheetView>
  </sheetViews>
  <sheetFormatPr defaultRowHeight="15"/>
  <cols>
    <col min="1" max="1" width="34.28515625" bestFit="1" customWidth="1"/>
    <col min="2" max="2" width="12.140625" bestFit="1" customWidth="1"/>
    <col min="3" max="3" width="31.140625" bestFit="1" customWidth="1"/>
  </cols>
  <sheetData>
    <row r="2" spans="1:3">
      <c r="A2" s="143" t="s">
        <v>245</v>
      </c>
      <c r="B2" s="143" t="s">
        <v>24</v>
      </c>
      <c r="C2" s="143" t="s">
        <v>246</v>
      </c>
    </row>
    <row r="3" spans="1:3">
      <c r="A3" t="s">
        <v>247</v>
      </c>
      <c r="B3" s="145">
        <f>('Detalhamento do cálculo'!C81+'Detalhamento do cálculo'!S12+'Detalhamento do cálculo'!P57)/12/100/100</f>
        <v>5.1655612930906286E-2</v>
      </c>
      <c r="C3" s="144" t="s">
        <v>248</v>
      </c>
    </row>
    <row r="4" spans="1:3">
      <c r="A4" t="s">
        <v>249</v>
      </c>
      <c r="B4" s="146">
        <v>0.01</v>
      </c>
      <c r="C4" t="s">
        <v>250</v>
      </c>
    </row>
    <row r="5" spans="1:3">
      <c r="A5" t="s">
        <v>251</v>
      </c>
      <c r="B5" s="146">
        <f>'Detalhamento do cálculo'!Z7</f>
        <v>0.03</v>
      </c>
      <c r="C5" t="s">
        <v>252</v>
      </c>
    </row>
    <row r="6" spans="1:3">
      <c r="A6" t="s">
        <v>83</v>
      </c>
      <c r="B6" s="146">
        <f>'Detalhamento do cálculo'!Z41</f>
        <v>0.14999989999999999</v>
      </c>
      <c r="C6" t="s">
        <v>253</v>
      </c>
    </row>
    <row r="7" spans="1:3">
      <c r="A7" t="s">
        <v>254</v>
      </c>
      <c r="B7" s="146">
        <f>SUM(B3:B6)</f>
        <v>0.24165551293090629</v>
      </c>
      <c r="C7" t="s">
        <v>255</v>
      </c>
    </row>
    <row r="8" spans="1:3">
      <c r="A8" t="s">
        <v>256</v>
      </c>
      <c r="B8" s="146">
        <f>'Detalhamento do cálculo'!Z35+'Detalhamento do cálculo'!Z36+'Detalhamento do cálculo'!Z37+'Detalhamento do cálculo'!Z38+'Detalhamento do cálculo'!Z40</f>
        <v>0.14330000000000001</v>
      </c>
      <c r="C8" t="s">
        <v>257</v>
      </c>
    </row>
    <row r="9" spans="1:3">
      <c r="A9" t="s">
        <v>258</v>
      </c>
      <c r="B9" s="146">
        <f>B8+B7</f>
        <v>0.3849555129309063</v>
      </c>
      <c r="C9" t="s">
        <v>259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522A8-000D-4D8F-8C9C-A20851A63506}">
  <sheetPr>
    <pageSetUpPr fitToPage="1"/>
  </sheetPr>
  <dimension ref="A1:AM79"/>
  <sheetViews>
    <sheetView topLeftCell="A34" zoomScale="57" zoomScaleNormal="57" workbookViewId="0">
      <selection sqref="A1:XFD1"/>
    </sheetView>
  </sheetViews>
  <sheetFormatPr defaultRowHeight="15"/>
  <cols>
    <col min="1" max="1" width="9.140625" style="155"/>
  </cols>
  <sheetData>
    <row r="1" spans="1:1" ht="15.75">
      <c r="A1" s="153"/>
    </row>
    <row r="2" spans="1:1" ht="15.75">
      <c r="A2" s="153" t="s">
        <v>265</v>
      </c>
    </row>
    <row r="3" spans="1:1" ht="15.75">
      <c r="A3" s="153"/>
    </row>
    <row r="4" spans="1:1">
      <c r="A4" s="154" t="s">
        <v>266</v>
      </c>
    </row>
    <row r="5" spans="1:1">
      <c r="A5" s="154" t="s">
        <v>264</v>
      </c>
    </row>
    <row r="6" spans="1:1">
      <c r="A6" s="154" t="s">
        <v>267</v>
      </c>
    </row>
    <row r="7" spans="1:1">
      <c r="A7" s="154" t="s">
        <v>268</v>
      </c>
    </row>
    <row r="8" spans="1:1">
      <c r="A8" s="154" t="s">
        <v>269</v>
      </c>
    </row>
    <row r="9" spans="1:1" ht="15.75">
      <c r="A9" s="153"/>
    </row>
    <row r="10" spans="1:1" ht="15.75">
      <c r="A10" s="153" t="s">
        <v>283</v>
      </c>
    </row>
    <row r="11" spans="1:1" ht="15.75">
      <c r="A11" s="153"/>
    </row>
    <row r="12" spans="1:1">
      <c r="A12" s="154" t="s">
        <v>270</v>
      </c>
    </row>
    <row r="13" spans="1:1">
      <c r="A13" s="154"/>
    </row>
    <row r="14" spans="1:1">
      <c r="A14" s="157" t="s">
        <v>284</v>
      </c>
    </row>
    <row r="15" spans="1:1">
      <c r="A15" s="154" t="s">
        <v>271</v>
      </c>
    </row>
    <row r="16" spans="1:1">
      <c r="A16" s="154" t="s">
        <v>272</v>
      </c>
    </row>
    <row r="17" spans="1:39">
      <c r="A17" s="154" t="s">
        <v>273</v>
      </c>
    </row>
    <row r="18" spans="1:39">
      <c r="A18" s="154" t="s">
        <v>285</v>
      </c>
    </row>
    <row r="19" spans="1:39">
      <c r="A19" s="154" t="s">
        <v>274</v>
      </c>
    </row>
    <row r="20" spans="1:39">
      <c r="A20" s="154" t="s">
        <v>286</v>
      </c>
    </row>
    <row r="21" spans="1:39">
      <c r="A21" s="154" t="s">
        <v>275</v>
      </c>
    </row>
    <row r="22" spans="1:39">
      <c r="A22" s="154" t="s">
        <v>287</v>
      </c>
    </row>
    <row r="23" spans="1:39">
      <c r="A23" s="158" t="s">
        <v>276</v>
      </c>
    </row>
    <row r="24" spans="1:39">
      <c r="A24" s="154" t="s">
        <v>288</v>
      </c>
    </row>
    <row r="25" spans="1:39">
      <c r="A25" s="154" t="s">
        <v>277</v>
      </c>
      <c r="B25" s="156"/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  <c r="V25" s="156"/>
      <c r="W25" s="156"/>
      <c r="X25" s="156"/>
      <c r="Y25" s="156"/>
      <c r="Z25" s="156"/>
      <c r="AA25" s="156"/>
      <c r="AB25" s="156"/>
      <c r="AC25" s="156"/>
      <c r="AD25" s="156"/>
      <c r="AE25" s="156"/>
      <c r="AF25" s="156"/>
      <c r="AG25" s="156"/>
      <c r="AH25" s="156"/>
      <c r="AI25" s="156"/>
      <c r="AJ25" s="156"/>
      <c r="AK25" s="156"/>
      <c r="AL25" s="156"/>
      <c r="AM25" s="156"/>
    </row>
    <row r="26" spans="1:39">
      <c r="A26" s="154" t="s">
        <v>289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6"/>
      <c r="T26" s="156"/>
      <c r="U26" s="156"/>
      <c r="V26" s="156"/>
      <c r="W26" s="156"/>
      <c r="X26" s="156"/>
      <c r="Y26" s="156"/>
      <c r="Z26" s="156"/>
      <c r="AA26" s="156"/>
      <c r="AB26" s="156"/>
      <c r="AC26" s="156"/>
      <c r="AD26" s="156"/>
      <c r="AE26" s="156"/>
      <c r="AF26" s="156"/>
      <c r="AG26" s="156"/>
      <c r="AH26" s="156"/>
      <c r="AI26" s="156"/>
      <c r="AJ26" s="156"/>
      <c r="AK26" s="156"/>
      <c r="AL26" s="156"/>
      <c r="AM26" s="156"/>
    </row>
    <row r="27" spans="1:39" ht="37.5" customHeight="1">
      <c r="A27" s="154" t="s">
        <v>278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</row>
    <row r="28" spans="1:39">
      <c r="A28" s="154"/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6"/>
      <c r="W28" s="156"/>
      <c r="X28" s="156"/>
      <c r="Y28" s="156"/>
      <c r="Z28" s="156"/>
      <c r="AA28" s="156"/>
      <c r="AB28" s="156"/>
      <c r="AC28" s="156"/>
      <c r="AD28" s="156"/>
      <c r="AE28" s="156"/>
      <c r="AF28" s="156"/>
      <c r="AG28" s="156"/>
      <c r="AH28" s="156"/>
      <c r="AI28" s="156"/>
      <c r="AJ28" s="156"/>
      <c r="AK28" s="156"/>
      <c r="AL28" s="156"/>
      <c r="AM28" s="156"/>
    </row>
    <row r="29" spans="1:39" ht="15.75">
      <c r="A29" s="153" t="s">
        <v>290</v>
      </c>
    </row>
    <row r="30" spans="1:39">
      <c r="A30" s="154"/>
    </row>
    <row r="31" spans="1:39">
      <c r="A31" s="154" t="s">
        <v>279</v>
      </c>
    </row>
    <row r="32" spans="1:39">
      <c r="A32" s="154"/>
    </row>
    <row r="33" spans="1:33">
      <c r="A33" s="154" t="s">
        <v>291</v>
      </c>
    </row>
    <row r="34" spans="1:33">
      <c r="A34" s="154" t="s">
        <v>280</v>
      </c>
    </row>
    <row r="35" spans="1:33">
      <c r="A35" s="159"/>
    </row>
    <row r="36" spans="1:33">
      <c r="A36" s="154" t="s">
        <v>292</v>
      </c>
    </row>
    <row r="37" spans="1:33" ht="37.5" customHeight="1">
      <c r="A37" s="154" t="s">
        <v>281</v>
      </c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61"/>
      <c r="AE37" s="161"/>
      <c r="AF37" s="161"/>
      <c r="AG37" s="161"/>
    </row>
    <row r="38" spans="1:33">
      <c r="A38" s="154" t="s">
        <v>293</v>
      </c>
    </row>
    <row r="39" spans="1:33">
      <c r="A39" s="154" t="s">
        <v>282</v>
      </c>
    </row>
    <row r="40" spans="1:33">
      <c r="A40" s="154" t="s">
        <v>294</v>
      </c>
    </row>
    <row r="41" spans="1:33">
      <c r="A41" s="154" t="s">
        <v>295</v>
      </c>
    </row>
    <row r="42" spans="1:33">
      <c r="A42" s="154"/>
    </row>
    <row r="43" spans="1:33" ht="15.75">
      <c r="A43" s="153" t="s">
        <v>296</v>
      </c>
    </row>
    <row r="44" spans="1:33">
      <c r="A44" s="154"/>
    </row>
    <row r="45" spans="1:33">
      <c r="A45" s="154" t="s">
        <v>297</v>
      </c>
    </row>
    <row r="46" spans="1:33">
      <c r="A46" s="154"/>
    </row>
    <row r="47" spans="1:33">
      <c r="A47" s="154" t="s">
        <v>298</v>
      </c>
    </row>
    <row r="48" spans="1:33">
      <c r="A48" s="154" t="s">
        <v>299</v>
      </c>
    </row>
    <row r="49" spans="1:1">
      <c r="A49" s="154" t="s">
        <v>300</v>
      </c>
    </row>
    <row r="50" spans="1:1">
      <c r="A50" s="154" t="s">
        <v>301</v>
      </c>
    </row>
    <row r="51" spans="1:1">
      <c r="A51" s="154" t="s">
        <v>302</v>
      </c>
    </row>
    <row r="52" spans="1:1">
      <c r="A52" s="154" t="s">
        <v>303</v>
      </c>
    </row>
    <row r="53" spans="1:1">
      <c r="A53" s="154"/>
    </row>
    <row r="54" spans="1:1" ht="15.75">
      <c r="A54" s="153" t="s">
        <v>304</v>
      </c>
    </row>
    <row r="55" spans="1:1">
      <c r="A55" s="154" t="s">
        <v>305</v>
      </c>
    </row>
    <row r="56" spans="1:1">
      <c r="A56" s="154" t="s">
        <v>306</v>
      </c>
    </row>
    <row r="57" spans="1:1">
      <c r="A57" s="154" t="s">
        <v>307</v>
      </c>
    </row>
    <row r="58" spans="1:1">
      <c r="A58" s="154" t="s">
        <v>308</v>
      </c>
    </row>
    <row r="59" spans="1:1">
      <c r="A59" s="154" t="s">
        <v>309</v>
      </c>
    </row>
    <row r="60" spans="1:1">
      <c r="A60" s="154" t="s">
        <v>310</v>
      </c>
    </row>
    <row r="61" spans="1:1">
      <c r="A61" s="154" t="s">
        <v>311</v>
      </c>
    </row>
    <row r="62" spans="1:1">
      <c r="A62" s="154" t="s">
        <v>312</v>
      </c>
    </row>
    <row r="63" spans="1:1">
      <c r="A63" s="154"/>
    </row>
    <row r="64" spans="1:1">
      <c r="A64" s="154"/>
    </row>
    <row r="65" spans="1:1" ht="15.75">
      <c r="A65" s="153" t="s">
        <v>313</v>
      </c>
    </row>
    <row r="66" spans="1:1">
      <c r="A66" s="154" t="s">
        <v>314</v>
      </c>
    </row>
    <row r="67" spans="1:1" ht="15.75">
      <c r="A67" s="153"/>
    </row>
    <row r="68" spans="1:1">
      <c r="A68" s="154" t="s">
        <v>315</v>
      </c>
    </row>
    <row r="69" spans="1:1">
      <c r="A69" s="154" t="s">
        <v>316</v>
      </c>
    </row>
    <row r="70" spans="1:1">
      <c r="A70" s="154" t="s">
        <v>317</v>
      </c>
    </row>
    <row r="71" spans="1:1">
      <c r="A71" s="154" t="s">
        <v>318</v>
      </c>
    </row>
    <row r="72" spans="1:1">
      <c r="A72" s="154" t="s">
        <v>319</v>
      </c>
    </row>
    <row r="73" spans="1:1">
      <c r="A73" s="154" t="s">
        <v>320</v>
      </c>
    </row>
    <row r="74" spans="1:1" ht="15.75">
      <c r="A74" s="153" t="s">
        <v>321</v>
      </c>
    </row>
    <row r="75" spans="1:1">
      <c r="A75" s="154" t="s">
        <v>322</v>
      </c>
    </row>
    <row r="76" spans="1:1">
      <c r="A76" s="154" t="s">
        <v>323</v>
      </c>
    </row>
    <row r="77" spans="1:1">
      <c r="A77" s="154" t="s">
        <v>324</v>
      </c>
    </row>
    <row r="78" spans="1:1" ht="15.75">
      <c r="A78" s="153"/>
    </row>
    <row r="79" spans="1:1">
      <c r="A79" s="154"/>
    </row>
  </sheetData>
  <hyperlinks>
    <hyperlink ref="A23" r:id="rId1" display="http://legislacao.planalto.gov.br/legisla/legislacao.nsf/Viw_Identificacao/lei 7.418-1985?OpenDocument" xr:uid="{38EB667D-9B28-4441-A2D8-9B7600A73D13}"/>
  </hyperlinks>
  <pageMargins left="0.511811024" right="0.511811024" top="0.78740157499999996" bottom="0.78740157499999996" header="0.31496062000000002" footer="0.31496062000000002"/>
  <pageSetup paperSize="9" scale="2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6</vt:i4>
      </vt:variant>
    </vt:vector>
  </HeadingPairs>
  <TitlesOfParts>
    <vt:vector size="11" baseType="lpstr">
      <vt:lpstr>Resumo</vt:lpstr>
      <vt:lpstr>Detalhamento do cálculo</vt:lpstr>
      <vt:lpstr>Documentos Base</vt:lpstr>
      <vt:lpstr>BDI</vt:lpstr>
      <vt:lpstr>Memória de Cálculo</vt:lpstr>
      <vt:lpstr>'Memória de Cálculo'!_bookmark26</vt:lpstr>
      <vt:lpstr>'Memória de Cálculo'!_Toc211873033</vt:lpstr>
      <vt:lpstr>'Memória de Cálculo'!_Toc211873034</vt:lpstr>
      <vt:lpstr>'Memória de Cálculo'!_Toc211873035</vt:lpstr>
      <vt:lpstr>'Memória de Cálculo'!_Toc211873036</vt:lpstr>
      <vt:lpstr>'Memória de Cálculo'!_Toc211873037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2026-10-02T14:26:08Z</cp:lastPrinted>
  <dcterms:created xsi:type="dcterms:W3CDTF">2025-07-08T12:55:45Z</dcterms:created>
  <dcterms:modified xsi:type="dcterms:W3CDTF">2026-10-02T18:54:10Z</dcterms:modified>
</cp:coreProperties>
</file>