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rita\Documents\Prefeituras\Nova Prata\Transporte Escolar 2026\Licita 2026\I\Planilhas\"/>
    </mc:Choice>
  </mc:AlternateContent>
  <xr:revisionPtr revIDLastSave="0" documentId="13_ncr:1_{8034C15A-631E-48D4-B5E6-80F09F468E91}" xr6:coauthVersionLast="36" xr6:coauthVersionMax="36" xr10:uidLastSave="{00000000-0000-0000-0000-000000000000}"/>
  <bookViews>
    <workbookView xWindow="0" yWindow="0" windowWidth="16380" windowHeight="8190" tabRatio="800" activeTab="1" xr2:uid="{00000000-000D-0000-FFFF-FFFF00000000}"/>
  </bookViews>
  <sheets>
    <sheet name="T. 3B Micro" sheetId="28" r:id="rId1"/>
    <sheet name="T. 6 Ônibus" sheetId="32" r:id="rId2"/>
    <sheet name="2.BDI" sheetId="25" r:id="rId3"/>
    <sheet name="1.Encargos Sociais" sheetId="24" r:id="rId4"/>
  </sheets>
  <externalReferences>
    <externalReference r:id="rId5"/>
  </externalReferences>
  <definedNames>
    <definedName name="_xlnm.Print_Area" localSheetId="3">'1.Encargos Sociais'!$A$1:$C$36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4" i="32" l="1"/>
  <c r="D14" i="28"/>
  <c r="B29" i="32" l="1"/>
  <c r="B30" i="32" s="1"/>
  <c r="B27" i="32" l="1"/>
  <c r="D20" i="32"/>
  <c r="D20" i="28"/>
  <c r="B27" i="28" l="1"/>
  <c r="D27" i="32" l="1"/>
  <c r="D32" i="32" s="1"/>
  <c r="D19" i="32"/>
  <c r="D22" i="32" s="1"/>
  <c r="B18" i="32"/>
  <c r="B20" i="32" s="1"/>
  <c r="B12" i="32"/>
  <c r="B13" i="32" s="1"/>
  <c r="B14" i="32" s="1"/>
  <c r="D11" i="32"/>
  <c r="D12" i="32" s="1"/>
  <c r="D32" i="28"/>
  <c r="D27" i="28"/>
  <c r="D19" i="28"/>
  <c r="D22" i="28" s="1"/>
  <c r="D25" i="28" s="1"/>
  <c r="B18" i="28"/>
  <c r="B20" i="28" s="1"/>
  <c r="B29" i="28"/>
  <c r="B30" i="28" s="1"/>
  <c r="B12" i="28"/>
  <c r="B13" i="28" s="1"/>
  <c r="B14" i="28" s="1"/>
  <c r="D11" i="28"/>
  <c r="D12" i="28" s="1"/>
  <c r="C13" i="25"/>
  <c r="C18" i="25" s="1"/>
  <c r="F11" i="25"/>
  <c r="E11" i="25"/>
  <c r="D11" i="25"/>
  <c r="C28" i="24"/>
  <c r="C27" i="24"/>
  <c r="C25" i="24"/>
  <c r="C24" i="24"/>
  <c r="C32" i="24" s="1"/>
  <c r="C21" i="24"/>
  <c r="C20" i="24"/>
  <c r="C19" i="24"/>
  <c r="C18" i="24"/>
  <c r="C17" i="24"/>
  <c r="C16" i="24"/>
  <c r="C22" i="24" s="1"/>
  <c r="C14" i="24"/>
  <c r="D25" i="32" l="1"/>
  <c r="D15" i="32"/>
  <c r="D33" i="32"/>
  <c r="B34" i="32"/>
  <c r="B34" i="28"/>
  <c r="D15" i="28"/>
  <c r="D33" i="28"/>
  <c r="C31" i="24"/>
  <c r="C33" i="24" s="1"/>
  <c r="C26" i="24"/>
  <c r="C29" i="24" s="1"/>
  <c r="D34" i="32" l="1"/>
  <c r="D35" i="32" s="1"/>
  <c r="D37" i="32" s="1"/>
  <c r="D34" i="28"/>
  <c r="D35" i="28" s="1"/>
  <c r="D37" i="28" s="1"/>
  <c r="C34" i="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0" authorId="0" shapeId="0" xr:uid="{657DE395-A94A-47DD-899E-9B62559F4CA2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Administração Central estimado
</t>
        </r>
      </text>
    </comment>
    <comment ref="C11" authorId="0" shapeId="0" xr:uid="{8DB2EAC2-8C8A-4B92-AF82-7BD263ECC1AD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Seguros, Riscos e Garantia estimado
</t>
        </r>
      </text>
    </comment>
    <comment ref="C12" authorId="0" shapeId="0" xr:uid="{53DA21EB-D2BB-454A-824A-67889D1756ED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Lucro estimado
</t>
        </r>
      </text>
    </comment>
    <comment ref="E13" authorId="0" shapeId="0" xr:uid="{E4FB8702-1A28-4B6D-B259-DBBA5E5F37A2}">
      <text>
        <r>
          <rPr>
            <b/>
            <sz val="9"/>
            <color rgb="FF000000"/>
            <rFont val="Tahoma"/>
            <family val="2"/>
            <charset val="1"/>
          </rPr>
          <t>Informar o valor anual da taxa financeira, em percentual. Admite-se utilizar a SELIC</t>
        </r>
      </text>
    </comment>
    <comment ref="C14" authorId="0" shapeId="0" xr:uid="{36B034D4-6108-4C6A-B96E-2B929AB2DE45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percentual de ISS, de acordo com a legislação tributária do município onde serão prestados os serviços. De 2% até o limite de 5%.
</t>
        </r>
      </text>
    </comment>
    <comment ref="E14" authorId="0" shapeId="0" xr:uid="{3A85F02F-7100-4439-A68A-E637001AEED0}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média de dias úteis entre data de pagamento prevista no contrato e a data final do período de adimplemento da parcela
</t>
        </r>
      </text>
    </comment>
    <comment ref="C15" authorId="0" shapeId="0" xr:uid="{0B48C2ED-CFD8-48AE-B933-E57905DE39E7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<sst xmlns="http://schemas.openxmlformats.org/spreadsheetml/2006/main" count="201" uniqueCount="145">
  <si>
    <t>Custos Variáveis</t>
  </si>
  <si>
    <t>Custos Fixos</t>
  </si>
  <si>
    <t>ÓLEO DIESEL</t>
  </si>
  <si>
    <t>CUSTOS DE CAPITAL E DEPRECIAÇÃO</t>
  </si>
  <si>
    <t>Preço Do Litro Óleo Diesel</t>
  </si>
  <si>
    <t>Valor Médio de venda Ônibus</t>
  </si>
  <si>
    <t>Média Consumida KM/Litro</t>
  </si>
  <si>
    <t>Valor da Depreciação anual %</t>
  </si>
  <si>
    <t>Valor da Depreciação anual R$</t>
  </si>
  <si>
    <t>Valor a Depreciar no mês</t>
  </si>
  <si>
    <t>ÓLEO LUBRIFICANTE</t>
  </si>
  <si>
    <t>Preço do Litro Lubrificante</t>
  </si>
  <si>
    <t>Custo da Depreciação por KM</t>
  </si>
  <si>
    <t>MOTORISTA</t>
  </si>
  <si>
    <t xml:space="preserve">Km Rodados com 1 Troca </t>
  </si>
  <si>
    <t xml:space="preserve">Motorista </t>
  </si>
  <si>
    <t>Custo do Lubrificante por KM</t>
  </si>
  <si>
    <t>PNEUS DE RODAGEM</t>
  </si>
  <si>
    <t>Qtd. Pneus Rodando</t>
  </si>
  <si>
    <t>Vida útil do Pneus por KM</t>
  </si>
  <si>
    <t>Custo Funcionário Mês</t>
  </si>
  <si>
    <t>Custo dos Pneus de rodagem Por KM</t>
  </si>
  <si>
    <t>MANUTENÇÃO DO VEÍCULO</t>
  </si>
  <si>
    <t>Custo de Manutenção por mês</t>
  </si>
  <si>
    <t>Custo do Motorista por KM</t>
  </si>
  <si>
    <t>Custo da Manutenção por KM</t>
  </si>
  <si>
    <t>IPVA – 1,0% sobre valor do veiculo</t>
  </si>
  <si>
    <t xml:space="preserve">Seguro Resp. Civil e Casco </t>
  </si>
  <si>
    <t>Laudos Detran/Inmetro</t>
  </si>
  <si>
    <t>DPVAT</t>
  </si>
  <si>
    <t>Totais dos custos</t>
  </si>
  <si>
    <t>Custo por Km</t>
  </si>
  <si>
    <t>Total dos Custos variáveis/Km</t>
  </si>
  <si>
    <t>Total dos Custos Fixos/Km</t>
  </si>
  <si>
    <t>Total dos Custos Variáveis + Custos Fixos</t>
  </si>
  <si>
    <t>Margem de Lucro e Impostos em Percentual</t>
  </si>
  <si>
    <t>Total a Pagar por Quilometro Rodado</t>
  </si>
  <si>
    <t>Observações/Considerações:</t>
  </si>
  <si>
    <t>Total na Troca – 16 Litros</t>
  </si>
  <si>
    <t>IPVA E Seguros - Laudo</t>
  </si>
  <si>
    <t>Encargos Sociais (66,63%)</t>
  </si>
  <si>
    <t>Total na Troca – 12 Litros</t>
  </si>
  <si>
    <t>Arla R$/Litro</t>
  </si>
  <si>
    <t>Consumo Arla (1000 km) 5% do Diesel</t>
  </si>
  <si>
    <t>Cutos com Arla</t>
  </si>
  <si>
    <t>Custo Oleo Diesel + Arla por KM</t>
  </si>
  <si>
    <t>Preço do Pneu utilizado (novo)</t>
  </si>
  <si>
    <t>Preço Recapagem</t>
  </si>
  <si>
    <t>Quantidade de Recapagens</t>
  </si>
  <si>
    <t>Monitoramento/Rastreabilidade</t>
  </si>
  <si>
    <t>Fator de Utilização da Mão de Obra</t>
  </si>
  <si>
    <t>Orientações para preenchimento:</t>
  </si>
  <si>
    <t>1. Preencha previamente os dados de entrada na planilha 3.CAGED</t>
  </si>
  <si>
    <t xml:space="preserve">1.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</si>
  <si>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</si>
  <si>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</si>
  <si>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</si>
  <si>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</si>
  <si>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</si>
  <si>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</si>
  <si>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</si>
  <si>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</si>
  <si>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</si>
  <si>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</si>
  <si>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</si>
  <si>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</si>
  <si>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</si>
  <si>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</si>
  <si>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</si>
  <si>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</si>
  <si>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</si>
  <si>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</si>
  <si>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</si>
  <si>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</si>
  <si>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</si>
  <si>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</si>
  <si>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</si>
  <si>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</si>
  <si>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</si>
  <si>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</si>
  <si>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</si>
  <si>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</si>
  <si>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</si>
  <si>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</si>
  <si>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</si>
  <si>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</si>
  <si>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</si>
  <si>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</si>
  <si>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</si>
  <si>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</si>
  <si>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</si>
  <si>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</si>
  <si>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</si>
  <si>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</si>
  <si>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</si>
  <si>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</si>
  <si>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</si>
  <si>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</si>
  <si>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</si>
  <si>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</si>
  <si>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</si>
  <si>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</si>
  <si>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</si>
  <si>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</si>
  <si>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</si>
  <si>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</si>
  <si>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</si>
  <si>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</si>
  <si>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</si>
  <si>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</si>
  <si>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>2.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</si>
  <si>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</si>
  <si>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</si>
  <si>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</si>
  <si>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</si>
  <si>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</si>
  <si>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</si>
  <si>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</si>
  <si>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</si>
  <si>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</si>
  <si>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</si>
  <si>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</si>
  <si>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</si>
  <si>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</si>
  <si>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</si>
  <si>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</si>
  <si>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</si>
  <si>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</si>
  <si>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</si>
  <si>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</si>
  <si>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</si>
  <si>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1 – Custo de capital/depreciação, apropriado 100% para o trajeto.</t>
  </si>
  <si>
    <t>2 - Custo com mão de obra apropriado através de fator de utilização, conforme aferições/medições de campo,</t>
  </si>
  <si>
    <t>sendo acrescido ao tempo de uso efetivo, duas horas diárias.</t>
  </si>
  <si>
    <t>MICRO ÔNIBUS - Capacidade Mínima Conforme Edital</t>
  </si>
  <si>
    <t>Cálculo de Custos do KM Rodado - Transporte Escolar</t>
  </si>
  <si>
    <t>ÓLEO DIESEL + Arla</t>
  </si>
  <si>
    <t>Km diária</t>
  </si>
  <si>
    <t>Trajeto 3B - Itinerário: Conforme Termo de Referência</t>
  </si>
  <si>
    <t>Trajeto 06 - Itinerário: Conforme Termo de Referência</t>
  </si>
  <si>
    <t>Vale Refeição (valor líquido 95% de R$ 39,00)</t>
  </si>
  <si>
    <t>Quilometragem Considerada/Dia = 85 Km, Para Fins de Cálculo do Custo Fixo</t>
  </si>
  <si>
    <t>Quilometragem Considerada/Dia = 100,67 Km, Para Fins de Cálculo do Custo Fixo</t>
  </si>
  <si>
    <t>Km média Percorrida no Mês - 20d/mês</t>
  </si>
  <si>
    <t xml:space="preserve"> ÔNIBUS - Capacidade Mínima Conforme Edital e Acessibilidade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</si>
</sst>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_-;\-* #,##0.00_-;_-* \-??_-;_-@_-"/>
    <numFmt numFmtId="165" formatCode="_-* #,##0.0000_-;\-* #,##0.0000_-;_-* \-??_-;_-@_-"/>
    <numFmt numFmtId="166" formatCode="_-* #,##0.0000_-;\-* #,##0.0000_-;_-* \-????_-;_-@_-"/>
    <numFmt numFmtId="167" formatCode="_ * #,##0.00_ ;_ * \-#,##0.00_ ;_ * \-????_ ;_ @_ "/>
    <numFmt numFmtId="168" formatCode="#,##0.0000_ ;\-#,##0.0000\ "/>
  </numFmts>
  <fonts count="28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0"/>
      <color rgb="FF00B050"/>
      <name val="Calibri"/>
      <family val="2"/>
      <charset val="1"/>
    </font>
    <font>
      <b/>
      <i/>
      <u/>
      <sz val="10"/>
      <color rgb="FFFF0000"/>
      <name val="Calibri"/>
      <family val="2"/>
      <charset val="1"/>
    </font>
    <font>
      <b/>
      <i/>
      <u/>
      <sz val="16"/>
      <color rgb="FFFF0000"/>
      <name val="Calibri"/>
      <family val="2"/>
      <charset val="1"/>
    </font>
    <font>
      <b/>
      <i/>
      <sz val="10"/>
      <color rgb="FFFF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i/>
      <u/>
      <sz val="10"/>
      <color rgb="FF00B050"/>
      <name val="Calibri"/>
      <family val="2"/>
      <charset val="1"/>
    </font>
    <font>
      <sz val="1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i/>
      <u/>
      <sz val="10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14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rgb="FF000000"/>
      <name val="Arial"/>
      <family val="2"/>
      <charset val="1"/>
    </font>
    <font>
      <u/>
      <sz val="10"/>
      <color rgb="FF0000FF"/>
      <name val="Arial"/>
      <family val="2"/>
      <charset val="1"/>
    </font>
    <font>
      <sz val="11"/>
      <name val="Arial"/>
      <family val="2"/>
      <charset val="1"/>
    </font>
    <font>
      <b/>
      <sz val="12"/>
      <name val="Arial"/>
      <family val="2"/>
      <charset val="1"/>
    </font>
    <font>
      <b/>
      <sz val="11"/>
      <name val="Arial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C0C0C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C0C0C0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EEECE1"/>
      </patternFill>
    </fill>
    <fill>
      <patternFill patternType="solid">
        <fgColor rgb="FFDDD9C3"/>
        <bgColor rgb="FFD9D9D9"/>
      </patternFill>
    </fill>
  </fills>
  <borders count="3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164" fontId="13" fillId="0" borderId="0" applyBorder="0" applyProtection="0"/>
    <xf numFmtId="0" fontId="14" fillId="0" borderId="0"/>
    <xf numFmtId="9" fontId="14" fillId="0" borderId="0" applyBorder="0" applyProtection="0"/>
    <xf numFmtId="0" fontId="22" fillId="0" borderId="0" applyBorder="0" applyProtection="0"/>
  </cellStyleXfs>
  <cellXfs count="143">
    <xf numFmtId="0" fontId="0" fillId="0" borderId="0" xfId="0"/>
    <xf numFmtId="0" fontId="1" fillId="0" borderId="0" xfId="0" applyFont="1"/>
    <xf numFmtId="0" fontId="5" fillId="0" borderId="4" xfId="0" applyFont="1" applyBorder="1"/>
    <xf numFmtId="0" fontId="1" fillId="0" borderId="0" xfId="0" applyFont="1" applyBorder="1"/>
    <xf numFmtId="0" fontId="6" fillId="0" borderId="5" xfId="0" applyFont="1" applyBorder="1"/>
    <xf numFmtId="0" fontId="1" fillId="0" borderId="6" xfId="0" applyFont="1" applyBorder="1"/>
    <xf numFmtId="0" fontId="7" fillId="0" borderId="4" xfId="0" applyFont="1" applyBorder="1"/>
    <xf numFmtId="0" fontId="7" fillId="0" borderId="7" xfId="0" applyFont="1" applyBorder="1"/>
    <xf numFmtId="0" fontId="1" fillId="0" borderId="8" xfId="0" applyFont="1" applyBorder="1"/>
    <xf numFmtId="0" fontId="1" fillId="0" borderId="4" xfId="0" applyFont="1" applyBorder="1"/>
    <xf numFmtId="164" fontId="1" fillId="0" borderId="0" xfId="1" applyFont="1" applyBorder="1" applyAlignment="1" applyProtection="1"/>
    <xf numFmtId="0" fontId="1" fillId="0" borderId="7" xfId="0" applyFont="1" applyBorder="1"/>
    <xf numFmtId="164" fontId="1" fillId="0" borderId="8" xfId="1" applyFont="1" applyBorder="1" applyAlignment="1" applyProtection="1"/>
    <xf numFmtId="164" fontId="1" fillId="0" borderId="0" xfId="0" applyNumberFormat="1" applyFont="1"/>
    <xf numFmtId="0" fontId="8" fillId="0" borderId="4" xfId="0" applyFont="1" applyBorder="1"/>
    <xf numFmtId="165" fontId="9" fillId="0" borderId="0" xfId="1" applyNumberFormat="1" applyFont="1" applyBorder="1" applyAlignment="1" applyProtection="1"/>
    <xf numFmtId="164" fontId="8" fillId="0" borderId="0" xfId="1" applyFont="1" applyBorder="1" applyAlignment="1" applyProtection="1"/>
    <xf numFmtId="164" fontId="10" fillId="0" borderId="9" xfId="1" applyFont="1" applyBorder="1" applyAlignment="1" applyProtection="1"/>
    <xf numFmtId="0" fontId="8" fillId="0" borderId="7" xfId="0" applyFont="1" applyBorder="1"/>
    <xf numFmtId="165" fontId="9" fillId="0" borderId="8" xfId="1" applyNumberFormat="1" applyFont="1" applyBorder="1" applyAlignment="1" applyProtection="1"/>
    <xf numFmtId="0" fontId="11" fillId="0" borderId="7" xfId="0" applyFont="1" applyBorder="1"/>
    <xf numFmtId="164" fontId="9" fillId="0" borderId="8" xfId="1" applyFont="1" applyBorder="1" applyAlignment="1" applyProtection="1"/>
    <xf numFmtId="164" fontId="1" fillId="0" borderId="9" xfId="1" applyFont="1" applyBorder="1" applyAlignment="1" applyProtection="1"/>
    <xf numFmtId="164" fontId="9" fillId="0" borderId="0" xfId="1" applyFont="1" applyBorder="1" applyAlignment="1" applyProtection="1"/>
    <xf numFmtId="164" fontId="1" fillId="0" borderId="10" xfId="1" applyFont="1" applyBorder="1" applyAlignment="1" applyProtection="1"/>
    <xf numFmtId="165" fontId="9" fillId="0" borderId="0" xfId="0" applyNumberFormat="1" applyFont="1" applyBorder="1"/>
    <xf numFmtId="0" fontId="8" fillId="0" borderId="11" xfId="0" applyFont="1" applyBorder="1"/>
    <xf numFmtId="165" fontId="9" fillId="0" borderId="12" xfId="1" applyNumberFormat="1" applyFont="1" applyBorder="1" applyAlignment="1" applyProtection="1"/>
    <xf numFmtId="0" fontId="8" fillId="0" borderId="3" xfId="0" applyFont="1" applyBorder="1"/>
    <xf numFmtId="166" fontId="11" fillId="0" borderId="3" xfId="0" applyNumberFormat="1" applyFont="1" applyBorder="1"/>
    <xf numFmtId="0" fontId="8" fillId="0" borderId="2" xfId="0" applyFont="1" applyBorder="1"/>
    <xf numFmtId="166" fontId="11" fillId="0" borderId="2" xfId="0" applyNumberFormat="1" applyFont="1" applyBorder="1"/>
    <xf numFmtId="0" fontId="8" fillId="2" borderId="13" xfId="0" applyFont="1" applyFill="1" applyBorder="1" applyAlignment="1"/>
    <xf numFmtId="0" fontId="8" fillId="2" borderId="14" xfId="0" applyFont="1" applyFill="1" applyBorder="1" applyAlignment="1"/>
    <xf numFmtId="0" fontId="8" fillId="2" borderId="15" xfId="0" applyFont="1" applyFill="1" applyBorder="1" applyAlignment="1"/>
    <xf numFmtId="166" fontId="9" fillId="3" borderId="3" xfId="0" applyNumberFormat="1" applyFont="1" applyFill="1" applyBorder="1"/>
    <xf numFmtId="0" fontId="8" fillId="3" borderId="13" xfId="0" applyFont="1" applyFill="1" applyBorder="1" applyAlignment="1"/>
    <xf numFmtId="0" fontId="8" fillId="3" borderId="14" xfId="0" applyFont="1" applyFill="1" applyBorder="1" applyAlignment="1"/>
    <xf numFmtId="0" fontId="8" fillId="3" borderId="15" xfId="0" applyFont="1" applyFill="1" applyBorder="1" applyAlignment="1"/>
    <xf numFmtId="0" fontId="8" fillId="0" borderId="14" xfId="0" applyFont="1" applyBorder="1" applyAlignment="1"/>
    <xf numFmtId="0" fontId="8" fillId="0" borderId="0" xfId="0" applyFont="1"/>
    <xf numFmtId="167" fontId="11" fillId="0" borderId="0" xfId="0" applyNumberFormat="1" applyFont="1" applyFill="1" applyBorder="1" applyAlignment="1"/>
    <xf numFmtId="167" fontId="11" fillId="2" borderId="9" xfId="0" applyNumberFormat="1" applyFont="1" applyFill="1" applyBorder="1" applyAlignment="1"/>
    <xf numFmtId="43" fontId="1" fillId="0" borderId="0" xfId="0" applyNumberFormat="1" applyFont="1"/>
    <xf numFmtId="164" fontId="1" fillId="4" borderId="0" xfId="1" applyFont="1" applyFill="1" applyBorder="1" applyAlignment="1" applyProtection="1"/>
    <xf numFmtId="164" fontId="1" fillId="5" borderId="0" xfId="1" applyFont="1" applyFill="1" applyBorder="1" applyAlignment="1" applyProtection="1"/>
    <xf numFmtId="10" fontId="1" fillId="0" borderId="8" xfId="1" applyNumberFormat="1" applyFont="1" applyBorder="1" applyAlignment="1" applyProtection="1"/>
    <xf numFmtId="10" fontId="12" fillId="3" borderId="1" xfId="1" applyNumberFormat="1" applyFont="1" applyFill="1" applyBorder="1" applyAlignment="1" applyProtection="1"/>
    <xf numFmtId="164" fontId="1" fillId="4" borderId="8" xfId="1" applyFont="1" applyFill="1" applyBorder="1" applyAlignment="1" applyProtection="1"/>
    <xf numFmtId="0" fontId="15" fillId="0" borderId="0" xfId="2" applyFont="1" applyAlignment="1">
      <alignment vertical="center"/>
    </xf>
    <xf numFmtId="0" fontId="16" fillId="0" borderId="0" xfId="2" applyFont="1"/>
    <xf numFmtId="0" fontId="16" fillId="0" borderId="0" xfId="2" applyFont="1" applyBorder="1"/>
    <xf numFmtId="4" fontId="16" fillId="0" borderId="0" xfId="2" applyNumberFormat="1" applyFont="1" applyBorder="1" applyAlignment="1">
      <alignment vertical="center"/>
    </xf>
    <xf numFmtId="0" fontId="17" fillId="0" borderId="0" xfId="2" applyFont="1" applyAlignment="1">
      <alignment vertical="center"/>
    </xf>
    <xf numFmtId="0" fontId="18" fillId="0" borderId="17" xfId="2" applyFont="1" applyBorder="1" applyAlignment="1">
      <alignment horizontal="left" vertical="center"/>
    </xf>
    <xf numFmtId="0" fontId="18" fillId="0" borderId="18" xfId="2" applyFont="1" applyBorder="1" applyAlignment="1">
      <alignment horizontal="left" vertical="center"/>
    </xf>
    <xf numFmtId="0" fontId="18" fillId="0" borderId="19" xfId="2" applyFont="1" applyBorder="1" applyAlignment="1">
      <alignment horizontal="left" vertical="center"/>
    </xf>
    <xf numFmtId="0" fontId="18" fillId="0" borderId="0" xfId="2" applyFont="1" applyBorder="1" applyAlignment="1">
      <alignment horizontal="left" vertical="center"/>
    </xf>
    <xf numFmtId="10" fontId="18" fillId="0" borderId="19" xfId="2" applyNumberFormat="1" applyFont="1" applyBorder="1" applyAlignment="1">
      <alignment horizontal="right" vertical="center"/>
    </xf>
    <xf numFmtId="0" fontId="19" fillId="0" borderId="18" xfId="2" applyFont="1" applyBorder="1" applyAlignment="1">
      <alignment horizontal="left" vertical="center"/>
    </xf>
    <xf numFmtId="10" fontId="19" fillId="0" borderId="19" xfId="2" applyNumberFormat="1" applyFont="1" applyBorder="1" applyAlignment="1">
      <alignment horizontal="right" vertical="center"/>
    </xf>
    <xf numFmtId="0" fontId="18" fillId="7" borderId="17" xfId="2" applyFont="1" applyFill="1" applyBorder="1" applyAlignment="1">
      <alignment horizontal="left" vertical="center"/>
    </xf>
    <xf numFmtId="0" fontId="19" fillId="7" borderId="18" xfId="2" applyFont="1" applyFill="1" applyBorder="1" applyAlignment="1">
      <alignment horizontal="left" vertical="center"/>
    </xf>
    <xf numFmtId="10" fontId="19" fillId="7" borderId="19" xfId="2" applyNumberFormat="1" applyFont="1" applyFill="1" applyBorder="1" applyAlignment="1">
      <alignment horizontal="right" vertical="center"/>
    </xf>
    <xf numFmtId="0" fontId="20" fillId="0" borderId="0" xfId="2" applyFont="1" applyBorder="1" applyAlignment="1">
      <alignment horizontal="left" vertical="center"/>
    </xf>
    <xf numFmtId="10" fontId="16" fillId="0" borderId="0" xfId="2" applyNumberFormat="1" applyFont="1"/>
    <xf numFmtId="9" fontId="18" fillId="0" borderId="0" xfId="3" applyFont="1" applyBorder="1" applyAlignment="1" applyProtection="1">
      <alignment horizontal="right" vertical="center"/>
    </xf>
    <xf numFmtId="10" fontId="16" fillId="0" borderId="0" xfId="2" applyNumberFormat="1" applyFont="1" applyBorder="1"/>
    <xf numFmtId="0" fontId="18" fillId="0" borderId="18" xfId="2" applyFont="1" applyBorder="1" applyAlignment="1">
      <alignment horizontal="left" vertical="center" wrapText="1"/>
    </xf>
    <xf numFmtId="0" fontId="18" fillId="8" borderId="20" xfId="2" applyFont="1" applyFill="1" applyBorder="1" applyAlignment="1">
      <alignment horizontal="left" vertical="center"/>
    </xf>
    <xf numFmtId="0" fontId="19" fillId="8" borderId="21" xfId="2" applyFont="1" applyFill="1" applyBorder="1" applyAlignment="1">
      <alignment horizontal="left" vertical="center"/>
    </xf>
    <xf numFmtId="10" fontId="19" fillId="8" borderId="22" xfId="2" applyNumberFormat="1" applyFont="1" applyFill="1" applyBorder="1" applyAlignment="1">
      <alignment horizontal="right" vertical="center"/>
    </xf>
    <xf numFmtId="0" fontId="19" fillId="0" borderId="0" xfId="2" applyFont="1" applyBorder="1" applyAlignment="1">
      <alignment horizontal="left" vertical="center"/>
    </xf>
    <xf numFmtId="10" fontId="19" fillId="0" borderId="0" xfId="2" applyNumberFormat="1" applyFont="1" applyBorder="1" applyAlignment="1">
      <alignment horizontal="right" vertical="center"/>
    </xf>
    <xf numFmtId="0" fontId="20" fillId="9" borderId="0" xfId="2" applyFont="1" applyFill="1" applyBorder="1" applyAlignment="1">
      <alignment horizontal="left" vertical="center"/>
    </xf>
    <xf numFmtId="10" fontId="18" fillId="0" borderId="0" xfId="2" applyNumberFormat="1" applyFont="1" applyBorder="1" applyAlignment="1">
      <alignment horizontal="right" vertical="center"/>
    </xf>
    <xf numFmtId="0" fontId="18" fillId="9" borderId="0" xfId="2" applyFont="1" applyFill="1" applyBorder="1" applyAlignment="1">
      <alignment horizontal="left" vertical="center"/>
    </xf>
    <xf numFmtId="0" fontId="21" fillId="0" borderId="0" xfId="2" applyFont="1" applyBorder="1" applyAlignment="1">
      <alignment horizontal="justify" vertical="center"/>
    </xf>
    <xf numFmtId="0" fontId="22" fillId="0" borderId="0" xfId="4" applyFont="1" applyBorder="1" applyAlignment="1" applyProtection="1">
      <alignment horizontal="left" vertical="center"/>
    </xf>
    <xf numFmtId="0" fontId="20" fillId="0" borderId="0" xfId="2" applyFont="1" applyBorder="1"/>
    <xf numFmtId="0" fontId="18" fillId="0" borderId="0" xfId="2" applyFont="1" applyBorder="1" applyAlignment="1">
      <alignment horizontal="right" vertical="center"/>
    </xf>
    <xf numFmtId="0" fontId="22" fillId="0" borderId="0" xfId="4" applyFont="1" applyBorder="1" applyAlignment="1" applyProtection="1">
      <alignment vertical="center"/>
    </xf>
    <xf numFmtId="0" fontId="14" fillId="0" borderId="0" xfId="2"/>
    <xf numFmtId="0" fontId="23" fillId="0" borderId="0" xfId="2" applyFont="1" applyAlignment="1">
      <alignment vertical="center"/>
    </xf>
    <xf numFmtId="0" fontId="23" fillId="0" borderId="0" xfId="2" applyFont="1"/>
    <xf numFmtId="0" fontId="23" fillId="0" borderId="0" xfId="2" applyFont="1" applyAlignment="1">
      <alignment horizontal="center"/>
    </xf>
    <xf numFmtId="0" fontId="16" fillId="0" borderId="0" xfId="2" applyFont="1" applyAlignment="1">
      <alignment vertical="center"/>
    </xf>
    <xf numFmtId="0" fontId="24" fillId="0" borderId="7" xfId="2" applyFont="1" applyBorder="1" applyAlignment="1">
      <alignment horizontal="center" vertical="center"/>
    </xf>
    <xf numFmtId="0" fontId="24" fillId="0" borderId="0" xfId="2" applyFont="1" applyBorder="1" applyAlignment="1">
      <alignment horizontal="center" vertical="center"/>
    </xf>
    <xf numFmtId="0" fontId="24" fillId="0" borderId="8" xfId="2" applyFont="1" applyBorder="1" applyAlignment="1">
      <alignment horizontal="center" vertical="center"/>
    </xf>
    <xf numFmtId="0" fontId="25" fillId="0" borderId="7" xfId="2" applyFont="1" applyBorder="1" applyAlignment="1">
      <alignment horizontal="left" vertical="center"/>
    </xf>
    <xf numFmtId="0" fontId="23" fillId="0" borderId="0" xfId="2" applyFont="1" applyBorder="1" applyAlignment="1">
      <alignment vertical="center"/>
    </xf>
    <xf numFmtId="0" fontId="23" fillId="0" borderId="7" xfId="2" applyFont="1" applyBorder="1"/>
    <xf numFmtId="0" fontId="23" fillId="0" borderId="0" xfId="2" applyFont="1" applyBorder="1"/>
    <xf numFmtId="9" fontId="23" fillId="0" borderId="17" xfId="3" applyFont="1" applyBorder="1" applyAlignment="1" applyProtection="1"/>
    <xf numFmtId="9" fontId="23" fillId="0" borderId="18" xfId="3" applyFont="1" applyBorder="1" applyAlignment="1" applyProtection="1">
      <alignment horizontal="center"/>
    </xf>
    <xf numFmtId="9" fontId="23" fillId="0" borderId="19" xfId="3" applyFont="1" applyBorder="1" applyAlignment="1" applyProtection="1"/>
    <xf numFmtId="0" fontId="23" fillId="0" borderId="24" xfId="2" applyFont="1" applyBorder="1" applyAlignment="1">
      <alignment horizontal="left" vertical="center"/>
    </xf>
    <xf numFmtId="0" fontId="23" fillId="0" borderId="25" xfId="2" applyFont="1" applyBorder="1" applyAlignment="1">
      <alignment horizontal="center" vertical="center"/>
    </xf>
    <xf numFmtId="10" fontId="23" fillId="2" borderId="26" xfId="2" applyNumberFormat="1" applyFont="1" applyFill="1" applyBorder="1" applyAlignment="1">
      <alignment horizontal="center" vertical="center"/>
    </xf>
    <xf numFmtId="10" fontId="23" fillId="0" borderId="17" xfId="3" applyNumberFormat="1" applyFont="1" applyBorder="1" applyAlignment="1" applyProtection="1">
      <alignment horizontal="right"/>
    </xf>
    <xf numFmtId="10" fontId="23" fillId="0" borderId="18" xfId="3" applyNumberFormat="1" applyFont="1" applyBorder="1" applyAlignment="1" applyProtection="1">
      <alignment horizontal="right"/>
    </xf>
    <xf numFmtId="10" fontId="23" fillId="0" borderId="19" xfId="3" applyNumberFormat="1" applyFont="1" applyBorder="1" applyAlignment="1" applyProtection="1">
      <alignment horizontal="right"/>
    </xf>
    <xf numFmtId="0" fontId="23" fillId="0" borderId="17" xfId="2" applyFont="1" applyBorder="1" applyAlignment="1">
      <alignment horizontal="left" vertical="center"/>
    </xf>
    <xf numFmtId="0" fontId="23" fillId="0" borderId="18" xfId="2" applyFont="1" applyBorder="1" applyAlignment="1">
      <alignment horizontal="center" vertical="center"/>
    </xf>
    <xf numFmtId="10" fontId="23" fillId="2" borderId="19" xfId="2" applyNumberFormat="1" applyFont="1" applyFill="1" applyBorder="1" applyAlignment="1">
      <alignment horizontal="center" vertical="center"/>
    </xf>
    <xf numFmtId="10" fontId="23" fillId="0" borderId="19" xfId="2" applyNumberFormat="1" applyFont="1" applyBorder="1" applyAlignment="1">
      <alignment horizontal="center" vertical="center"/>
    </xf>
    <xf numFmtId="10" fontId="23" fillId="2" borderId="18" xfId="3" applyNumberFormat="1" applyFont="1" applyFill="1" applyBorder="1" applyAlignment="1" applyProtection="1">
      <alignment horizontal="center"/>
    </xf>
    <xf numFmtId="10" fontId="23" fillId="0" borderId="19" xfId="3" applyNumberFormat="1" applyFont="1" applyBorder="1" applyAlignment="1" applyProtection="1"/>
    <xf numFmtId="0" fontId="23" fillId="0" borderId="17" xfId="2" applyFont="1" applyBorder="1" applyAlignment="1">
      <alignment horizontal="right"/>
    </xf>
    <xf numFmtId="0" fontId="23" fillId="2" borderId="18" xfId="2" applyFont="1" applyFill="1" applyBorder="1" applyAlignment="1">
      <alignment horizontal="center"/>
    </xf>
    <xf numFmtId="0" fontId="23" fillId="0" borderId="19" xfId="2" applyFont="1" applyBorder="1"/>
    <xf numFmtId="0" fontId="23" fillId="0" borderId="20" xfId="2" applyFont="1" applyBorder="1" applyAlignment="1">
      <alignment horizontal="left" vertical="center"/>
    </xf>
    <xf numFmtId="10" fontId="23" fillId="2" borderId="22" xfId="2" applyNumberFormat="1" applyFont="1" applyFill="1" applyBorder="1" applyAlignment="1">
      <alignment horizontal="center" vertical="center"/>
    </xf>
    <xf numFmtId="0" fontId="23" fillId="0" borderId="17" xfId="2" applyFont="1" applyBorder="1"/>
    <xf numFmtId="0" fontId="23" fillId="0" borderId="18" xfId="2" applyFont="1" applyBorder="1" applyAlignment="1">
      <alignment horizontal="center"/>
    </xf>
    <xf numFmtId="0" fontId="23" fillId="0" borderId="5" xfId="2" applyFont="1" applyBorder="1" applyAlignment="1">
      <alignment vertical="center"/>
    </xf>
    <xf numFmtId="0" fontId="23" fillId="0" borderId="23" xfId="2" applyFont="1" applyBorder="1" applyAlignment="1">
      <alignment vertical="center"/>
    </xf>
    <xf numFmtId="10" fontId="23" fillId="0" borderId="6" xfId="2" applyNumberFormat="1" applyFont="1" applyBorder="1" applyAlignment="1">
      <alignment vertical="center"/>
    </xf>
    <xf numFmtId="0" fontId="23" fillId="0" borderId="11" xfId="2" applyFont="1" applyBorder="1" applyAlignment="1">
      <alignment horizontal="left" vertical="center"/>
    </xf>
    <xf numFmtId="0" fontId="23" fillId="0" borderId="27" xfId="2" applyFont="1" applyBorder="1" applyAlignment="1">
      <alignment horizontal="left" vertical="center"/>
    </xf>
    <xf numFmtId="0" fontId="23" fillId="0" borderId="12" xfId="2" applyFont="1" applyBorder="1" applyAlignment="1">
      <alignment vertical="center"/>
    </xf>
    <xf numFmtId="0" fontId="25" fillId="7" borderId="10" xfId="2" applyFont="1" applyFill="1" applyBorder="1" applyAlignment="1">
      <alignment vertical="center" wrapText="1"/>
    </xf>
    <xf numFmtId="0" fontId="23" fillId="7" borderId="28" xfId="2" applyFont="1" applyFill="1" applyBorder="1" applyAlignment="1">
      <alignment vertical="center"/>
    </xf>
    <xf numFmtId="10" fontId="25" fillId="7" borderId="29" xfId="2" applyNumberFormat="1" applyFont="1" applyFill="1" applyBorder="1" applyAlignment="1">
      <alignment horizontal="center" vertical="center" wrapText="1"/>
    </xf>
    <xf numFmtId="10" fontId="23" fillId="0" borderId="20" xfId="3" applyNumberFormat="1" applyFont="1" applyBorder="1" applyAlignment="1" applyProtection="1">
      <alignment horizontal="right"/>
    </xf>
    <xf numFmtId="10" fontId="23" fillId="0" borderId="21" xfId="3" applyNumberFormat="1" applyFont="1" applyBorder="1" applyAlignment="1" applyProtection="1">
      <alignment horizontal="right"/>
    </xf>
    <xf numFmtId="10" fontId="23" fillId="0" borderId="22" xfId="3" applyNumberFormat="1" applyFont="1" applyBorder="1" applyAlignment="1" applyProtection="1">
      <alignment horizontal="right"/>
    </xf>
    <xf numFmtId="0" fontId="14" fillId="0" borderId="0" xfId="2" applyAlignment="1">
      <alignment horizontal="center"/>
    </xf>
    <xf numFmtId="10" fontId="1" fillId="4" borderId="8" xfId="1" applyNumberFormat="1" applyFont="1" applyFill="1" applyBorder="1" applyAlignment="1" applyProtection="1"/>
    <xf numFmtId="168" fontId="1" fillId="0" borderId="0" xfId="0" applyNumberFormat="1" applyFont="1"/>
    <xf numFmtId="0" fontId="4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4" fillId="10" borderId="5" xfId="2" applyFont="1" applyFill="1" applyBorder="1" applyAlignment="1">
      <alignment horizontal="center" vertical="center"/>
    </xf>
    <xf numFmtId="0" fontId="24" fillId="10" borderId="23" xfId="2" applyFont="1" applyFill="1" applyBorder="1" applyAlignment="1">
      <alignment horizontal="center" vertical="center"/>
    </xf>
    <xf numFmtId="0" fontId="24" fillId="10" borderId="6" xfId="2" applyFont="1" applyFill="1" applyBorder="1" applyAlignment="1">
      <alignment horizontal="center" vertical="center"/>
    </xf>
    <xf numFmtId="9" fontId="25" fillId="0" borderId="16" xfId="3" applyFont="1" applyBorder="1" applyAlignment="1" applyProtection="1">
      <alignment horizontal="center"/>
    </xf>
    <xf numFmtId="0" fontId="23" fillId="0" borderId="21" xfId="2" applyFont="1" applyBorder="1" applyAlignment="1">
      <alignment horizontal="center" vertical="center"/>
    </xf>
    <xf numFmtId="0" fontId="17" fillId="6" borderId="16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</cellXfs>
  <cellStyles count="5">
    <cellStyle name="Hiperlink" xfId="4" builtinId="8"/>
    <cellStyle name="Normal" xfId="0" builtinId="0"/>
    <cellStyle name="Normal 2" xfId="2" xr:uid="{FA6CDD3C-25C2-4F66-9684-C6C6FC6C72D5}"/>
    <cellStyle name="Porcentagem 2" xfId="3" xr:uid="{05532BE0-339D-4C5F-A054-AB77DEDC2F7E}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" name="AutoShape 20">
          <a:extLst>
            <a:ext uri="{FF2B5EF4-FFF2-40B4-BE49-F238E27FC236}">
              <a16:creationId xmlns:a16="http://schemas.microsoft.com/office/drawing/2014/main" id="{F1E01BC9-E5D8-4D46-A1DC-578F5AEB85C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" name="AutoShape 19">
          <a:extLst>
            <a:ext uri="{FF2B5EF4-FFF2-40B4-BE49-F238E27FC236}">
              <a16:creationId xmlns:a16="http://schemas.microsoft.com/office/drawing/2014/main" id="{E35D45E9-69D6-4916-B422-3324E8255F1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90B2E65-86DB-428D-B10C-32DA9E60061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" name="AutoShape 17">
          <a:extLst>
            <a:ext uri="{FF2B5EF4-FFF2-40B4-BE49-F238E27FC236}">
              <a16:creationId xmlns:a16="http://schemas.microsoft.com/office/drawing/2014/main" id="{033BD493-26A8-4756-92CA-99F45108786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" name="AutoShape 16">
          <a:extLst>
            <a:ext uri="{FF2B5EF4-FFF2-40B4-BE49-F238E27FC236}">
              <a16:creationId xmlns:a16="http://schemas.microsoft.com/office/drawing/2014/main" id="{EF049023-4AFC-41E7-A177-378B7A317F9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" name="AutoShape 15">
          <a:extLst>
            <a:ext uri="{FF2B5EF4-FFF2-40B4-BE49-F238E27FC236}">
              <a16:creationId xmlns:a16="http://schemas.microsoft.com/office/drawing/2014/main" id="{BC8E779E-ADC2-4414-A119-8B8FA9ADED1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" name="AutoShape 14">
          <a:extLst>
            <a:ext uri="{FF2B5EF4-FFF2-40B4-BE49-F238E27FC236}">
              <a16:creationId xmlns:a16="http://schemas.microsoft.com/office/drawing/2014/main" id="{E1C27DA6-1941-4248-BDD3-C2CA56D520F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" name="AutoShape 20">
          <a:extLst>
            <a:ext uri="{FF2B5EF4-FFF2-40B4-BE49-F238E27FC236}">
              <a16:creationId xmlns:a16="http://schemas.microsoft.com/office/drawing/2014/main" id="{ECCA4F5F-A0B5-453B-AF4D-1D495E88256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" name="AutoShape 19">
          <a:extLst>
            <a:ext uri="{FF2B5EF4-FFF2-40B4-BE49-F238E27FC236}">
              <a16:creationId xmlns:a16="http://schemas.microsoft.com/office/drawing/2014/main" id="{CB414EFF-2AF5-4B66-A2C9-E9A7295DCB2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" name="AutoShape 18">
          <a:extLst>
            <a:ext uri="{FF2B5EF4-FFF2-40B4-BE49-F238E27FC236}">
              <a16:creationId xmlns:a16="http://schemas.microsoft.com/office/drawing/2014/main" id="{27F43EDC-9111-41C1-B8CD-5076D4A0891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" name="AutoShape 17">
          <a:extLst>
            <a:ext uri="{FF2B5EF4-FFF2-40B4-BE49-F238E27FC236}">
              <a16:creationId xmlns:a16="http://schemas.microsoft.com/office/drawing/2014/main" id="{C729CFCE-FB5C-4DE6-9896-1682BA9FDEE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" name="AutoShape 16">
          <a:extLst>
            <a:ext uri="{FF2B5EF4-FFF2-40B4-BE49-F238E27FC236}">
              <a16:creationId xmlns:a16="http://schemas.microsoft.com/office/drawing/2014/main" id="{A3C261CD-F382-4A72-82EC-6806939F61E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" name="AutoShape 15">
          <a:extLst>
            <a:ext uri="{FF2B5EF4-FFF2-40B4-BE49-F238E27FC236}">
              <a16:creationId xmlns:a16="http://schemas.microsoft.com/office/drawing/2014/main" id="{B551E62E-F458-429F-8BD8-A1F9C31CE92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F1483F48-3FA5-49B2-8E98-B1102065D76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" name="AutoShape 20">
          <a:extLst>
            <a:ext uri="{FF2B5EF4-FFF2-40B4-BE49-F238E27FC236}">
              <a16:creationId xmlns:a16="http://schemas.microsoft.com/office/drawing/2014/main" id="{397A3D1C-03DE-49AF-84D8-5214C3387CF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7" name="AutoShape 19">
          <a:extLst>
            <a:ext uri="{FF2B5EF4-FFF2-40B4-BE49-F238E27FC236}">
              <a16:creationId xmlns:a16="http://schemas.microsoft.com/office/drawing/2014/main" id="{8C6DD0A2-D40F-4015-AA7D-447EBCF0588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8" name="AutoShape 18">
          <a:extLst>
            <a:ext uri="{FF2B5EF4-FFF2-40B4-BE49-F238E27FC236}">
              <a16:creationId xmlns:a16="http://schemas.microsoft.com/office/drawing/2014/main" id="{E2B98B4C-85F1-4E2D-9AC3-7D5E3123BFC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9" name="AutoShape 17">
          <a:extLst>
            <a:ext uri="{FF2B5EF4-FFF2-40B4-BE49-F238E27FC236}">
              <a16:creationId xmlns:a16="http://schemas.microsoft.com/office/drawing/2014/main" id="{0782DC44-9991-40A6-B62A-4BA36E5588A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0" name="AutoShape 16">
          <a:extLst>
            <a:ext uri="{FF2B5EF4-FFF2-40B4-BE49-F238E27FC236}">
              <a16:creationId xmlns:a16="http://schemas.microsoft.com/office/drawing/2014/main" id="{FA780B32-9590-4DCB-95A5-FDC412B747F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1" name="AutoShape 15">
          <a:extLst>
            <a:ext uri="{FF2B5EF4-FFF2-40B4-BE49-F238E27FC236}">
              <a16:creationId xmlns:a16="http://schemas.microsoft.com/office/drawing/2014/main" id="{60188235-870D-44E2-9826-89B6A148254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2" name="AutoShape 14">
          <a:extLst>
            <a:ext uri="{FF2B5EF4-FFF2-40B4-BE49-F238E27FC236}">
              <a16:creationId xmlns:a16="http://schemas.microsoft.com/office/drawing/2014/main" id="{E5F432A8-E17B-4D54-ABA8-9B8F52056EC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3" name="AutoShape 20">
          <a:extLst>
            <a:ext uri="{FF2B5EF4-FFF2-40B4-BE49-F238E27FC236}">
              <a16:creationId xmlns:a16="http://schemas.microsoft.com/office/drawing/2014/main" id="{283B41EA-FEA2-4690-B936-712ECF3CA9B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4" name="AutoShape 19">
          <a:extLst>
            <a:ext uri="{FF2B5EF4-FFF2-40B4-BE49-F238E27FC236}">
              <a16:creationId xmlns:a16="http://schemas.microsoft.com/office/drawing/2014/main" id="{CD414682-214A-4709-B218-0DBDA7772D5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A409346C-5BF0-4FE2-A7D6-1BD5983CF07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6" name="AutoShape 17">
          <a:extLst>
            <a:ext uri="{FF2B5EF4-FFF2-40B4-BE49-F238E27FC236}">
              <a16:creationId xmlns:a16="http://schemas.microsoft.com/office/drawing/2014/main" id="{B4653FAF-11EC-4F9E-B553-7C3B39A993B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7" name="AutoShape 16">
          <a:extLst>
            <a:ext uri="{FF2B5EF4-FFF2-40B4-BE49-F238E27FC236}">
              <a16:creationId xmlns:a16="http://schemas.microsoft.com/office/drawing/2014/main" id="{DCBEB029-0FF3-420E-A2DC-C14B61EBD5C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8" name="AutoShape 15">
          <a:extLst>
            <a:ext uri="{FF2B5EF4-FFF2-40B4-BE49-F238E27FC236}">
              <a16:creationId xmlns:a16="http://schemas.microsoft.com/office/drawing/2014/main" id="{F66B0F68-5A80-401C-BEED-BD983597CA3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29" name="AutoShape 14">
          <a:extLst>
            <a:ext uri="{FF2B5EF4-FFF2-40B4-BE49-F238E27FC236}">
              <a16:creationId xmlns:a16="http://schemas.microsoft.com/office/drawing/2014/main" id="{1BA7548A-BD34-4913-AFCB-B299DDBA14F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0" name="AutoShape 20">
          <a:extLst>
            <a:ext uri="{FF2B5EF4-FFF2-40B4-BE49-F238E27FC236}">
              <a16:creationId xmlns:a16="http://schemas.microsoft.com/office/drawing/2014/main" id="{32553168-04C8-4262-8C34-AA0ABC8801D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1" name="AutoShape 19">
          <a:extLst>
            <a:ext uri="{FF2B5EF4-FFF2-40B4-BE49-F238E27FC236}">
              <a16:creationId xmlns:a16="http://schemas.microsoft.com/office/drawing/2014/main" id="{5937ED31-8314-444E-B311-B633128F57D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C85A195-96A3-4D48-80B3-E9A7450F050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3" name="AutoShape 17">
          <a:extLst>
            <a:ext uri="{FF2B5EF4-FFF2-40B4-BE49-F238E27FC236}">
              <a16:creationId xmlns:a16="http://schemas.microsoft.com/office/drawing/2014/main" id="{FF04D189-F052-4578-A1A6-D5209F4EE38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4" name="AutoShape 16">
          <a:extLst>
            <a:ext uri="{FF2B5EF4-FFF2-40B4-BE49-F238E27FC236}">
              <a16:creationId xmlns:a16="http://schemas.microsoft.com/office/drawing/2014/main" id="{492A1328-F052-453C-8A85-107B33EE9C4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5" name="AutoShape 15">
          <a:extLst>
            <a:ext uri="{FF2B5EF4-FFF2-40B4-BE49-F238E27FC236}">
              <a16:creationId xmlns:a16="http://schemas.microsoft.com/office/drawing/2014/main" id="{C3C806E0-BA13-4F4A-B235-94F9333BCC0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6" name="AutoShape 14">
          <a:extLst>
            <a:ext uri="{FF2B5EF4-FFF2-40B4-BE49-F238E27FC236}">
              <a16:creationId xmlns:a16="http://schemas.microsoft.com/office/drawing/2014/main" id="{05D2BCCE-23C8-47D6-AFCE-27A04167C1B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7" name="AutoShape 20">
          <a:extLst>
            <a:ext uri="{FF2B5EF4-FFF2-40B4-BE49-F238E27FC236}">
              <a16:creationId xmlns:a16="http://schemas.microsoft.com/office/drawing/2014/main" id="{3D64941D-E7D7-46B1-8BC9-6DDD43C7149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8" name="AutoShape 19">
          <a:extLst>
            <a:ext uri="{FF2B5EF4-FFF2-40B4-BE49-F238E27FC236}">
              <a16:creationId xmlns:a16="http://schemas.microsoft.com/office/drawing/2014/main" id="{2E3B6400-F076-4A42-9032-3C8FC5C3658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39" name="AutoShape 18">
          <a:extLst>
            <a:ext uri="{FF2B5EF4-FFF2-40B4-BE49-F238E27FC236}">
              <a16:creationId xmlns:a16="http://schemas.microsoft.com/office/drawing/2014/main" id="{0B2C24C5-130B-483B-8491-01ACD7A393C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0" name="AutoShape 17">
          <a:extLst>
            <a:ext uri="{FF2B5EF4-FFF2-40B4-BE49-F238E27FC236}">
              <a16:creationId xmlns:a16="http://schemas.microsoft.com/office/drawing/2014/main" id="{D0C8173F-A0A1-4C1C-BCE4-B15055CA8C4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1" name="AutoShape 16">
          <a:extLst>
            <a:ext uri="{FF2B5EF4-FFF2-40B4-BE49-F238E27FC236}">
              <a16:creationId xmlns:a16="http://schemas.microsoft.com/office/drawing/2014/main" id="{CCFC1D7F-D9A7-4C4D-8DDB-FCBF409F85D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2" name="AutoShape 15">
          <a:extLst>
            <a:ext uri="{FF2B5EF4-FFF2-40B4-BE49-F238E27FC236}">
              <a16:creationId xmlns:a16="http://schemas.microsoft.com/office/drawing/2014/main" id="{41B51F46-C752-4F24-B0ED-09F5B017E58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3" name="AutoShape 14">
          <a:extLst>
            <a:ext uri="{FF2B5EF4-FFF2-40B4-BE49-F238E27FC236}">
              <a16:creationId xmlns:a16="http://schemas.microsoft.com/office/drawing/2014/main" id="{5D6E02F7-E2E6-4441-BE30-79A9B06E65B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4" name="AutoShape 20">
          <a:extLst>
            <a:ext uri="{FF2B5EF4-FFF2-40B4-BE49-F238E27FC236}">
              <a16:creationId xmlns:a16="http://schemas.microsoft.com/office/drawing/2014/main" id="{EE5CAD64-27D3-4D60-B646-2E162B800AD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5" name="AutoShape 19">
          <a:extLst>
            <a:ext uri="{FF2B5EF4-FFF2-40B4-BE49-F238E27FC236}">
              <a16:creationId xmlns:a16="http://schemas.microsoft.com/office/drawing/2014/main" id="{0E7E4E1C-83B0-4A17-A74B-DA6396BA963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6" name="AutoShape 18">
          <a:extLst>
            <a:ext uri="{FF2B5EF4-FFF2-40B4-BE49-F238E27FC236}">
              <a16:creationId xmlns:a16="http://schemas.microsoft.com/office/drawing/2014/main" id="{4F1E30F1-980A-4213-A142-900DA926822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7" name="AutoShape 17">
          <a:extLst>
            <a:ext uri="{FF2B5EF4-FFF2-40B4-BE49-F238E27FC236}">
              <a16:creationId xmlns:a16="http://schemas.microsoft.com/office/drawing/2014/main" id="{3B36D12B-B408-404A-BED1-7E1041F8A81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8" name="AutoShape 16">
          <a:extLst>
            <a:ext uri="{FF2B5EF4-FFF2-40B4-BE49-F238E27FC236}">
              <a16:creationId xmlns:a16="http://schemas.microsoft.com/office/drawing/2014/main" id="{B445D248-6693-4CAC-8F12-D65EC7748E6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49" name="AutoShape 15">
          <a:extLst>
            <a:ext uri="{FF2B5EF4-FFF2-40B4-BE49-F238E27FC236}">
              <a16:creationId xmlns:a16="http://schemas.microsoft.com/office/drawing/2014/main" id="{2866D900-8CFB-4395-B82F-DFC77D21CA5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0" name="AutoShape 14">
          <a:extLst>
            <a:ext uri="{FF2B5EF4-FFF2-40B4-BE49-F238E27FC236}">
              <a16:creationId xmlns:a16="http://schemas.microsoft.com/office/drawing/2014/main" id="{CF4492F3-9D6C-45DF-B8E1-5E826D2C99B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1" name="AutoShape 20">
          <a:extLst>
            <a:ext uri="{FF2B5EF4-FFF2-40B4-BE49-F238E27FC236}">
              <a16:creationId xmlns:a16="http://schemas.microsoft.com/office/drawing/2014/main" id="{4820B11C-5930-410F-84D0-FC94CA8C002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2" name="AutoShape 19">
          <a:extLst>
            <a:ext uri="{FF2B5EF4-FFF2-40B4-BE49-F238E27FC236}">
              <a16:creationId xmlns:a16="http://schemas.microsoft.com/office/drawing/2014/main" id="{CE6F78FC-FAE4-44AB-A94F-D30A59F0E2C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3" name="AutoShape 18">
          <a:extLst>
            <a:ext uri="{FF2B5EF4-FFF2-40B4-BE49-F238E27FC236}">
              <a16:creationId xmlns:a16="http://schemas.microsoft.com/office/drawing/2014/main" id="{61A9F3BA-39DB-41E6-A030-568271494E8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4" name="AutoShape 17">
          <a:extLst>
            <a:ext uri="{FF2B5EF4-FFF2-40B4-BE49-F238E27FC236}">
              <a16:creationId xmlns:a16="http://schemas.microsoft.com/office/drawing/2014/main" id="{713043FA-FEFC-4C45-B168-645BFFD45FA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5" name="AutoShape 16">
          <a:extLst>
            <a:ext uri="{FF2B5EF4-FFF2-40B4-BE49-F238E27FC236}">
              <a16:creationId xmlns:a16="http://schemas.microsoft.com/office/drawing/2014/main" id="{0B218019-7E10-4570-A138-EE02AEEA5B1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6" name="AutoShape 15">
          <a:extLst>
            <a:ext uri="{FF2B5EF4-FFF2-40B4-BE49-F238E27FC236}">
              <a16:creationId xmlns:a16="http://schemas.microsoft.com/office/drawing/2014/main" id="{6292E4E6-0509-4E3B-BC68-34FD04FA719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7" name="AutoShape 14">
          <a:extLst>
            <a:ext uri="{FF2B5EF4-FFF2-40B4-BE49-F238E27FC236}">
              <a16:creationId xmlns:a16="http://schemas.microsoft.com/office/drawing/2014/main" id="{FB53F18B-7248-490E-9C2C-4CD9F0230E8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8" name="AutoShape 20">
          <a:extLst>
            <a:ext uri="{FF2B5EF4-FFF2-40B4-BE49-F238E27FC236}">
              <a16:creationId xmlns:a16="http://schemas.microsoft.com/office/drawing/2014/main" id="{B99D8355-74C7-4AC4-9117-FF5A44534CD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59" name="AutoShape 19">
          <a:extLst>
            <a:ext uri="{FF2B5EF4-FFF2-40B4-BE49-F238E27FC236}">
              <a16:creationId xmlns:a16="http://schemas.microsoft.com/office/drawing/2014/main" id="{7CDA7847-975F-4D56-8C39-C245A5588F6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0" name="AutoShape 18">
          <a:extLst>
            <a:ext uri="{FF2B5EF4-FFF2-40B4-BE49-F238E27FC236}">
              <a16:creationId xmlns:a16="http://schemas.microsoft.com/office/drawing/2014/main" id="{5D317190-A52F-403E-9119-050E0C69119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1" name="AutoShape 17">
          <a:extLst>
            <a:ext uri="{FF2B5EF4-FFF2-40B4-BE49-F238E27FC236}">
              <a16:creationId xmlns:a16="http://schemas.microsoft.com/office/drawing/2014/main" id="{8B841840-4548-4A58-82EA-D2487CBDFA6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2" name="AutoShape 16">
          <a:extLst>
            <a:ext uri="{FF2B5EF4-FFF2-40B4-BE49-F238E27FC236}">
              <a16:creationId xmlns:a16="http://schemas.microsoft.com/office/drawing/2014/main" id="{C01EC635-A58D-4FC9-97EE-74CAF98B910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3" name="AutoShape 15">
          <a:extLst>
            <a:ext uri="{FF2B5EF4-FFF2-40B4-BE49-F238E27FC236}">
              <a16:creationId xmlns:a16="http://schemas.microsoft.com/office/drawing/2014/main" id="{1E69E52D-0658-417C-8DC0-66EE7A36083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4" name="AutoShape 14">
          <a:extLst>
            <a:ext uri="{FF2B5EF4-FFF2-40B4-BE49-F238E27FC236}">
              <a16:creationId xmlns:a16="http://schemas.microsoft.com/office/drawing/2014/main" id="{98381423-B0AC-48F1-A5A9-18E2065F951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5" name="AutoShape 20">
          <a:extLst>
            <a:ext uri="{FF2B5EF4-FFF2-40B4-BE49-F238E27FC236}">
              <a16:creationId xmlns:a16="http://schemas.microsoft.com/office/drawing/2014/main" id="{64F38B17-2BA5-47DF-9351-959840D1620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6" name="AutoShape 19">
          <a:extLst>
            <a:ext uri="{FF2B5EF4-FFF2-40B4-BE49-F238E27FC236}">
              <a16:creationId xmlns:a16="http://schemas.microsoft.com/office/drawing/2014/main" id="{BE7ACEA1-F862-423C-B5EF-82D6F8A8336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7" name="AutoShape 18">
          <a:extLst>
            <a:ext uri="{FF2B5EF4-FFF2-40B4-BE49-F238E27FC236}">
              <a16:creationId xmlns:a16="http://schemas.microsoft.com/office/drawing/2014/main" id="{4D23B621-CE09-4DA0-81CD-6D1CD60D871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8" name="AutoShape 17">
          <a:extLst>
            <a:ext uri="{FF2B5EF4-FFF2-40B4-BE49-F238E27FC236}">
              <a16:creationId xmlns:a16="http://schemas.microsoft.com/office/drawing/2014/main" id="{09B67CFE-7D23-4ABA-A77E-FEE6ACEEB9A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69" name="AutoShape 16">
          <a:extLst>
            <a:ext uri="{FF2B5EF4-FFF2-40B4-BE49-F238E27FC236}">
              <a16:creationId xmlns:a16="http://schemas.microsoft.com/office/drawing/2014/main" id="{FD678D31-3441-45B6-8BFE-F245F73CAB9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0" name="AutoShape 15">
          <a:extLst>
            <a:ext uri="{FF2B5EF4-FFF2-40B4-BE49-F238E27FC236}">
              <a16:creationId xmlns:a16="http://schemas.microsoft.com/office/drawing/2014/main" id="{10A66377-2D14-4F21-B1A9-AD030357F82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1" name="AutoShape 14">
          <a:extLst>
            <a:ext uri="{FF2B5EF4-FFF2-40B4-BE49-F238E27FC236}">
              <a16:creationId xmlns:a16="http://schemas.microsoft.com/office/drawing/2014/main" id="{6A8B6EE6-7536-4013-BA46-DDED7EC7A60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2" name="AutoShape 20">
          <a:extLst>
            <a:ext uri="{FF2B5EF4-FFF2-40B4-BE49-F238E27FC236}">
              <a16:creationId xmlns:a16="http://schemas.microsoft.com/office/drawing/2014/main" id="{71048E4C-F477-4268-8155-4890D0665F7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3" name="AutoShape 19">
          <a:extLst>
            <a:ext uri="{FF2B5EF4-FFF2-40B4-BE49-F238E27FC236}">
              <a16:creationId xmlns:a16="http://schemas.microsoft.com/office/drawing/2014/main" id="{5A49F246-B3AB-4C2D-9D4B-4A5925832EC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4" name="AutoShape 18">
          <a:extLst>
            <a:ext uri="{FF2B5EF4-FFF2-40B4-BE49-F238E27FC236}">
              <a16:creationId xmlns:a16="http://schemas.microsoft.com/office/drawing/2014/main" id="{37210BED-741B-4E2A-BB46-AC86D20A1EF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5" name="AutoShape 17">
          <a:extLst>
            <a:ext uri="{FF2B5EF4-FFF2-40B4-BE49-F238E27FC236}">
              <a16:creationId xmlns:a16="http://schemas.microsoft.com/office/drawing/2014/main" id="{E2627919-0C35-4607-A41D-9A157FC9C95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6" name="AutoShape 16">
          <a:extLst>
            <a:ext uri="{FF2B5EF4-FFF2-40B4-BE49-F238E27FC236}">
              <a16:creationId xmlns:a16="http://schemas.microsoft.com/office/drawing/2014/main" id="{3C671411-9E73-427A-9CE4-53C2353B258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7" name="AutoShape 15">
          <a:extLst>
            <a:ext uri="{FF2B5EF4-FFF2-40B4-BE49-F238E27FC236}">
              <a16:creationId xmlns:a16="http://schemas.microsoft.com/office/drawing/2014/main" id="{C754D94A-8475-4717-A9FA-BBB9861BBFE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8" name="AutoShape 14">
          <a:extLst>
            <a:ext uri="{FF2B5EF4-FFF2-40B4-BE49-F238E27FC236}">
              <a16:creationId xmlns:a16="http://schemas.microsoft.com/office/drawing/2014/main" id="{DC7943ED-C6CC-471B-9054-7355AAA348F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79" name="AutoShape 20">
          <a:extLst>
            <a:ext uri="{FF2B5EF4-FFF2-40B4-BE49-F238E27FC236}">
              <a16:creationId xmlns:a16="http://schemas.microsoft.com/office/drawing/2014/main" id="{1D2F0BE4-BE92-46F2-BA8C-D0F504AA301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0" name="AutoShape 19">
          <a:extLst>
            <a:ext uri="{FF2B5EF4-FFF2-40B4-BE49-F238E27FC236}">
              <a16:creationId xmlns:a16="http://schemas.microsoft.com/office/drawing/2014/main" id="{BBC476C0-5A0B-4D7F-BA12-420721C9DD1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1" name="AutoShape 18">
          <a:extLst>
            <a:ext uri="{FF2B5EF4-FFF2-40B4-BE49-F238E27FC236}">
              <a16:creationId xmlns:a16="http://schemas.microsoft.com/office/drawing/2014/main" id="{84FE64CB-64E1-4D3C-9A21-861F101D131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2" name="AutoShape 17">
          <a:extLst>
            <a:ext uri="{FF2B5EF4-FFF2-40B4-BE49-F238E27FC236}">
              <a16:creationId xmlns:a16="http://schemas.microsoft.com/office/drawing/2014/main" id="{31DD1BFD-E382-44BE-8895-0ECF79E9713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3" name="AutoShape 16">
          <a:extLst>
            <a:ext uri="{FF2B5EF4-FFF2-40B4-BE49-F238E27FC236}">
              <a16:creationId xmlns:a16="http://schemas.microsoft.com/office/drawing/2014/main" id="{213691EB-D6F8-46A8-BB20-965F2677409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4" name="AutoShape 15">
          <a:extLst>
            <a:ext uri="{FF2B5EF4-FFF2-40B4-BE49-F238E27FC236}">
              <a16:creationId xmlns:a16="http://schemas.microsoft.com/office/drawing/2014/main" id="{62EED9A8-0DD4-4E80-916F-1A0C4585FE8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5" name="AutoShape 14">
          <a:extLst>
            <a:ext uri="{FF2B5EF4-FFF2-40B4-BE49-F238E27FC236}">
              <a16:creationId xmlns:a16="http://schemas.microsoft.com/office/drawing/2014/main" id="{19ED67D9-75BB-45B2-93CA-87521F31C4B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6" name="AutoShape 20">
          <a:extLst>
            <a:ext uri="{FF2B5EF4-FFF2-40B4-BE49-F238E27FC236}">
              <a16:creationId xmlns:a16="http://schemas.microsoft.com/office/drawing/2014/main" id="{597334B3-8743-4DED-96A4-3BC2686A5CD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7" name="AutoShape 19">
          <a:extLst>
            <a:ext uri="{FF2B5EF4-FFF2-40B4-BE49-F238E27FC236}">
              <a16:creationId xmlns:a16="http://schemas.microsoft.com/office/drawing/2014/main" id="{F432B947-525E-449B-B3DD-52DA7A329B3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67ACAC25-2326-4BA2-B741-68193B1AB60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89" name="AutoShape 17">
          <a:extLst>
            <a:ext uri="{FF2B5EF4-FFF2-40B4-BE49-F238E27FC236}">
              <a16:creationId xmlns:a16="http://schemas.microsoft.com/office/drawing/2014/main" id="{BB33E340-3C56-467E-BFA9-BE197E80BCC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0" name="AutoShape 16">
          <a:extLst>
            <a:ext uri="{FF2B5EF4-FFF2-40B4-BE49-F238E27FC236}">
              <a16:creationId xmlns:a16="http://schemas.microsoft.com/office/drawing/2014/main" id="{1F61F63D-87C5-482D-B3B8-08868ADB26C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1" name="AutoShape 15">
          <a:extLst>
            <a:ext uri="{FF2B5EF4-FFF2-40B4-BE49-F238E27FC236}">
              <a16:creationId xmlns:a16="http://schemas.microsoft.com/office/drawing/2014/main" id="{A21AF74A-9FB8-430C-93B0-F1EE4FAD729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2" name="AutoShape 14">
          <a:extLst>
            <a:ext uri="{FF2B5EF4-FFF2-40B4-BE49-F238E27FC236}">
              <a16:creationId xmlns:a16="http://schemas.microsoft.com/office/drawing/2014/main" id="{0C5C0A3E-DF86-437C-BBB5-847F7A17D4C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3" name="AutoShape 20">
          <a:extLst>
            <a:ext uri="{FF2B5EF4-FFF2-40B4-BE49-F238E27FC236}">
              <a16:creationId xmlns:a16="http://schemas.microsoft.com/office/drawing/2014/main" id="{1E869679-4987-4975-B307-21F7F615CCF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4" name="AutoShape 19">
          <a:extLst>
            <a:ext uri="{FF2B5EF4-FFF2-40B4-BE49-F238E27FC236}">
              <a16:creationId xmlns:a16="http://schemas.microsoft.com/office/drawing/2014/main" id="{B4C53D49-4D59-463F-BDD8-719BCEFA928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5" name="AutoShape 18">
          <a:extLst>
            <a:ext uri="{FF2B5EF4-FFF2-40B4-BE49-F238E27FC236}">
              <a16:creationId xmlns:a16="http://schemas.microsoft.com/office/drawing/2014/main" id="{484291AB-755D-463D-8284-D6D3C15FAD0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6" name="AutoShape 17">
          <a:extLst>
            <a:ext uri="{FF2B5EF4-FFF2-40B4-BE49-F238E27FC236}">
              <a16:creationId xmlns:a16="http://schemas.microsoft.com/office/drawing/2014/main" id="{D7546C8E-56A7-4600-9E0A-6AE2557EBEB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7" name="AutoShape 16">
          <a:extLst>
            <a:ext uri="{FF2B5EF4-FFF2-40B4-BE49-F238E27FC236}">
              <a16:creationId xmlns:a16="http://schemas.microsoft.com/office/drawing/2014/main" id="{4BA64D21-DD2B-4E2E-8611-B5B8201A2EC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8" name="AutoShape 15">
          <a:extLst>
            <a:ext uri="{FF2B5EF4-FFF2-40B4-BE49-F238E27FC236}">
              <a16:creationId xmlns:a16="http://schemas.microsoft.com/office/drawing/2014/main" id="{6E79C8A8-D893-4320-AD28-CF0323AFECB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99" name="AutoShape 14">
          <a:extLst>
            <a:ext uri="{FF2B5EF4-FFF2-40B4-BE49-F238E27FC236}">
              <a16:creationId xmlns:a16="http://schemas.microsoft.com/office/drawing/2014/main" id="{2E3A777A-5C9B-4ABA-8BE0-7F8F0EBE1B7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0" name="AutoShape 20">
          <a:extLst>
            <a:ext uri="{FF2B5EF4-FFF2-40B4-BE49-F238E27FC236}">
              <a16:creationId xmlns:a16="http://schemas.microsoft.com/office/drawing/2014/main" id="{759E935D-6B00-43B5-9EB2-09B86357A49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1" name="AutoShape 19">
          <a:extLst>
            <a:ext uri="{FF2B5EF4-FFF2-40B4-BE49-F238E27FC236}">
              <a16:creationId xmlns:a16="http://schemas.microsoft.com/office/drawing/2014/main" id="{BAF48270-15BC-44D8-8609-326FBBF3E2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2" name="AutoShape 18">
          <a:extLst>
            <a:ext uri="{FF2B5EF4-FFF2-40B4-BE49-F238E27FC236}">
              <a16:creationId xmlns:a16="http://schemas.microsoft.com/office/drawing/2014/main" id="{4619374B-9D65-48CB-8704-2DB1EA70DCA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3" name="AutoShape 17">
          <a:extLst>
            <a:ext uri="{FF2B5EF4-FFF2-40B4-BE49-F238E27FC236}">
              <a16:creationId xmlns:a16="http://schemas.microsoft.com/office/drawing/2014/main" id="{55E9FD46-789E-4E3B-97F6-8C4E40C7838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4" name="AutoShape 16">
          <a:extLst>
            <a:ext uri="{FF2B5EF4-FFF2-40B4-BE49-F238E27FC236}">
              <a16:creationId xmlns:a16="http://schemas.microsoft.com/office/drawing/2014/main" id="{14F16242-498B-47BA-8A20-0B4D62CC812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5" name="AutoShape 15">
          <a:extLst>
            <a:ext uri="{FF2B5EF4-FFF2-40B4-BE49-F238E27FC236}">
              <a16:creationId xmlns:a16="http://schemas.microsoft.com/office/drawing/2014/main" id="{9F6B58EE-2F56-49D7-BD72-F4D4B124FF1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6" name="AutoShape 14">
          <a:extLst>
            <a:ext uri="{FF2B5EF4-FFF2-40B4-BE49-F238E27FC236}">
              <a16:creationId xmlns:a16="http://schemas.microsoft.com/office/drawing/2014/main" id="{F064AF42-4AFF-40F7-8317-C0117903A85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7" name="AutoShape 20">
          <a:extLst>
            <a:ext uri="{FF2B5EF4-FFF2-40B4-BE49-F238E27FC236}">
              <a16:creationId xmlns:a16="http://schemas.microsoft.com/office/drawing/2014/main" id="{F554381B-26A4-41A2-A3F0-CF29FE4CCF7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8" name="AutoShape 19">
          <a:extLst>
            <a:ext uri="{FF2B5EF4-FFF2-40B4-BE49-F238E27FC236}">
              <a16:creationId xmlns:a16="http://schemas.microsoft.com/office/drawing/2014/main" id="{A3DB5470-01BF-466D-A795-13B3015FCFB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09" name="AutoShape 18">
          <a:extLst>
            <a:ext uri="{FF2B5EF4-FFF2-40B4-BE49-F238E27FC236}">
              <a16:creationId xmlns:a16="http://schemas.microsoft.com/office/drawing/2014/main" id="{7233D003-B405-40E1-B594-F690E3CCC6B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0" name="AutoShape 17">
          <a:extLst>
            <a:ext uri="{FF2B5EF4-FFF2-40B4-BE49-F238E27FC236}">
              <a16:creationId xmlns:a16="http://schemas.microsoft.com/office/drawing/2014/main" id="{4381BADF-F921-46B2-80C7-8AE15511E79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1" name="AutoShape 16">
          <a:extLst>
            <a:ext uri="{FF2B5EF4-FFF2-40B4-BE49-F238E27FC236}">
              <a16:creationId xmlns:a16="http://schemas.microsoft.com/office/drawing/2014/main" id="{80570C6B-9EDB-4D34-8E1E-6F34938B8A1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2" name="AutoShape 15">
          <a:extLst>
            <a:ext uri="{FF2B5EF4-FFF2-40B4-BE49-F238E27FC236}">
              <a16:creationId xmlns:a16="http://schemas.microsoft.com/office/drawing/2014/main" id="{1A554499-6535-4CB6-A742-4F2E5F1B870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3" name="AutoShape 14">
          <a:extLst>
            <a:ext uri="{FF2B5EF4-FFF2-40B4-BE49-F238E27FC236}">
              <a16:creationId xmlns:a16="http://schemas.microsoft.com/office/drawing/2014/main" id="{9BEDF4E6-726D-4667-89D5-81D157F5913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4" name="AutoShape 20">
          <a:extLst>
            <a:ext uri="{FF2B5EF4-FFF2-40B4-BE49-F238E27FC236}">
              <a16:creationId xmlns:a16="http://schemas.microsoft.com/office/drawing/2014/main" id="{7EA70F1A-A852-438F-8FB9-91906A37DAF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5" name="AutoShape 19">
          <a:extLst>
            <a:ext uri="{FF2B5EF4-FFF2-40B4-BE49-F238E27FC236}">
              <a16:creationId xmlns:a16="http://schemas.microsoft.com/office/drawing/2014/main" id="{D5BCAD8D-1C3E-4A02-8809-2D54F07F437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6" name="AutoShape 18">
          <a:extLst>
            <a:ext uri="{FF2B5EF4-FFF2-40B4-BE49-F238E27FC236}">
              <a16:creationId xmlns:a16="http://schemas.microsoft.com/office/drawing/2014/main" id="{7F757A19-AC47-4FB7-A072-668042B1570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7" name="AutoShape 17">
          <a:extLst>
            <a:ext uri="{FF2B5EF4-FFF2-40B4-BE49-F238E27FC236}">
              <a16:creationId xmlns:a16="http://schemas.microsoft.com/office/drawing/2014/main" id="{D8868540-2639-4DD4-A17E-14F6005A3DC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8" name="AutoShape 16">
          <a:extLst>
            <a:ext uri="{FF2B5EF4-FFF2-40B4-BE49-F238E27FC236}">
              <a16:creationId xmlns:a16="http://schemas.microsoft.com/office/drawing/2014/main" id="{C480BB61-7358-4B0D-A791-C36D8C58E8D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19" name="AutoShape 15">
          <a:extLst>
            <a:ext uri="{FF2B5EF4-FFF2-40B4-BE49-F238E27FC236}">
              <a16:creationId xmlns:a16="http://schemas.microsoft.com/office/drawing/2014/main" id="{4619F630-9088-447D-A8FC-BE080A51996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0" name="AutoShape 14">
          <a:extLst>
            <a:ext uri="{FF2B5EF4-FFF2-40B4-BE49-F238E27FC236}">
              <a16:creationId xmlns:a16="http://schemas.microsoft.com/office/drawing/2014/main" id="{B2D709E4-EF0D-4E64-8F3A-D654CC1A4EA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1" name="AutoShape 20">
          <a:extLst>
            <a:ext uri="{FF2B5EF4-FFF2-40B4-BE49-F238E27FC236}">
              <a16:creationId xmlns:a16="http://schemas.microsoft.com/office/drawing/2014/main" id="{9C1D2125-2288-4AEB-B3ED-5EDB3E5EB76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2" name="AutoShape 19">
          <a:extLst>
            <a:ext uri="{FF2B5EF4-FFF2-40B4-BE49-F238E27FC236}">
              <a16:creationId xmlns:a16="http://schemas.microsoft.com/office/drawing/2014/main" id="{21A9044C-681E-4456-91D5-0FB258A6012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7D131791-39A7-4517-865A-4757767A121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4" name="AutoShape 17">
          <a:extLst>
            <a:ext uri="{FF2B5EF4-FFF2-40B4-BE49-F238E27FC236}">
              <a16:creationId xmlns:a16="http://schemas.microsoft.com/office/drawing/2014/main" id="{1AFE6666-2091-4B24-B3B5-88ECF33FE6A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5" name="AutoShape 16">
          <a:extLst>
            <a:ext uri="{FF2B5EF4-FFF2-40B4-BE49-F238E27FC236}">
              <a16:creationId xmlns:a16="http://schemas.microsoft.com/office/drawing/2014/main" id="{77F27E8B-E4EF-4BD2-8217-C042C55E7E8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6" name="AutoShape 15">
          <a:extLst>
            <a:ext uri="{FF2B5EF4-FFF2-40B4-BE49-F238E27FC236}">
              <a16:creationId xmlns:a16="http://schemas.microsoft.com/office/drawing/2014/main" id="{CCFBAECE-3D88-4C35-B1B1-7DE0686A0FD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7" name="AutoShape 14">
          <a:extLst>
            <a:ext uri="{FF2B5EF4-FFF2-40B4-BE49-F238E27FC236}">
              <a16:creationId xmlns:a16="http://schemas.microsoft.com/office/drawing/2014/main" id="{9B502FA3-741D-4186-8463-9C1787A501D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8" name="AutoShape 20">
          <a:extLst>
            <a:ext uri="{FF2B5EF4-FFF2-40B4-BE49-F238E27FC236}">
              <a16:creationId xmlns:a16="http://schemas.microsoft.com/office/drawing/2014/main" id="{54F3613D-57A4-471C-AD14-597E7F17116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29" name="AutoShape 19">
          <a:extLst>
            <a:ext uri="{FF2B5EF4-FFF2-40B4-BE49-F238E27FC236}">
              <a16:creationId xmlns:a16="http://schemas.microsoft.com/office/drawing/2014/main" id="{945A0DF8-05A6-4900-8A12-32DEF18A347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0" name="AutoShape 18">
          <a:extLst>
            <a:ext uri="{FF2B5EF4-FFF2-40B4-BE49-F238E27FC236}">
              <a16:creationId xmlns:a16="http://schemas.microsoft.com/office/drawing/2014/main" id="{8C7E105E-5B54-4288-A015-9239F5BC7F1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1" name="AutoShape 17">
          <a:extLst>
            <a:ext uri="{FF2B5EF4-FFF2-40B4-BE49-F238E27FC236}">
              <a16:creationId xmlns:a16="http://schemas.microsoft.com/office/drawing/2014/main" id="{7D74A574-3518-4684-9B55-52450A33679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2" name="AutoShape 16">
          <a:extLst>
            <a:ext uri="{FF2B5EF4-FFF2-40B4-BE49-F238E27FC236}">
              <a16:creationId xmlns:a16="http://schemas.microsoft.com/office/drawing/2014/main" id="{0A6CBA91-2D91-4889-9064-4C8EB528627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3" name="AutoShape 15">
          <a:extLst>
            <a:ext uri="{FF2B5EF4-FFF2-40B4-BE49-F238E27FC236}">
              <a16:creationId xmlns:a16="http://schemas.microsoft.com/office/drawing/2014/main" id="{EAD6E85C-5468-4908-85E2-3226D3DE91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4" name="AutoShape 14">
          <a:extLst>
            <a:ext uri="{FF2B5EF4-FFF2-40B4-BE49-F238E27FC236}">
              <a16:creationId xmlns:a16="http://schemas.microsoft.com/office/drawing/2014/main" id="{BCE8CBA4-A1FB-429B-AA3D-174AE15C6CF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5" name="AutoShape 20">
          <a:extLst>
            <a:ext uri="{FF2B5EF4-FFF2-40B4-BE49-F238E27FC236}">
              <a16:creationId xmlns:a16="http://schemas.microsoft.com/office/drawing/2014/main" id="{4C1784D1-D2FF-4D1C-BC62-D8B26C28DA9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6" name="AutoShape 19">
          <a:extLst>
            <a:ext uri="{FF2B5EF4-FFF2-40B4-BE49-F238E27FC236}">
              <a16:creationId xmlns:a16="http://schemas.microsoft.com/office/drawing/2014/main" id="{9AB22B5C-BDF8-4D46-9CCF-CD1649D9FA5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7" name="AutoShape 18">
          <a:extLst>
            <a:ext uri="{FF2B5EF4-FFF2-40B4-BE49-F238E27FC236}">
              <a16:creationId xmlns:a16="http://schemas.microsoft.com/office/drawing/2014/main" id="{252B3E46-C7A9-46C7-8054-46DC5FCCB14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8" name="AutoShape 17">
          <a:extLst>
            <a:ext uri="{FF2B5EF4-FFF2-40B4-BE49-F238E27FC236}">
              <a16:creationId xmlns:a16="http://schemas.microsoft.com/office/drawing/2014/main" id="{1F7B481C-38F5-4146-BBED-D5B548B12E5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39" name="AutoShape 16">
          <a:extLst>
            <a:ext uri="{FF2B5EF4-FFF2-40B4-BE49-F238E27FC236}">
              <a16:creationId xmlns:a16="http://schemas.microsoft.com/office/drawing/2014/main" id="{B706E6D0-35CA-490A-83DA-D054CC96B84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0" name="AutoShape 15">
          <a:extLst>
            <a:ext uri="{FF2B5EF4-FFF2-40B4-BE49-F238E27FC236}">
              <a16:creationId xmlns:a16="http://schemas.microsoft.com/office/drawing/2014/main" id="{63D974EA-A3B3-45CB-9C12-21E3F4EEC8A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1" name="AutoShape 14">
          <a:extLst>
            <a:ext uri="{FF2B5EF4-FFF2-40B4-BE49-F238E27FC236}">
              <a16:creationId xmlns:a16="http://schemas.microsoft.com/office/drawing/2014/main" id="{D6479E4E-445C-49BA-A323-A1CA62F6B17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2" name="AutoShape 20">
          <a:extLst>
            <a:ext uri="{FF2B5EF4-FFF2-40B4-BE49-F238E27FC236}">
              <a16:creationId xmlns:a16="http://schemas.microsoft.com/office/drawing/2014/main" id="{0AEDBCF7-E1BF-4A8C-8777-5A144EEA575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3" name="AutoShape 19">
          <a:extLst>
            <a:ext uri="{FF2B5EF4-FFF2-40B4-BE49-F238E27FC236}">
              <a16:creationId xmlns:a16="http://schemas.microsoft.com/office/drawing/2014/main" id="{45385097-EDEF-4368-8C90-C458B214C54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CA96465-5134-4701-A483-FBB09607437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5" name="AutoShape 17">
          <a:extLst>
            <a:ext uri="{FF2B5EF4-FFF2-40B4-BE49-F238E27FC236}">
              <a16:creationId xmlns:a16="http://schemas.microsoft.com/office/drawing/2014/main" id="{55CDF3B4-BCDE-4341-8573-099BC8BBD6C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6" name="AutoShape 16">
          <a:extLst>
            <a:ext uri="{FF2B5EF4-FFF2-40B4-BE49-F238E27FC236}">
              <a16:creationId xmlns:a16="http://schemas.microsoft.com/office/drawing/2014/main" id="{2B5E2649-7D88-4996-9B2E-5E5FBAF4F85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7" name="AutoShape 15">
          <a:extLst>
            <a:ext uri="{FF2B5EF4-FFF2-40B4-BE49-F238E27FC236}">
              <a16:creationId xmlns:a16="http://schemas.microsoft.com/office/drawing/2014/main" id="{1822DF10-FFD3-407D-BD3E-60F14A23883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8" name="AutoShape 14">
          <a:extLst>
            <a:ext uri="{FF2B5EF4-FFF2-40B4-BE49-F238E27FC236}">
              <a16:creationId xmlns:a16="http://schemas.microsoft.com/office/drawing/2014/main" id="{C8CED367-A89D-4DF9-92E9-9D6BDF35017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49" name="AutoShape 20">
          <a:extLst>
            <a:ext uri="{FF2B5EF4-FFF2-40B4-BE49-F238E27FC236}">
              <a16:creationId xmlns:a16="http://schemas.microsoft.com/office/drawing/2014/main" id="{E56E660C-0A14-4840-B45A-E15D9BD504F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0" name="AutoShape 19">
          <a:extLst>
            <a:ext uri="{FF2B5EF4-FFF2-40B4-BE49-F238E27FC236}">
              <a16:creationId xmlns:a16="http://schemas.microsoft.com/office/drawing/2014/main" id="{01006716-E315-447E-A479-B3E0BBBE6BD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1" name="AutoShape 18">
          <a:extLst>
            <a:ext uri="{FF2B5EF4-FFF2-40B4-BE49-F238E27FC236}">
              <a16:creationId xmlns:a16="http://schemas.microsoft.com/office/drawing/2014/main" id="{A50347BE-515A-4360-B09A-C3CAFFB606D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2" name="AutoShape 17">
          <a:extLst>
            <a:ext uri="{FF2B5EF4-FFF2-40B4-BE49-F238E27FC236}">
              <a16:creationId xmlns:a16="http://schemas.microsoft.com/office/drawing/2014/main" id="{0D46266B-A3BB-4927-A8CC-6490FDF5EC6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3" name="AutoShape 16">
          <a:extLst>
            <a:ext uri="{FF2B5EF4-FFF2-40B4-BE49-F238E27FC236}">
              <a16:creationId xmlns:a16="http://schemas.microsoft.com/office/drawing/2014/main" id="{36B17D30-875E-4FCF-A951-CAB267D88EA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4" name="AutoShape 15">
          <a:extLst>
            <a:ext uri="{FF2B5EF4-FFF2-40B4-BE49-F238E27FC236}">
              <a16:creationId xmlns:a16="http://schemas.microsoft.com/office/drawing/2014/main" id="{AD79FEA8-E8F5-4C8E-9A8A-04CF731DC00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5" name="AutoShape 14">
          <a:extLst>
            <a:ext uri="{FF2B5EF4-FFF2-40B4-BE49-F238E27FC236}">
              <a16:creationId xmlns:a16="http://schemas.microsoft.com/office/drawing/2014/main" id="{55FB00D1-18AB-4779-977B-1281B4C9384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6" name="AutoShape 20">
          <a:extLst>
            <a:ext uri="{FF2B5EF4-FFF2-40B4-BE49-F238E27FC236}">
              <a16:creationId xmlns:a16="http://schemas.microsoft.com/office/drawing/2014/main" id="{ADAB55A6-296F-4E96-A801-00EB63C2885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7" name="AutoShape 19">
          <a:extLst>
            <a:ext uri="{FF2B5EF4-FFF2-40B4-BE49-F238E27FC236}">
              <a16:creationId xmlns:a16="http://schemas.microsoft.com/office/drawing/2014/main" id="{B3AEA8B2-8F94-4E03-B21B-15BDCDD86CD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8" name="AutoShape 18">
          <a:extLst>
            <a:ext uri="{FF2B5EF4-FFF2-40B4-BE49-F238E27FC236}">
              <a16:creationId xmlns:a16="http://schemas.microsoft.com/office/drawing/2014/main" id="{82A700EC-7846-40F4-8BF5-BCF31CFFC17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59" name="AutoShape 17">
          <a:extLst>
            <a:ext uri="{FF2B5EF4-FFF2-40B4-BE49-F238E27FC236}">
              <a16:creationId xmlns:a16="http://schemas.microsoft.com/office/drawing/2014/main" id="{DC720972-DFAF-4B6D-A2B2-3D06FACFA23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0" name="AutoShape 16">
          <a:extLst>
            <a:ext uri="{FF2B5EF4-FFF2-40B4-BE49-F238E27FC236}">
              <a16:creationId xmlns:a16="http://schemas.microsoft.com/office/drawing/2014/main" id="{2E15B909-B984-4771-9413-3B2F35F36BC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1" name="AutoShape 15">
          <a:extLst>
            <a:ext uri="{FF2B5EF4-FFF2-40B4-BE49-F238E27FC236}">
              <a16:creationId xmlns:a16="http://schemas.microsoft.com/office/drawing/2014/main" id="{BA1E012C-4DA0-499F-A4CE-303B72641A1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2" name="AutoShape 14">
          <a:extLst>
            <a:ext uri="{FF2B5EF4-FFF2-40B4-BE49-F238E27FC236}">
              <a16:creationId xmlns:a16="http://schemas.microsoft.com/office/drawing/2014/main" id="{83DBDA0B-C76E-4560-ADFA-9D9E8DABCE4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3" name="AutoShape 20">
          <a:extLst>
            <a:ext uri="{FF2B5EF4-FFF2-40B4-BE49-F238E27FC236}">
              <a16:creationId xmlns:a16="http://schemas.microsoft.com/office/drawing/2014/main" id="{5169EA1F-F89D-4786-92DE-662FDD3424C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4" name="AutoShape 19">
          <a:extLst>
            <a:ext uri="{FF2B5EF4-FFF2-40B4-BE49-F238E27FC236}">
              <a16:creationId xmlns:a16="http://schemas.microsoft.com/office/drawing/2014/main" id="{24C7BBA4-E5CE-4772-898C-B8118D3061D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5DA757C6-7CD1-4B2C-A016-D3905A59C26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6" name="AutoShape 17">
          <a:extLst>
            <a:ext uri="{FF2B5EF4-FFF2-40B4-BE49-F238E27FC236}">
              <a16:creationId xmlns:a16="http://schemas.microsoft.com/office/drawing/2014/main" id="{90AC7C02-6F2E-4B55-BAA6-65FA421BFFC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7" name="AutoShape 16">
          <a:extLst>
            <a:ext uri="{FF2B5EF4-FFF2-40B4-BE49-F238E27FC236}">
              <a16:creationId xmlns:a16="http://schemas.microsoft.com/office/drawing/2014/main" id="{7EABD7EC-C5FB-4F24-BD0F-F4552A12205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8" name="AutoShape 15">
          <a:extLst>
            <a:ext uri="{FF2B5EF4-FFF2-40B4-BE49-F238E27FC236}">
              <a16:creationId xmlns:a16="http://schemas.microsoft.com/office/drawing/2014/main" id="{BBFE14AB-32A0-4C8E-B903-E2100F85494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466725</xdr:colOff>
      <xdr:row>55</xdr:row>
      <xdr:rowOff>142875</xdr:rowOff>
    </xdr:to>
    <xdr:sp macro="" textlink="">
      <xdr:nvSpPr>
        <xdr:cNvPr id="169" name="AutoShape 14">
          <a:extLst>
            <a:ext uri="{FF2B5EF4-FFF2-40B4-BE49-F238E27FC236}">
              <a16:creationId xmlns:a16="http://schemas.microsoft.com/office/drawing/2014/main" id="{5F4EC8F4-E57F-4093-8517-1397D20D98A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755505" cy="96297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ita/Documents/Prefeituras/Nicolau%20Vergueiro/Transporte%20Escolar/Encarsos%20Sociais%20e%20BD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Coleta Domiciliar"/>
      <sheetName val="2.Encargos Sociais"/>
      <sheetName val="3.CAGED"/>
      <sheetName val="4.BDI"/>
      <sheetName val="5. Depreciação"/>
      <sheetName val="6.Remuneração de capital"/>
      <sheetName val="7. Dimensionamento"/>
    </sheetNames>
    <sheetDataSet>
      <sheetData sheetId="0"/>
      <sheetData sheetId="1"/>
      <sheetData sheetId="2">
        <row r="28">
          <cell r="C28">
            <v>0.44328790642772831</v>
          </cell>
        </row>
        <row r="29">
          <cell r="C29">
            <v>0.25582144006867691</v>
          </cell>
        </row>
        <row r="30">
          <cell r="C30">
            <v>360</v>
          </cell>
        </row>
        <row r="31">
          <cell r="C31">
            <v>10</v>
          </cell>
        </row>
        <row r="32">
          <cell r="C32">
            <v>30</v>
          </cell>
        </row>
        <row r="33">
          <cell r="C33">
            <v>30</v>
          </cell>
        </row>
        <row r="35">
          <cell r="C35">
            <v>0.08</v>
          </cell>
        </row>
        <row r="36">
          <cell r="C36">
            <v>0.4</v>
          </cell>
        </row>
        <row r="38">
          <cell r="C38">
            <v>36</v>
          </cell>
        </row>
        <row r="39">
          <cell r="C39">
            <v>27.070442992011618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0B97F-1485-4FEB-9183-7B9FC75CB167}">
  <dimension ref="A1:AMK42"/>
  <sheetViews>
    <sheetView topLeftCell="A17" zoomScaleNormal="100" workbookViewId="0">
      <selection activeCell="D15" sqref="D15"/>
    </sheetView>
  </sheetViews>
  <sheetFormatPr defaultRowHeight="15" x14ac:dyDescent="0.25"/>
  <cols>
    <col min="1" max="1" width="33.140625" style="1" customWidth="1"/>
    <col min="2" max="2" width="10.42578125" style="1" customWidth="1"/>
    <col min="3" max="3" width="36.140625" style="1" customWidth="1"/>
    <col min="4" max="4" width="11.5703125" style="1" customWidth="1"/>
    <col min="5" max="5" width="9.140625" style="1" customWidth="1"/>
    <col min="6" max="6" width="10" style="1" bestFit="1" customWidth="1"/>
    <col min="7" max="1025" width="9.140625" style="1" customWidth="1"/>
  </cols>
  <sheetData>
    <row r="1" spans="1:5" ht="24" thickTop="1" x14ac:dyDescent="0.35">
      <c r="A1" s="132" t="s">
        <v>135</v>
      </c>
      <c r="B1" s="132"/>
      <c r="C1" s="132"/>
      <c r="D1" s="132"/>
    </row>
    <row r="2" spans="1:5" ht="19.5" thickBot="1" x14ac:dyDescent="0.35">
      <c r="A2" s="133" t="s">
        <v>134</v>
      </c>
      <c r="B2" s="133"/>
      <c r="C2" s="133"/>
      <c r="D2" s="133"/>
    </row>
    <row r="3" spans="1:5" ht="24.75" thickTop="1" thickBot="1" x14ac:dyDescent="0.4">
      <c r="A3" s="134" t="s">
        <v>138</v>
      </c>
      <c r="B3" s="134"/>
      <c r="C3" s="134"/>
      <c r="D3" s="134"/>
    </row>
    <row r="4" spans="1:5" ht="20.25" thickTop="1" thickBot="1" x14ac:dyDescent="0.35">
      <c r="A4" s="135" t="s">
        <v>141</v>
      </c>
      <c r="B4" s="135"/>
      <c r="C4" s="135"/>
      <c r="D4" s="135"/>
    </row>
    <row r="5" spans="1:5" ht="24.75" thickTop="1" thickBot="1" x14ac:dyDescent="0.4">
      <c r="A5" s="134"/>
      <c r="B5" s="134"/>
      <c r="C5" s="134"/>
      <c r="D5" s="134"/>
    </row>
    <row r="6" spans="1:5" ht="16.5" thickTop="1" thickBot="1" x14ac:dyDescent="0.3">
      <c r="A6" s="131"/>
      <c r="B6" s="131"/>
      <c r="C6" s="131"/>
      <c r="D6" s="131"/>
    </row>
    <row r="7" spans="1:5" ht="21.75" thickTop="1" x14ac:dyDescent="0.35">
      <c r="A7" s="2" t="s">
        <v>0</v>
      </c>
      <c r="B7" s="3"/>
      <c r="C7" s="4" t="s">
        <v>1</v>
      </c>
      <c r="D7" s="5"/>
    </row>
    <row r="8" spans="1:5" x14ac:dyDescent="0.25">
      <c r="A8" s="6" t="s">
        <v>2</v>
      </c>
      <c r="B8" s="3"/>
      <c r="C8" s="7" t="s">
        <v>3</v>
      </c>
      <c r="D8" s="8"/>
    </row>
    <row r="9" spans="1:5" x14ac:dyDescent="0.25">
      <c r="A9" s="9" t="s">
        <v>4</v>
      </c>
      <c r="B9" s="44">
        <v>6.64</v>
      </c>
      <c r="C9" s="11" t="s">
        <v>5</v>
      </c>
      <c r="D9" s="48">
        <v>250000</v>
      </c>
      <c r="E9" s="13"/>
    </row>
    <row r="10" spans="1:5" x14ac:dyDescent="0.25">
      <c r="A10" s="9" t="s">
        <v>6</v>
      </c>
      <c r="B10" s="44">
        <v>4.5</v>
      </c>
      <c r="C10" s="11" t="s">
        <v>7</v>
      </c>
      <c r="D10" s="46">
        <v>0.08</v>
      </c>
      <c r="E10" s="13"/>
    </row>
    <row r="11" spans="1:5" x14ac:dyDescent="0.25">
      <c r="A11" s="9" t="s">
        <v>42</v>
      </c>
      <c r="B11" s="44">
        <v>4.5</v>
      </c>
      <c r="C11" s="11" t="s">
        <v>8</v>
      </c>
      <c r="D11" s="12">
        <f>D9*D10</f>
        <v>20000</v>
      </c>
    </row>
    <row r="12" spans="1:5" x14ac:dyDescent="0.25">
      <c r="A12" s="9" t="s">
        <v>43</v>
      </c>
      <c r="B12" s="45">
        <f>(1000/B10)*0.05</f>
        <v>11.111111111111112</v>
      </c>
      <c r="C12" s="11" t="s">
        <v>9</v>
      </c>
      <c r="D12" s="12">
        <f>D11/12</f>
        <v>1666.6666666666667</v>
      </c>
    </row>
    <row r="13" spans="1:5" ht="15.75" thickBot="1" x14ac:dyDescent="0.3">
      <c r="A13" s="9" t="s">
        <v>44</v>
      </c>
      <c r="B13" s="45">
        <f>(B12*B11)/1000</f>
        <v>5.000000000000001E-2</v>
      </c>
      <c r="C13" s="11" t="s">
        <v>137</v>
      </c>
      <c r="D13" s="48">
        <v>85</v>
      </c>
    </row>
    <row r="14" spans="1:5" ht="15.75" thickBot="1" x14ac:dyDescent="0.3">
      <c r="A14" s="14" t="s">
        <v>45</v>
      </c>
      <c r="B14" s="15">
        <f>(B9/B10)+B13</f>
        <v>1.5255555555555556</v>
      </c>
      <c r="C14" s="11" t="s">
        <v>143</v>
      </c>
      <c r="D14" s="17">
        <f>20*D13</f>
        <v>1700</v>
      </c>
    </row>
    <row r="15" spans="1:5" x14ac:dyDescent="0.25">
      <c r="A15" s="14"/>
      <c r="B15" s="15"/>
      <c r="C15" s="18" t="s">
        <v>12</v>
      </c>
      <c r="D15" s="19">
        <f>D12/D14</f>
        <v>0.98039215686274517</v>
      </c>
    </row>
    <row r="16" spans="1:5" x14ac:dyDescent="0.25">
      <c r="A16" s="6" t="s">
        <v>10</v>
      </c>
      <c r="B16" s="16"/>
      <c r="C16" s="18"/>
      <c r="D16" s="19"/>
    </row>
    <row r="17" spans="1:6" ht="15.75" thickBot="1" x14ac:dyDescent="0.3">
      <c r="A17" s="9" t="s">
        <v>11</v>
      </c>
      <c r="B17" s="44">
        <v>35</v>
      </c>
      <c r="C17" s="20" t="s">
        <v>13</v>
      </c>
      <c r="D17" s="21"/>
    </row>
    <row r="18" spans="1:6" ht="15.75" thickBot="1" x14ac:dyDescent="0.3">
      <c r="A18" s="9" t="s">
        <v>41</v>
      </c>
      <c r="B18" s="10">
        <f>B17*12</f>
        <v>420</v>
      </c>
      <c r="C18" s="11" t="s">
        <v>15</v>
      </c>
      <c r="D18" s="22">
        <v>2579.0700000000002</v>
      </c>
    </row>
    <row r="19" spans="1:6" x14ac:dyDescent="0.25">
      <c r="A19" s="9" t="s">
        <v>14</v>
      </c>
      <c r="B19" s="10">
        <v>8000</v>
      </c>
      <c r="C19" s="11" t="s">
        <v>40</v>
      </c>
      <c r="D19" s="48">
        <f>D18*0.6663</f>
        <v>1718.4343410000001</v>
      </c>
    </row>
    <row r="20" spans="1:6" x14ac:dyDescent="0.25">
      <c r="A20" s="14" t="s">
        <v>16</v>
      </c>
      <c r="B20" s="15">
        <f>B18/B19</f>
        <v>5.2499999999999998E-2</v>
      </c>
      <c r="C20" s="11" t="s">
        <v>140</v>
      </c>
      <c r="D20" s="12">
        <f>20*(39*0.95)</f>
        <v>741</v>
      </c>
    </row>
    <row r="21" spans="1:6" x14ac:dyDescent="0.25">
      <c r="A21" s="6" t="s">
        <v>17</v>
      </c>
      <c r="B21" s="10"/>
      <c r="C21" s="11"/>
      <c r="D21" s="12"/>
    </row>
    <row r="22" spans="1:6" x14ac:dyDescent="0.25">
      <c r="A22" s="9" t="s">
        <v>46</v>
      </c>
      <c r="B22" s="44">
        <v>1700</v>
      </c>
      <c r="C22" s="11" t="s">
        <v>20</v>
      </c>
      <c r="D22" s="12">
        <f>D18+D19+D20+D21</f>
        <v>5038.5043409999998</v>
      </c>
    </row>
    <row r="23" spans="1:6" x14ac:dyDescent="0.25">
      <c r="A23" s="9" t="s">
        <v>18</v>
      </c>
      <c r="B23" s="10">
        <v>6</v>
      </c>
      <c r="C23" s="11" t="s">
        <v>50</v>
      </c>
      <c r="D23" s="129">
        <v>0.8</v>
      </c>
    </row>
    <row r="24" spans="1:6" x14ac:dyDescent="0.25">
      <c r="A24" s="9" t="s">
        <v>47</v>
      </c>
      <c r="B24" s="44">
        <v>600</v>
      </c>
      <c r="C24" s="11"/>
      <c r="D24" s="12"/>
    </row>
    <row r="25" spans="1:6" x14ac:dyDescent="0.25">
      <c r="A25" s="9" t="s">
        <v>48</v>
      </c>
      <c r="B25" s="10">
        <v>1</v>
      </c>
      <c r="C25" s="18" t="s">
        <v>24</v>
      </c>
      <c r="D25" s="19">
        <f>(D22/D14)*D23</f>
        <v>2.3710608663529409</v>
      </c>
      <c r="F25" s="43"/>
    </row>
    <row r="26" spans="1:6" x14ac:dyDescent="0.25">
      <c r="A26" s="9" t="s">
        <v>19</v>
      </c>
      <c r="B26" s="10">
        <v>60000</v>
      </c>
      <c r="C26" s="20" t="s">
        <v>39</v>
      </c>
      <c r="D26" s="12"/>
      <c r="F26" s="43"/>
    </row>
    <row r="27" spans="1:6" x14ac:dyDescent="0.25">
      <c r="A27" s="14" t="s">
        <v>21</v>
      </c>
      <c r="B27" s="15">
        <f>(((B22*B23)+(B24*B25)*B23)/((B26*(B25+1))))</f>
        <v>0.115</v>
      </c>
      <c r="C27" s="11" t="s">
        <v>26</v>
      </c>
      <c r="D27" s="12">
        <f>(D9*0.01)/12</f>
        <v>208.33333333333334</v>
      </c>
      <c r="F27" s="43"/>
    </row>
    <row r="28" spans="1:6" ht="15.75" thickBot="1" x14ac:dyDescent="0.3">
      <c r="A28" s="6" t="s">
        <v>22</v>
      </c>
      <c r="B28" s="23"/>
      <c r="C28" s="11" t="s">
        <v>27</v>
      </c>
      <c r="D28" s="48">
        <v>270</v>
      </c>
      <c r="F28" s="130"/>
    </row>
    <row r="29" spans="1:6" ht="15.75" thickBot="1" x14ac:dyDescent="0.3">
      <c r="A29" s="9" t="s">
        <v>23</v>
      </c>
      <c r="B29" s="24">
        <f>D14*0.8</f>
        <v>1360</v>
      </c>
      <c r="C29" s="11" t="s">
        <v>28</v>
      </c>
      <c r="D29" s="12">
        <v>90</v>
      </c>
    </row>
    <row r="30" spans="1:6" x14ac:dyDescent="0.25">
      <c r="A30" s="14" t="s">
        <v>25</v>
      </c>
      <c r="B30" s="15">
        <f>B29/D14</f>
        <v>0.8</v>
      </c>
      <c r="C30" s="11" t="s">
        <v>29</v>
      </c>
      <c r="D30" s="12">
        <v>10</v>
      </c>
    </row>
    <row r="31" spans="1:6" x14ac:dyDescent="0.25">
      <c r="A31" s="14"/>
      <c r="B31" s="25"/>
      <c r="C31" s="11" t="s">
        <v>49</v>
      </c>
      <c r="D31" s="48">
        <v>80</v>
      </c>
    </row>
    <row r="32" spans="1:6" x14ac:dyDescent="0.25">
      <c r="A32" s="14"/>
      <c r="B32" s="25"/>
      <c r="C32" s="11" t="s">
        <v>30</v>
      </c>
      <c r="D32" s="12">
        <f>SUM(D27:D31)</f>
        <v>658.33333333333337</v>
      </c>
    </row>
    <row r="33" spans="1:5" ht="15.75" thickBot="1" x14ac:dyDescent="0.3">
      <c r="A33" s="14"/>
      <c r="B33" s="25"/>
      <c r="C33" s="26" t="s">
        <v>31</v>
      </c>
      <c r="D33" s="27">
        <f>D32/D14</f>
        <v>0.38725490196078433</v>
      </c>
    </row>
    <row r="34" spans="1:5" ht="16.5" thickTop="1" thickBot="1" x14ac:dyDescent="0.3">
      <c r="A34" s="28" t="s">
        <v>32</v>
      </c>
      <c r="B34" s="29">
        <f>B27+B20+B14+B30</f>
        <v>2.4930555555555554</v>
      </c>
      <c r="C34" s="30" t="s">
        <v>33</v>
      </c>
      <c r="D34" s="31">
        <f>D33+D25+D15</f>
        <v>3.7387079251764703</v>
      </c>
    </row>
    <row r="35" spans="1:5" s="1" customFormat="1" ht="14.25" thickTop="1" thickBot="1" x14ac:dyDescent="0.25">
      <c r="A35" s="32" t="s">
        <v>34</v>
      </c>
      <c r="B35" s="33"/>
      <c r="C35" s="34"/>
      <c r="D35" s="35">
        <f>D34+B34</f>
        <v>6.2317634807320257</v>
      </c>
    </row>
    <row r="36" spans="1:5" s="1" customFormat="1" ht="14.25" thickTop="1" thickBot="1" x14ac:dyDescent="0.25">
      <c r="A36" s="36" t="s">
        <v>35</v>
      </c>
      <c r="B36" s="37"/>
      <c r="C36" s="38"/>
      <c r="D36" s="47">
        <v>0.2389</v>
      </c>
    </row>
    <row r="37" spans="1:5" s="1" customFormat="1" ht="14.25" thickTop="1" thickBot="1" x14ac:dyDescent="0.25">
      <c r="A37" s="32" t="s">
        <v>36</v>
      </c>
      <c r="B37" s="39"/>
      <c r="C37" s="39"/>
      <c r="D37" s="42">
        <f>(D35*D36)+D35</f>
        <v>7.7205317762789063</v>
      </c>
      <c r="E37" s="41"/>
    </row>
    <row r="38" spans="1:5" s="1" customFormat="1" ht="13.5" thickTop="1" x14ac:dyDescent="0.2"/>
    <row r="39" spans="1:5" s="1" customFormat="1" ht="12.75" x14ac:dyDescent="0.2">
      <c r="A39" s="40" t="s">
        <v>37</v>
      </c>
    </row>
    <row r="40" spans="1:5" s="1" customFormat="1" ht="12.75" x14ac:dyDescent="0.2">
      <c r="A40" s="1" t="s">
        <v>131</v>
      </c>
    </row>
    <row r="41" spans="1:5" s="1" customFormat="1" ht="12.75" x14ac:dyDescent="0.2">
      <c r="A41" s="1" t="s">
        <v>132</v>
      </c>
    </row>
    <row r="42" spans="1:5" s="1" customFormat="1" ht="15" customHeight="1" x14ac:dyDescent="0.2">
      <c r="A42" s="1" t="s">
        <v>133</v>
      </c>
    </row>
  </sheetData>
  <mergeCells count="6">
    <mergeCell ref="A6:D6"/>
    <mergeCell ref="A1:D1"/>
    <mergeCell ref="A2:D2"/>
    <mergeCell ref="A3:D3"/>
    <mergeCell ref="A4:D4"/>
    <mergeCell ref="A5:D5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0626-679F-41BD-BF4A-7A44D80FD2E0}">
  <dimension ref="A1:AMK42"/>
  <sheetViews>
    <sheetView tabSelected="1" topLeftCell="A21" zoomScaleNormal="100" workbookViewId="0">
      <selection activeCell="F37" sqref="F37"/>
    </sheetView>
  </sheetViews>
  <sheetFormatPr defaultRowHeight="15" x14ac:dyDescent="0.25"/>
  <cols>
    <col min="1" max="1" width="33.140625" style="1" customWidth="1"/>
    <col min="2" max="2" width="10.42578125" style="1" customWidth="1"/>
    <col min="3" max="3" width="36.140625" style="1" customWidth="1"/>
    <col min="4" max="4" width="11.5703125" style="1" customWidth="1"/>
    <col min="5" max="5" width="9.140625" style="1" customWidth="1"/>
    <col min="6" max="6" width="10" style="1" bestFit="1" customWidth="1"/>
    <col min="7" max="1025" width="9.140625" style="1" customWidth="1"/>
  </cols>
  <sheetData>
    <row r="1" spans="1:5" ht="24" thickTop="1" x14ac:dyDescent="0.35">
      <c r="A1" s="132" t="s">
        <v>135</v>
      </c>
      <c r="B1" s="132"/>
      <c r="C1" s="132"/>
      <c r="D1" s="132"/>
    </row>
    <row r="2" spans="1:5" ht="19.5" thickBot="1" x14ac:dyDescent="0.35">
      <c r="A2" s="142" t="s">
        <v>144</v>
      </c>
      <c r="B2" s="142"/>
      <c r="C2" s="142"/>
      <c r="D2" s="142"/>
    </row>
    <row r="3" spans="1:5" ht="24.75" thickTop="1" thickBot="1" x14ac:dyDescent="0.4">
      <c r="A3" s="134" t="s">
        <v>139</v>
      </c>
      <c r="B3" s="134"/>
      <c r="C3" s="134"/>
      <c r="D3" s="134"/>
    </row>
    <row r="4" spans="1:5" ht="20.25" thickTop="1" thickBot="1" x14ac:dyDescent="0.35">
      <c r="A4" s="135" t="s">
        <v>142</v>
      </c>
      <c r="B4" s="135"/>
      <c r="C4" s="135"/>
      <c r="D4" s="135"/>
    </row>
    <row r="5" spans="1:5" ht="24.75" thickTop="1" thickBot="1" x14ac:dyDescent="0.4">
      <c r="A5" s="134"/>
      <c r="B5" s="134"/>
      <c r="C5" s="134"/>
      <c r="D5" s="134"/>
    </row>
    <row r="6" spans="1:5" ht="16.5" thickTop="1" thickBot="1" x14ac:dyDescent="0.3">
      <c r="A6" s="131"/>
      <c r="B6" s="131"/>
      <c r="C6" s="131"/>
      <c r="D6" s="131"/>
    </row>
    <row r="7" spans="1:5" ht="21.75" thickTop="1" x14ac:dyDescent="0.35">
      <c r="A7" s="2" t="s">
        <v>0</v>
      </c>
      <c r="B7" s="3"/>
      <c r="C7" s="4" t="s">
        <v>1</v>
      </c>
      <c r="D7" s="5"/>
    </row>
    <row r="8" spans="1:5" x14ac:dyDescent="0.25">
      <c r="A8" s="6" t="s">
        <v>136</v>
      </c>
      <c r="B8" s="3"/>
      <c r="C8" s="7" t="s">
        <v>3</v>
      </c>
      <c r="D8" s="8"/>
    </row>
    <row r="9" spans="1:5" x14ac:dyDescent="0.25">
      <c r="A9" s="9" t="s">
        <v>4</v>
      </c>
      <c r="B9" s="44">
        <v>6.64</v>
      </c>
      <c r="C9" s="11" t="s">
        <v>5</v>
      </c>
      <c r="D9" s="48">
        <v>300000</v>
      </c>
      <c r="E9" s="13"/>
    </row>
    <row r="10" spans="1:5" x14ac:dyDescent="0.25">
      <c r="A10" s="9" t="s">
        <v>6</v>
      </c>
      <c r="B10" s="44">
        <v>2.8</v>
      </c>
      <c r="C10" s="11" t="s">
        <v>7</v>
      </c>
      <c r="D10" s="46">
        <v>0.08</v>
      </c>
      <c r="E10" s="13"/>
    </row>
    <row r="11" spans="1:5" x14ac:dyDescent="0.25">
      <c r="A11" s="9" t="s">
        <v>42</v>
      </c>
      <c r="B11" s="44">
        <v>4.5</v>
      </c>
      <c r="C11" s="11" t="s">
        <v>8</v>
      </c>
      <c r="D11" s="12">
        <f>D9*D10</f>
        <v>24000</v>
      </c>
    </row>
    <row r="12" spans="1:5" x14ac:dyDescent="0.25">
      <c r="A12" s="9" t="s">
        <v>43</v>
      </c>
      <c r="B12" s="45">
        <f>(1000/B10)*0.05</f>
        <v>17.857142857142858</v>
      </c>
      <c r="C12" s="11" t="s">
        <v>9</v>
      </c>
      <c r="D12" s="12">
        <f>D11/12</f>
        <v>2000</v>
      </c>
    </row>
    <row r="13" spans="1:5" ht="15.75" thickBot="1" x14ac:dyDescent="0.3">
      <c r="A13" s="9" t="s">
        <v>44</v>
      </c>
      <c r="B13" s="45">
        <f>(B12*B11)/1000</f>
        <v>8.0357142857142863E-2</v>
      </c>
      <c r="C13" s="11" t="s">
        <v>137</v>
      </c>
      <c r="D13" s="48">
        <v>100.67</v>
      </c>
    </row>
    <row r="14" spans="1:5" ht="15.75" thickBot="1" x14ac:dyDescent="0.3">
      <c r="A14" s="14" t="s">
        <v>45</v>
      </c>
      <c r="B14" s="15">
        <f>(B9/B10)+B13</f>
        <v>2.4517857142857142</v>
      </c>
      <c r="C14" s="11" t="s">
        <v>143</v>
      </c>
      <c r="D14" s="17">
        <f>20*D13</f>
        <v>2013.4</v>
      </c>
    </row>
    <row r="15" spans="1:5" x14ac:dyDescent="0.25">
      <c r="A15" s="14"/>
      <c r="B15" s="15"/>
      <c r="C15" s="18" t="s">
        <v>12</v>
      </c>
      <c r="D15" s="19">
        <f>D12/D14</f>
        <v>0.99334459123870067</v>
      </c>
    </row>
    <row r="16" spans="1:5" x14ac:dyDescent="0.25">
      <c r="A16" s="6" t="s">
        <v>10</v>
      </c>
      <c r="B16" s="16"/>
      <c r="C16" s="18"/>
      <c r="D16" s="19"/>
    </row>
    <row r="17" spans="1:4" ht="15.75" thickBot="1" x14ac:dyDescent="0.3">
      <c r="A17" s="9" t="s">
        <v>11</v>
      </c>
      <c r="B17" s="44">
        <v>35</v>
      </c>
      <c r="C17" s="20" t="s">
        <v>13</v>
      </c>
      <c r="D17" s="21"/>
    </row>
    <row r="18" spans="1:4" ht="15.75" thickBot="1" x14ac:dyDescent="0.3">
      <c r="A18" s="9" t="s">
        <v>38</v>
      </c>
      <c r="B18" s="10">
        <f>B17*16</f>
        <v>560</v>
      </c>
      <c r="C18" s="11" t="s">
        <v>15</v>
      </c>
      <c r="D18" s="22">
        <v>3968.99</v>
      </c>
    </row>
    <row r="19" spans="1:4" x14ac:dyDescent="0.25">
      <c r="A19" s="9" t="s">
        <v>14</v>
      </c>
      <c r="B19" s="10">
        <v>8000</v>
      </c>
      <c r="C19" s="11" t="s">
        <v>40</v>
      </c>
      <c r="D19" s="48">
        <f>D18*0.6663</f>
        <v>2644.5380369999998</v>
      </c>
    </row>
    <row r="20" spans="1:4" x14ac:dyDescent="0.25">
      <c r="A20" s="14" t="s">
        <v>16</v>
      </c>
      <c r="B20" s="15">
        <f>B18/B19</f>
        <v>7.0000000000000007E-2</v>
      </c>
      <c r="C20" s="11" t="s">
        <v>140</v>
      </c>
      <c r="D20" s="12">
        <f>20*(39*0.95)</f>
        <v>741</v>
      </c>
    </row>
    <row r="21" spans="1:4" x14ac:dyDescent="0.25">
      <c r="A21" s="6" t="s">
        <v>17</v>
      </c>
      <c r="B21" s="10"/>
      <c r="C21" s="11"/>
      <c r="D21" s="12"/>
    </row>
    <row r="22" spans="1:4" x14ac:dyDescent="0.25">
      <c r="A22" s="9" t="s">
        <v>46</v>
      </c>
      <c r="B22" s="44">
        <v>2600</v>
      </c>
      <c r="C22" s="11" t="s">
        <v>20</v>
      </c>
      <c r="D22" s="12">
        <f>D18+D19+D20+D21</f>
        <v>7354.528037</v>
      </c>
    </row>
    <row r="23" spans="1:4" x14ac:dyDescent="0.25">
      <c r="A23" s="9" t="s">
        <v>18</v>
      </c>
      <c r="B23" s="10">
        <v>6</v>
      </c>
      <c r="C23" s="11" t="s">
        <v>50</v>
      </c>
      <c r="D23" s="129">
        <v>0.8</v>
      </c>
    </row>
    <row r="24" spans="1:4" x14ac:dyDescent="0.25">
      <c r="A24" s="9" t="s">
        <v>47</v>
      </c>
      <c r="B24" s="44">
        <v>700</v>
      </c>
      <c r="C24" s="11"/>
      <c r="D24" s="12"/>
    </row>
    <row r="25" spans="1:4" x14ac:dyDescent="0.25">
      <c r="A25" s="9" t="s">
        <v>48</v>
      </c>
      <c r="B25" s="10">
        <v>1</v>
      </c>
      <c r="C25" s="18" t="s">
        <v>24</v>
      </c>
      <c r="D25" s="19">
        <f>(D22/D14)*D23</f>
        <v>2.9222322586669316</v>
      </c>
    </row>
    <row r="26" spans="1:4" x14ac:dyDescent="0.25">
      <c r="A26" s="9" t="s">
        <v>19</v>
      </c>
      <c r="B26" s="10">
        <v>60000</v>
      </c>
      <c r="C26" s="20" t="s">
        <v>39</v>
      </c>
      <c r="D26" s="12"/>
    </row>
    <row r="27" spans="1:4" x14ac:dyDescent="0.25">
      <c r="A27" s="14" t="s">
        <v>21</v>
      </c>
      <c r="B27" s="15">
        <f>(((B22*B23)+(B24*B25)*B23)/((B26*(B25+1))))</f>
        <v>0.16500000000000001</v>
      </c>
      <c r="C27" s="11" t="s">
        <v>26</v>
      </c>
      <c r="D27" s="12">
        <f>(D9*0.01)/12</f>
        <v>250</v>
      </c>
    </row>
    <row r="28" spans="1:4" ht="15.75" thickBot="1" x14ac:dyDescent="0.3">
      <c r="A28" s="6" t="s">
        <v>22</v>
      </c>
      <c r="B28" s="23"/>
      <c r="C28" s="11" t="s">
        <v>27</v>
      </c>
      <c r="D28" s="48">
        <v>400</v>
      </c>
    </row>
    <row r="29" spans="1:4" ht="15.75" thickBot="1" x14ac:dyDescent="0.3">
      <c r="A29" s="9" t="s">
        <v>23</v>
      </c>
      <c r="B29" s="24">
        <f>D14*0.85</f>
        <v>1711.39</v>
      </c>
      <c r="C29" s="11" t="s">
        <v>28</v>
      </c>
      <c r="D29" s="12">
        <v>90</v>
      </c>
    </row>
    <row r="30" spans="1:4" x14ac:dyDescent="0.25">
      <c r="A30" s="14" t="s">
        <v>25</v>
      </c>
      <c r="B30" s="15">
        <f>B29/D14</f>
        <v>0.85</v>
      </c>
      <c r="C30" s="11" t="s">
        <v>29</v>
      </c>
      <c r="D30" s="12">
        <v>10</v>
      </c>
    </row>
    <row r="31" spans="1:4" x14ac:dyDescent="0.25">
      <c r="A31" s="14"/>
      <c r="B31" s="25"/>
      <c r="C31" s="11" t="s">
        <v>49</v>
      </c>
      <c r="D31" s="48">
        <v>80</v>
      </c>
    </row>
    <row r="32" spans="1:4" x14ac:dyDescent="0.25">
      <c r="A32" s="14"/>
      <c r="B32" s="25"/>
      <c r="C32" s="11" t="s">
        <v>30</v>
      </c>
      <c r="D32" s="12">
        <f>SUM(D27:D31)</f>
        <v>830</v>
      </c>
    </row>
    <row r="33" spans="1:6" ht="15.75" thickBot="1" x14ac:dyDescent="0.3">
      <c r="A33" s="14"/>
      <c r="B33" s="25"/>
      <c r="C33" s="26" t="s">
        <v>31</v>
      </c>
      <c r="D33" s="27">
        <f>D32/D14</f>
        <v>0.4122380053640608</v>
      </c>
    </row>
    <row r="34" spans="1:6" ht="16.5" thickTop="1" thickBot="1" x14ac:dyDescent="0.3">
      <c r="A34" s="28" t="s">
        <v>32</v>
      </c>
      <c r="B34" s="29">
        <f>B27+B20+B14+B30</f>
        <v>3.5367857142857142</v>
      </c>
      <c r="C34" s="30" t="s">
        <v>33</v>
      </c>
      <c r="D34" s="31">
        <f>D33+D25+D15</f>
        <v>4.3278148552696933</v>
      </c>
    </row>
    <row r="35" spans="1:6" s="1" customFormat="1" ht="14.25" thickTop="1" thickBot="1" x14ac:dyDescent="0.25">
      <c r="A35" s="32" t="s">
        <v>34</v>
      </c>
      <c r="B35" s="33"/>
      <c r="C35" s="34"/>
      <c r="D35" s="35">
        <f>D34+B34</f>
        <v>7.8646005695554075</v>
      </c>
    </row>
    <row r="36" spans="1:6" s="1" customFormat="1" ht="14.25" thickTop="1" thickBot="1" x14ac:dyDescent="0.25">
      <c r="A36" s="36" t="s">
        <v>35</v>
      </c>
      <c r="B36" s="37"/>
      <c r="C36" s="38"/>
      <c r="D36" s="47">
        <v>0.2389</v>
      </c>
    </row>
    <row r="37" spans="1:6" s="1" customFormat="1" ht="14.25" thickTop="1" thickBot="1" x14ac:dyDescent="0.25">
      <c r="A37" s="32" t="s">
        <v>36</v>
      </c>
      <c r="B37" s="39"/>
      <c r="C37" s="39"/>
      <c r="D37" s="42">
        <f>(D35*D36)+D35</f>
        <v>9.7434536456221945</v>
      </c>
      <c r="E37" s="41"/>
    </row>
    <row r="38" spans="1:6" s="1" customFormat="1" ht="13.5" thickTop="1" x14ac:dyDescent="0.2"/>
    <row r="39" spans="1:6" s="1" customFormat="1" ht="12.75" x14ac:dyDescent="0.2">
      <c r="A39" s="40" t="s">
        <v>37</v>
      </c>
      <c r="F39" s="43"/>
    </row>
    <row r="40" spans="1:6" s="1" customFormat="1" ht="12.75" x14ac:dyDescent="0.2">
      <c r="A40" s="1" t="s">
        <v>131</v>
      </c>
    </row>
    <row r="41" spans="1:6" s="1" customFormat="1" ht="12.75" x14ac:dyDescent="0.2">
      <c r="A41" s="1" t="s">
        <v>132</v>
      </c>
    </row>
    <row r="42" spans="1:6" s="1" customFormat="1" ht="15" customHeight="1" x14ac:dyDescent="0.2">
      <c r="A42" s="1" t="s">
        <v>133</v>
      </c>
    </row>
  </sheetData>
  <mergeCells count="6">
    <mergeCell ref="A6:D6"/>
    <mergeCell ref="A1:D1"/>
    <mergeCell ref="A2:D2"/>
    <mergeCell ref="A3:D3"/>
    <mergeCell ref="A4:D4"/>
    <mergeCell ref="A5:D5"/>
  </mergeCells>
  <pageMargins left="0.51180555555555496" right="0.51180555555555496" top="0.78749999999999998" bottom="0.78749999999999998" header="0.51180555555555496" footer="0.51180555555555496"/>
  <pageSetup paperSize="9" firstPageNumber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EE0AC-CAB9-4281-B33E-5628800F38EA}">
  <dimension ref="A1:H22"/>
  <sheetViews>
    <sheetView view="pageBreakPreview" zoomScaleNormal="100" workbookViewId="0">
      <selection activeCell="D21" sqref="D21"/>
    </sheetView>
  </sheetViews>
  <sheetFormatPr defaultColWidth="8.85546875" defaultRowHeight="12.75" x14ac:dyDescent="0.2"/>
  <cols>
    <col min="1" max="1" width="41.85546875" style="82" customWidth="1"/>
    <col min="2" max="2" width="5.5703125" style="82" customWidth="1"/>
    <col min="3" max="3" width="8.7109375" style="82" customWidth="1"/>
    <col min="4" max="4" width="9.7109375" style="82" customWidth="1"/>
    <col min="5" max="5" width="8" style="128" customWidth="1"/>
    <col min="6" max="6" width="9.7109375" style="82" customWidth="1"/>
    <col min="7" max="1025" width="8.7109375" style="82" customWidth="1"/>
    <col min="1026" max="16384" width="8.85546875" style="82"/>
  </cols>
  <sheetData>
    <row r="1" spans="1:8" s="84" customFormat="1" ht="14.25" x14ac:dyDescent="0.2">
      <c r="A1" s="49" t="s">
        <v>51</v>
      </c>
      <c r="B1" s="83"/>
      <c r="C1" s="83"/>
      <c r="E1" s="85"/>
    </row>
    <row r="2" spans="1:8" s="84" customFormat="1" ht="14.25" x14ac:dyDescent="0.2">
      <c r="A2" s="52" t="s">
        <v>108</v>
      </c>
      <c r="B2" s="83"/>
      <c r="C2" s="83"/>
      <c r="E2" s="85"/>
    </row>
    <row r="3" spans="1:8" s="84" customFormat="1" ht="14.25" x14ac:dyDescent="0.2">
      <c r="A3" s="86" t="s">
        <v>109</v>
      </c>
      <c r="B3" s="83"/>
      <c r="C3" s="83"/>
      <c r="E3" s="85"/>
    </row>
    <row r="4" spans="1:8" s="84" customFormat="1" ht="14.25" x14ac:dyDescent="0.2">
      <c r="A4" s="52"/>
      <c r="B4" s="83"/>
      <c r="C4" s="83"/>
      <c r="E4" s="85"/>
    </row>
    <row r="5" spans="1:8" s="84" customFormat="1" ht="15" thickBot="1" x14ac:dyDescent="0.25">
      <c r="B5" s="83"/>
      <c r="C5" s="83"/>
      <c r="E5" s="85"/>
    </row>
    <row r="6" spans="1:8" ht="15.75" x14ac:dyDescent="0.2">
      <c r="A6" s="136" t="s">
        <v>110</v>
      </c>
      <c r="B6" s="137"/>
      <c r="C6" s="137"/>
      <c r="D6" s="137"/>
      <c r="E6" s="137"/>
      <c r="F6" s="138"/>
    </row>
    <row r="7" spans="1:8" ht="16.5" thickBot="1" x14ac:dyDescent="0.25">
      <c r="A7" s="87"/>
      <c r="B7" s="88"/>
      <c r="C7" s="88"/>
      <c r="D7" s="88"/>
      <c r="E7" s="88"/>
      <c r="F7" s="89"/>
    </row>
    <row r="8" spans="1:8" ht="15" x14ac:dyDescent="0.25">
      <c r="A8" s="90"/>
      <c r="B8" s="91"/>
      <c r="C8" s="91"/>
      <c r="D8" s="139" t="s">
        <v>111</v>
      </c>
      <c r="E8" s="139"/>
      <c r="F8" s="139"/>
      <c r="G8" s="84"/>
      <c r="H8" s="84"/>
    </row>
    <row r="9" spans="1:8" ht="15" thickBot="1" x14ac:dyDescent="0.25">
      <c r="A9" s="92"/>
      <c r="B9" s="93"/>
      <c r="C9" s="93"/>
      <c r="D9" s="94" t="s">
        <v>112</v>
      </c>
      <c r="E9" s="95" t="s">
        <v>113</v>
      </c>
      <c r="F9" s="96" t="s">
        <v>114</v>
      </c>
      <c r="G9" s="84"/>
      <c r="H9" s="84"/>
    </row>
    <row r="10" spans="1:8" ht="14.25" x14ac:dyDescent="0.2">
      <c r="A10" s="97" t="s">
        <v>115</v>
      </c>
      <c r="B10" s="98" t="s">
        <v>116</v>
      </c>
      <c r="C10" s="99">
        <v>0.05</v>
      </c>
      <c r="D10" s="100">
        <v>2.9700000000000001E-2</v>
      </c>
      <c r="E10" s="101">
        <v>5.0799999999999998E-2</v>
      </c>
      <c r="F10" s="102">
        <v>6.2700000000000006E-2</v>
      </c>
      <c r="G10" s="84"/>
      <c r="H10" s="84"/>
    </row>
    <row r="11" spans="1:8" ht="14.25" x14ac:dyDescent="0.2">
      <c r="A11" s="103" t="s">
        <v>117</v>
      </c>
      <c r="B11" s="104" t="s">
        <v>118</v>
      </c>
      <c r="C11" s="105">
        <v>8.6E-3</v>
      </c>
      <c r="D11" s="100">
        <f>0.3%+0.56%</f>
        <v>8.6E-3</v>
      </c>
      <c r="E11" s="101">
        <f>0.48%+0.85%</f>
        <v>1.3299999999999999E-2</v>
      </c>
      <c r="F11" s="102">
        <f>0.82%+0.89%</f>
        <v>1.7099999999999997E-2</v>
      </c>
      <c r="G11" s="84"/>
      <c r="H11" s="84"/>
    </row>
    <row r="12" spans="1:8" ht="14.25" x14ac:dyDescent="0.2">
      <c r="A12" s="103" t="s">
        <v>119</v>
      </c>
      <c r="B12" s="104" t="s">
        <v>120</v>
      </c>
      <c r="C12" s="105">
        <v>0.1</v>
      </c>
      <c r="D12" s="100">
        <v>7.7799999999999994E-2</v>
      </c>
      <c r="E12" s="101">
        <v>0.1085</v>
      </c>
      <c r="F12" s="102">
        <v>0.13550000000000001</v>
      </c>
      <c r="G12" s="84"/>
      <c r="H12" s="84"/>
    </row>
    <row r="13" spans="1:8" ht="14.25" x14ac:dyDescent="0.2">
      <c r="A13" s="103" t="s">
        <v>121</v>
      </c>
      <c r="B13" s="104" t="s">
        <v>122</v>
      </c>
      <c r="C13" s="106">
        <f>(1+E13)^(E14/252)-1</f>
        <v>3.7893113471101358E-3</v>
      </c>
      <c r="D13" s="100" t="s">
        <v>123</v>
      </c>
      <c r="E13" s="107">
        <v>0.1</v>
      </c>
      <c r="F13" s="108"/>
      <c r="G13" s="84"/>
      <c r="H13" s="84"/>
    </row>
    <row r="14" spans="1:8" ht="15" thickBot="1" x14ac:dyDescent="0.25">
      <c r="A14" s="103" t="s">
        <v>124</v>
      </c>
      <c r="B14" s="140" t="s">
        <v>125</v>
      </c>
      <c r="C14" s="105">
        <v>0.02</v>
      </c>
      <c r="D14" s="109" t="s">
        <v>126</v>
      </c>
      <c r="E14" s="110">
        <v>10</v>
      </c>
      <c r="F14" s="111"/>
      <c r="G14" s="84"/>
      <c r="H14" s="84"/>
    </row>
    <row r="15" spans="1:8" ht="15" thickBot="1" x14ac:dyDescent="0.25">
      <c r="A15" s="112" t="s">
        <v>127</v>
      </c>
      <c r="B15" s="140"/>
      <c r="C15" s="113">
        <v>3.6499999999999998E-2</v>
      </c>
      <c r="D15" s="114"/>
      <c r="E15" s="115"/>
      <c r="F15" s="111"/>
      <c r="G15" s="84"/>
      <c r="H15" s="84"/>
    </row>
    <row r="16" spans="1:8" ht="14.25" x14ac:dyDescent="0.2">
      <c r="A16" s="116" t="s">
        <v>128</v>
      </c>
      <c r="B16" s="117"/>
      <c r="C16" s="118"/>
      <c r="D16" s="114"/>
      <c r="E16" s="115"/>
      <c r="F16" s="111"/>
      <c r="G16" s="84"/>
      <c r="H16" s="84"/>
    </row>
    <row r="17" spans="1:8" ht="15" thickBot="1" x14ac:dyDescent="0.25">
      <c r="A17" s="119" t="s">
        <v>129</v>
      </c>
      <c r="B17" s="120"/>
      <c r="C17" s="121"/>
      <c r="D17" s="114"/>
      <c r="E17" s="115"/>
      <c r="F17" s="111"/>
      <c r="G17" s="84"/>
      <c r="H17" s="84"/>
    </row>
    <row r="18" spans="1:8" ht="15.75" thickBot="1" x14ac:dyDescent="0.25">
      <c r="A18" s="122" t="s">
        <v>130</v>
      </c>
      <c r="B18" s="123"/>
      <c r="C18" s="124">
        <f>ROUND((((1+C10+C11)*(1+C12)*(1+C13))/(1-(C14+C15))-1),4)</f>
        <v>0.2389</v>
      </c>
      <c r="D18" s="125">
        <v>0.21429999999999999</v>
      </c>
      <c r="E18" s="126">
        <v>0.2717</v>
      </c>
      <c r="F18" s="127">
        <v>0.3362</v>
      </c>
      <c r="G18" s="84"/>
      <c r="H18" s="84"/>
    </row>
    <row r="19" spans="1:8" ht="14.25" x14ac:dyDescent="0.2">
      <c r="A19" s="84"/>
      <c r="B19" s="84"/>
      <c r="C19" s="84"/>
      <c r="D19" s="84"/>
      <c r="E19" s="85"/>
      <c r="F19" s="84"/>
      <c r="G19" s="84"/>
      <c r="H19" s="84"/>
    </row>
    <row r="20" spans="1:8" ht="14.25" x14ac:dyDescent="0.2">
      <c r="A20" s="84"/>
      <c r="B20" s="84"/>
      <c r="C20" s="84"/>
      <c r="D20" s="84"/>
      <c r="E20" s="85"/>
      <c r="F20" s="84"/>
      <c r="G20" s="84"/>
      <c r="H20" s="84"/>
    </row>
    <row r="21" spans="1:8" ht="14.25" x14ac:dyDescent="0.2">
      <c r="A21" s="84"/>
      <c r="B21" s="84"/>
      <c r="C21" s="84"/>
      <c r="D21" s="84"/>
      <c r="E21" s="85"/>
      <c r="F21" s="84"/>
      <c r="G21" s="84"/>
      <c r="H21" s="84"/>
    </row>
    <row r="22" spans="1:8" ht="14.25" x14ac:dyDescent="0.2">
      <c r="A22" s="84"/>
      <c r="B22" s="84"/>
      <c r="C22" s="84"/>
      <c r="D22" s="84"/>
      <c r="E22" s="85"/>
      <c r="F22" s="84"/>
      <c r="G22" s="84"/>
      <c r="H22" s="84"/>
    </row>
  </sheetData>
  <mergeCells count="3">
    <mergeCell ref="A6:F6"/>
    <mergeCell ref="D8:F8"/>
    <mergeCell ref="B14:B15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54380-BAB7-467D-BD0A-352D3043B682}">
  <dimension ref="A1:AMK65"/>
  <sheetViews>
    <sheetView view="pageBreakPreview" topLeftCell="A19" zoomScale="86" zoomScaleNormal="100" zoomScaleSheetLayoutView="86" workbookViewId="0">
      <selection activeCell="C20" sqref="C20"/>
    </sheetView>
  </sheetViews>
  <sheetFormatPr defaultColWidth="8.85546875" defaultRowHeight="12.75" x14ac:dyDescent="0.2"/>
  <cols>
    <col min="1" max="1" width="13.5703125" style="50" customWidth="1"/>
    <col min="2" max="2" width="36.7109375" style="50" customWidth="1"/>
    <col min="3" max="3" width="14.5703125" style="50" customWidth="1"/>
    <col min="4" max="4" width="37.28515625" style="51" customWidth="1"/>
    <col min="5" max="10" width="9.140625" style="50" customWidth="1"/>
    <col min="11" max="11" width="11" style="50" customWidth="1"/>
    <col min="12" max="1025" width="9.140625" style="50" customWidth="1"/>
    <col min="1026" max="16384" width="8.85546875" style="82"/>
  </cols>
  <sheetData>
    <row r="1" spans="1:12" x14ac:dyDescent="0.2">
      <c r="A1" s="49" t="s">
        <v>51</v>
      </c>
    </row>
    <row r="2" spans="1:12" x14ac:dyDescent="0.2">
      <c r="A2" s="52" t="s">
        <v>52</v>
      </c>
    </row>
    <row r="4" spans="1:12" ht="18" x14ac:dyDescent="0.2">
      <c r="A4" s="141" t="s">
        <v>53</v>
      </c>
      <c r="B4" s="141"/>
      <c r="C4" s="141"/>
      <c r="D4" s="53"/>
      <c r="E4" s="53"/>
      <c r="F4" s="53"/>
    </row>
    <row r="5" spans="1:12" ht="14.25" x14ac:dyDescent="0.2">
      <c r="A5" s="54" t="s">
        <v>54</v>
      </c>
      <c r="B5" s="55" t="s">
        <v>55</v>
      </c>
      <c r="C5" s="56" t="s">
        <v>56</v>
      </c>
      <c r="D5" s="57"/>
    </row>
    <row r="6" spans="1:12" ht="14.25" x14ac:dyDescent="0.2">
      <c r="A6" s="54" t="s">
        <v>57</v>
      </c>
      <c r="B6" s="55" t="s">
        <v>58</v>
      </c>
      <c r="C6" s="58">
        <v>0.2</v>
      </c>
      <c r="D6" s="57"/>
      <c r="F6" s="51"/>
      <c r="G6" s="51"/>
      <c r="H6" s="51"/>
      <c r="I6" s="51"/>
      <c r="J6" s="51"/>
      <c r="K6" s="51"/>
      <c r="L6" s="51"/>
    </row>
    <row r="7" spans="1:12" ht="14.25" x14ac:dyDescent="0.2">
      <c r="A7" s="54" t="s">
        <v>59</v>
      </c>
      <c r="B7" s="55" t="s">
        <v>60</v>
      </c>
      <c r="C7" s="58">
        <v>1.4999999999999999E-2</v>
      </c>
      <c r="D7" s="57"/>
      <c r="F7" s="51"/>
      <c r="G7" s="51"/>
      <c r="H7" s="51"/>
      <c r="I7" s="51"/>
      <c r="J7" s="51"/>
      <c r="K7" s="51"/>
      <c r="L7" s="51"/>
    </row>
    <row r="8" spans="1:12" ht="14.25" x14ac:dyDescent="0.2">
      <c r="A8" s="54" t="s">
        <v>61</v>
      </c>
      <c r="B8" s="55" t="s">
        <v>62</v>
      </c>
      <c r="C8" s="58">
        <v>0.01</v>
      </c>
      <c r="D8" s="57"/>
      <c r="F8" s="51"/>
      <c r="G8" s="51"/>
      <c r="H8" s="51"/>
      <c r="I8" s="51"/>
      <c r="J8" s="51"/>
      <c r="K8" s="51"/>
      <c r="L8" s="51"/>
    </row>
    <row r="9" spans="1:12" ht="14.25" x14ac:dyDescent="0.2">
      <c r="A9" s="54" t="s">
        <v>63</v>
      </c>
      <c r="B9" s="55" t="s">
        <v>64</v>
      </c>
      <c r="C9" s="58">
        <v>2E-3</v>
      </c>
      <c r="D9" s="57"/>
      <c r="F9" s="51"/>
      <c r="G9" s="51"/>
      <c r="H9" s="51"/>
      <c r="I9" s="51"/>
      <c r="J9" s="51"/>
      <c r="K9" s="51"/>
      <c r="L9" s="51"/>
    </row>
    <row r="10" spans="1:12" ht="14.25" x14ac:dyDescent="0.2">
      <c r="A10" s="54" t="s">
        <v>65</v>
      </c>
      <c r="B10" s="55" t="s">
        <v>66</v>
      </c>
      <c r="C10" s="58">
        <v>6.0000000000000001E-3</v>
      </c>
      <c r="D10" s="57"/>
      <c r="F10" s="51"/>
      <c r="G10" s="51"/>
      <c r="H10" s="51"/>
      <c r="I10" s="51"/>
      <c r="J10" s="51"/>
      <c r="K10" s="51"/>
      <c r="L10" s="51"/>
    </row>
    <row r="11" spans="1:12" ht="14.25" x14ac:dyDescent="0.2">
      <c r="A11" s="54" t="s">
        <v>67</v>
      </c>
      <c r="B11" s="55" t="s">
        <v>68</v>
      </c>
      <c r="C11" s="58">
        <v>2.5000000000000001E-2</v>
      </c>
      <c r="D11" s="57"/>
      <c r="F11" s="51"/>
      <c r="G11" s="51"/>
      <c r="H11" s="51"/>
      <c r="I11" s="51"/>
      <c r="J11" s="51"/>
      <c r="K11" s="51"/>
      <c r="L11" s="51"/>
    </row>
    <row r="12" spans="1:12" ht="14.25" x14ac:dyDescent="0.2">
      <c r="A12" s="54" t="s">
        <v>69</v>
      </c>
      <c r="B12" s="55" t="s">
        <v>70</v>
      </c>
      <c r="C12" s="58">
        <v>0.03</v>
      </c>
      <c r="D12" s="57"/>
      <c r="F12" s="51"/>
      <c r="G12" s="51"/>
      <c r="H12" s="51"/>
      <c r="I12" s="51"/>
      <c r="J12" s="51"/>
      <c r="K12" s="51"/>
      <c r="L12" s="51"/>
    </row>
    <row r="13" spans="1:12" ht="14.25" x14ac:dyDescent="0.2">
      <c r="A13" s="54" t="s">
        <v>71</v>
      </c>
      <c r="B13" s="55" t="s">
        <v>72</v>
      </c>
      <c r="C13" s="58">
        <v>0.08</v>
      </c>
      <c r="D13" s="57"/>
      <c r="F13" s="51"/>
      <c r="G13" s="51"/>
      <c r="H13" s="51"/>
      <c r="I13" s="51"/>
      <c r="J13" s="51"/>
      <c r="K13" s="51"/>
      <c r="L13" s="51"/>
    </row>
    <row r="14" spans="1:12" ht="15" x14ac:dyDescent="0.2">
      <c r="A14" s="54" t="s">
        <v>73</v>
      </c>
      <c r="B14" s="59" t="s">
        <v>74</v>
      </c>
      <c r="C14" s="60">
        <f>SUM(C6:C13)</f>
        <v>0.36800000000000005</v>
      </c>
      <c r="D14" s="57"/>
      <c r="F14" s="51"/>
      <c r="G14" s="51"/>
      <c r="H14" s="51"/>
      <c r="I14" s="51"/>
      <c r="J14" s="51"/>
      <c r="K14" s="51"/>
      <c r="L14" s="51"/>
    </row>
    <row r="15" spans="1:12" ht="15" x14ac:dyDescent="0.2">
      <c r="A15" s="61"/>
      <c r="B15" s="62"/>
      <c r="C15" s="63"/>
      <c r="D15" s="57"/>
      <c r="F15" s="51"/>
      <c r="G15" s="51"/>
      <c r="H15" s="51"/>
      <c r="I15" s="51"/>
      <c r="J15" s="51"/>
      <c r="K15" s="51"/>
      <c r="L15" s="51"/>
    </row>
    <row r="16" spans="1:12" ht="14.25" x14ac:dyDescent="0.2">
      <c r="A16" s="54" t="s">
        <v>75</v>
      </c>
      <c r="B16" s="55" t="s">
        <v>76</v>
      </c>
      <c r="C16" s="58">
        <f>ROUND(IF('[1]3.CAGED'!C39&gt;24,(1-12/'[1]3.CAGED'!C39)*0.1111,0.1111-C25),4)</f>
        <v>6.1899999999999997E-2</v>
      </c>
      <c r="D16" s="57"/>
      <c r="F16" s="51"/>
      <c r="G16" s="51"/>
      <c r="H16" s="51"/>
      <c r="I16" s="51"/>
      <c r="J16" s="51"/>
      <c r="K16" s="51"/>
      <c r="L16" s="51"/>
    </row>
    <row r="17" spans="1:12" ht="14.25" x14ac:dyDescent="0.2">
      <c r="A17" s="54" t="s">
        <v>77</v>
      </c>
      <c r="B17" s="55" t="s">
        <v>78</v>
      </c>
      <c r="C17" s="58">
        <f>ROUND('[1]3.CAGED'!C33/'[1]3.CAGED'!C30,4)</f>
        <v>8.3299999999999999E-2</v>
      </c>
      <c r="D17" s="57"/>
      <c r="F17" s="51"/>
      <c r="G17" s="51"/>
      <c r="H17" s="51"/>
      <c r="I17" s="51"/>
      <c r="J17" s="51"/>
      <c r="K17" s="51"/>
      <c r="L17" s="51"/>
    </row>
    <row r="18" spans="1:12" ht="14.25" x14ac:dyDescent="0.2">
      <c r="A18" s="54" t="s">
        <v>79</v>
      </c>
      <c r="B18" s="55" t="s">
        <v>80</v>
      </c>
      <c r="C18" s="58">
        <f>0.06%/2</f>
        <v>2.9999999999999997E-4</v>
      </c>
      <c r="D18" s="57"/>
      <c r="F18" s="51"/>
      <c r="G18" s="51"/>
      <c r="H18" s="51"/>
      <c r="I18" s="51"/>
      <c r="J18" s="51"/>
      <c r="K18" s="51"/>
      <c r="L18" s="51"/>
    </row>
    <row r="19" spans="1:12" ht="14.25" x14ac:dyDescent="0.2">
      <c r="A19" s="54" t="s">
        <v>81</v>
      </c>
      <c r="B19" s="55" t="s">
        <v>82</v>
      </c>
      <c r="C19" s="58">
        <f>0.82%/2</f>
        <v>4.0999999999999995E-3</v>
      </c>
      <c r="D19" s="57"/>
      <c r="F19" s="51"/>
      <c r="G19" s="51"/>
      <c r="H19" s="51"/>
      <c r="I19" s="51"/>
      <c r="J19" s="51"/>
      <c r="K19" s="51"/>
      <c r="L19" s="51"/>
    </row>
    <row r="20" spans="1:12" ht="14.25" x14ac:dyDescent="0.2">
      <c r="A20" s="54" t="s">
        <v>83</v>
      </c>
      <c r="B20" s="55" t="s">
        <v>84</v>
      </c>
      <c r="C20" s="58">
        <f>0.31%/2</f>
        <v>1.5499999999999999E-3</v>
      </c>
      <c r="D20" s="57"/>
      <c r="F20" s="51"/>
      <c r="G20" s="51"/>
      <c r="H20" s="51"/>
      <c r="I20" s="51"/>
      <c r="J20" s="51"/>
      <c r="K20" s="51"/>
      <c r="L20" s="51"/>
    </row>
    <row r="21" spans="1:12" ht="14.25" x14ac:dyDescent="0.2">
      <c r="A21" s="54" t="s">
        <v>85</v>
      </c>
      <c r="B21" s="55" t="s">
        <v>86</v>
      </c>
      <c r="C21" s="58">
        <f>1.66%/2</f>
        <v>8.3000000000000001E-3</v>
      </c>
      <c r="D21" s="57"/>
      <c r="F21" s="51"/>
      <c r="G21" s="51"/>
      <c r="H21" s="51"/>
      <c r="I21" s="51"/>
      <c r="J21" s="51"/>
      <c r="K21" s="51"/>
      <c r="L21" s="51"/>
    </row>
    <row r="22" spans="1:12" ht="15" x14ac:dyDescent="0.2">
      <c r="A22" s="54" t="s">
        <v>87</v>
      </c>
      <c r="B22" s="59" t="s">
        <v>88</v>
      </c>
      <c r="C22" s="60">
        <f>SUM(C16:C21)</f>
        <v>0.15944999999999998</v>
      </c>
      <c r="D22" s="64"/>
      <c r="F22" s="51"/>
      <c r="G22" s="51"/>
      <c r="H22" s="51"/>
      <c r="I22" s="51"/>
      <c r="J22" s="51"/>
      <c r="K22" s="51"/>
      <c r="L22" s="51"/>
    </row>
    <row r="23" spans="1:12" ht="15" x14ac:dyDescent="0.2">
      <c r="A23" s="61"/>
      <c r="B23" s="62"/>
      <c r="C23" s="63"/>
      <c r="D23" s="64"/>
      <c r="F23" s="51"/>
      <c r="G23" s="51"/>
      <c r="H23" s="51"/>
      <c r="I23" s="51"/>
      <c r="J23" s="51"/>
      <c r="K23" s="51"/>
      <c r="L23" s="51"/>
    </row>
    <row r="24" spans="1:12" ht="14.25" x14ac:dyDescent="0.2">
      <c r="A24" s="54" t="s">
        <v>89</v>
      </c>
      <c r="B24" s="55" t="s">
        <v>90</v>
      </c>
      <c r="C24" s="58">
        <f>ROUND(('[1]3.CAGED'!C38) *'[1]3.CAGED'!C29/'[1]3.CAGED'!C30,4)/2</f>
        <v>1.2800000000000001E-2</v>
      </c>
      <c r="D24" s="57"/>
      <c r="E24" s="65"/>
      <c r="F24" s="51"/>
      <c r="G24" s="51"/>
      <c r="H24" s="51"/>
      <c r="I24" s="51"/>
      <c r="J24" s="51"/>
      <c r="K24" s="51"/>
      <c r="L24" s="51"/>
    </row>
    <row r="25" spans="1:12" ht="14.25" x14ac:dyDescent="0.2">
      <c r="A25" s="54" t="s">
        <v>91</v>
      </c>
      <c r="B25" s="55" t="s">
        <v>92</v>
      </c>
      <c r="C25" s="58">
        <f>ROUND(IF('[1]3.CAGED'!C39&gt;12,12/'[1]3.CAGED'!C39*0.1111,0.1111),4)</f>
        <v>4.9200000000000001E-2</v>
      </c>
      <c r="D25" s="57"/>
      <c r="F25" s="51"/>
      <c r="G25" s="51"/>
      <c r="H25" s="66"/>
      <c r="I25" s="51"/>
      <c r="J25" s="51"/>
      <c r="K25" s="51"/>
      <c r="L25" s="51"/>
    </row>
    <row r="26" spans="1:12" ht="14.25" x14ac:dyDescent="0.2">
      <c r="A26" s="54" t="s">
        <v>93</v>
      </c>
      <c r="B26" s="55" t="s">
        <v>94</v>
      </c>
      <c r="C26" s="58">
        <f>ROUND(('[1]3.CAGED'!C32+'[1]3.CAGED'!C31)/360*C24,4)</f>
        <v>1.4E-3</v>
      </c>
      <c r="D26" s="57"/>
      <c r="F26" s="51"/>
      <c r="G26" s="51"/>
      <c r="H26" s="51"/>
      <c r="I26" s="51"/>
      <c r="J26" s="51"/>
      <c r="K26" s="51"/>
      <c r="L26" s="51"/>
    </row>
    <row r="27" spans="1:12" ht="14.25" x14ac:dyDescent="0.2">
      <c r="A27" s="54" t="s">
        <v>95</v>
      </c>
      <c r="B27" s="55" t="s">
        <v>96</v>
      </c>
      <c r="C27" s="58">
        <f>ROUND(('[1]3.CAGED'!C30+'[1]3.CAGED'!C31+'[1]3.CAGED'!C33)/'[1]3.CAGED'!C28*'[1]3.CAGED'!C35*'[1]3.CAGED'!C36*'[1]3.CAGED'!C29/'[1]3.CAGED'!C30,4)/2</f>
        <v>1.025E-2</v>
      </c>
      <c r="D27" s="57"/>
      <c r="F27" s="51"/>
      <c r="G27" s="67"/>
      <c r="H27" s="51"/>
      <c r="I27" s="51"/>
      <c r="J27" s="51"/>
      <c r="K27" s="51"/>
      <c r="L27" s="51"/>
    </row>
    <row r="28" spans="1:12" ht="14.25" x14ac:dyDescent="0.2">
      <c r="A28" s="54" t="s">
        <v>97</v>
      </c>
      <c r="B28" s="55" t="s">
        <v>98</v>
      </c>
      <c r="C28" s="58">
        <f>ROUND(('[1]3.CAGED'!C32/'[1]3.CAGED'!C30)*'[1]3.CAGED'!C29/12,4)</f>
        <v>1.8E-3</v>
      </c>
      <c r="D28" s="57"/>
      <c r="F28" s="51"/>
      <c r="G28" s="51"/>
      <c r="H28" s="51"/>
      <c r="I28" s="51"/>
      <c r="J28" s="51"/>
      <c r="K28" s="51"/>
      <c r="L28" s="51"/>
    </row>
    <row r="29" spans="1:12" ht="15" x14ac:dyDescent="0.2">
      <c r="A29" s="54" t="s">
        <v>99</v>
      </c>
      <c r="B29" s="59" t="s">
        <v>100</v>
      </c>
      <c r="C29" s="60">
        <f>SUM(C24:C28)</f>
        <v>7.5449999999999989E-2</v>
      </c>
      <c r="D29" s="64"/>
      <c r="F29" s="51"/>
      <c r="G29" s="51"/>
      <c r="H29" s="51"/>
      <c r="I29" s="51"/>
      <c r="J29" s="51"/>
      <c r="K29" s="51"/>
      <c r="L29" s="51"/>
    </row>
    <row r="30" spans="1:12" ht="15" x14ac:dyDescent="0.2">
      <c r="A30" s="61"/>
      <c r="B30" s="62"/>
      <c r="C30" s="63"/>
      <c r="D30" s="64"/>
      <c r="F30" s="51"/>
      <c r="G30" s="51"/>
      <c r="H30" s="51"/>
      <c r="I30" s="51"/>
      <c r="J30" s="51"/>
      <c r="K30" s="51"/>
      <c r="L30" s="51"/>
    </row>
    <row r="31" spans="1:12" ht="14.25" x14ac:dyDescent="0.2">
      <c r="A31" s="54" t="s">
        <v>101</v>
      </c>
      <c r="B31" s="55" t="s">
        <v>102</v>
      </c>
      <c r="C31" s="58">
        <f>ROUND(C14*C22,4)</f>
        <v>5.8700000000000002E-2</v>
      </c>
      <c r="D31" s="57"/>
      <c r="F31" s="51"/>
      <c r="G31" s="51"/>
      <c r="H31" s="51"/>
      <c r="I31" s="51"/>
      <c r="J31" s="51"/>
      <c r="K31" s="51"/>
      <c r="L31" s="51"/>
    </row>
    <row r="32" spans="1:12" ht="28.5" x14ac:dyDescent="0.2">
      <c r="A32" s="54" t="s">
        <v>103</v>
      </c>
      <c r="B32" s="68" t="s">
        <v>104</v>
      </c>
      <c r="C32" s="58">
        <f>ROUND((C24*C14),4)</f>
        <v>4.7000000000000002E-3</v>
      </c>
      <c r="D32" s="57"/>
      <c r="F32" s="51"/>
      <c r="G32" s="51"/>
      <c r="H32" s="51"/>
      <c r="I32" s="51"/>
      <c r="J32" s="51"/>
      <c r="K32" s="51"/>
      <c r="L32" s="51"/>
    </row>
    <row r="33" spans="1:12" ht="15" x14ac:dyDescent="0.2">
      <c r="A33" s="54" t="s">
        <v>105</v>
      </c>
      <c r="B33" s="59" t="s">
        <v>106</v>
      </c>
      <c r="C33" s="60">
        <f>SUM(C31:C32)</f>
        <v>6.3399999999999998E-2</v>
      </c>
      <c r="D33" s="64"/>
      <c r="F33" s="51"/>
      <c r="G33" s="51"/>
      <c r="H33" s="51"/>
      <c r="I33" s="51"/>
      <c r="J33" s="51"/>
      <c r="K33" s="51"/>
      <c r="L33" s="51"/>
    </row>
    <row r="34" spans="1:12" ht="15.75" thickBot="1" x14ac:dyDescent="0.25">
      <c r="A34" s="69"/>
      <c r="B34" s="70" t="s">
        <v>107</v>
      </c>
      <c r="C34" s="71">
        <f>C33+C29+C22+C14</f>
        <v>0.6663</v>
      </c>
      <c r="D34" s="64"/>
      <c r="F34" s="51"/>
      <c r="G34" s="51"/>
      <c r="H34" s="51"/>
      <c r="I34" s="51"/>
      <c r="J34" s="51"/>
      <c r="K34" s="51"/>
      <c r="L34" s="51"/>
    </row>
    <row r="35" spans="1:12" ht="15" x14ac:dyDescent="0.2">
      <c r="A35" s="57"/>
      <c r="B35" s="72"/>
      <c r="C35" s="73"/>
      <c r="D35" s="74"/>
      <c r="F35" s="51"/>
      <c r="G35" s="51"/>
      <c r="H35" s="51"/>
      <c r="I35" s="51"/>
      <c r="J35" s="51"/>
      <c r="K35" s="51"/>
      <c r="L35" s="51"/>
    </row>
    <row r="36" spans="1:12" ht="14.25" x14ac:dyDescent="0.2">
      <c r="A36" s="57"/>
      <c r="B36" s="57"/>
      <c r="C36" s="75"/>
      <c r="D36" s="76"/>
      <c r="F36" s="51"/>
      <c r="G36" s="51"/>
      <c r="H36" s="51"/>
      <c r="I36" s="51"/>
      <c r="J36" s="51"/>
      <c r="K36" s="51"/>
      <c r="L36" s="51"/>
    </row>
    <row r="37" spans="1:12" ht="14.25" x14ac:dyDescent="0.2">
      <c r="A37" s="57"/>
      <c r="B37" s="57"/>
      <c r="C37" s="75"/>
      <c r="D37" s="57"/>
      <c r="F37" s="51"/>
      <c r="G37" s="51"/>
      <c r="H37" s="51"/>
      <c r="I37" s="51"/>
      <c r="J37" s="51"/>
      <c r="K37" s="51"/>
      <c r="L37" s="51"/>
    </row>
    <row r="38" spans="1:12" ht="14.25" x14ac:dyDescent="0.2">
      <c r="A38" s="57"/>
      <c r="B38" s="57"/>
      <c r="C38" s="75"/>
      <c r="D38" s="57"/>
      <c r="F38" s="51"/>
      <c r="G38" s="51"/>
      <c r="H38" s="51"/>
      <c r="I38" s="51"/>
      <c r="J38" s="51"/>
      <c r="K38" s="51"/>
      <c r="L38" s="51"/>
    </row>
    <row r="39" spans="1:12" ht="14.25" x14ac:dyDescent="0.2">
      <c r="A39" s="57"/>
      <c r="B39" s="57"/>
      <c r="C39" s="75"/>
      <c r="D39" s="57"/>
      <c r="F39" s="51"/>
      <c r="G39" s="51"/>
      <c r="H39" s="51"/>
      <c r="I39" s="51"/>
      <c r="J39" s="51"/>
      <c r="K39" s="51"/>
      <c r="L39" s="51"/>
    </row>
    <row r="40" spans="1:12" ht="15" x14ac:dyDescent="0.2">
      <c r="A40" s="57"/>
      <c r="B40" s="72"/>
      <c r="C40" s="73"/>
      <c r="D40" s="57"/>
      <c r="F40" s="51"/>
      <c r="G40" s="51"/>
      <c r="H40" s="51"/>
      <c r="I40" s="51"/>
      <c r="J40" s="51"/>
      <c r="K40" s="51"/>
      <c r="L40" s="51"/>
    </row>
    <row r="41" spans="1:12" ht="15" x14ac:dyDescent="0.2">
      <c r="A41" s="64"/>
      <c r="B41" s="72"/>
      <c r="C41" s="73"/>
      <c r="D41" s="64"/>
      <c r="E41" s="51"/>
      <c r="F41" s="51"/>
      <c r="G41" s="51"/>
      <c r="H41" s="51"/>
      <c r="I41" s="51"/>
      <c r="J41" s="51"/>
      <c r="K41" s="51"/>
      <c r="L41" s="51"/>
    </row>
    <row r="42" spans="1:12" ht="16.5" x14ac:dyDescent="0.2">
      <c r="A42" s="77"/>
      <c r="B42" s="51"/>
      <c r="C42" s="51"/>
      <c r="E42" s="51"/>
      <c r="F42" s="51"/>
      <c r="G42" s="51"/>
      <c r="H42" s="51"/>
      <c r="I42" s="51"/>
      <c r="J42" s="51"/>
      <c r="K42" s="51"/>
      <c r="L42" s="51"/>
    </row>
    <row r="43" spans="1:12" x14ac:dyDescent="0.2">
      <c r="A43" s="78"/>
      <c r="B43" s="79"/>
      <c r="C43" s="79"/>
      <c r="E43" s="51"/>
      <c r="F43" s="51"/>
      <c r="G43" s="51"/>
      <c r="H43" s="51"/>
      <c r="I43" s="51"/>
      <c r="J43" s="51"/>
      <c r="K43" s="51"/>
      <c r="L43" s="51"/>
    </row>
    <row r="44" spans="1:12" ht="14.25" x14ac:dyDescent="0.2">
      <c r="A44" s="57"/>
      <c r="B44" s="80"/>
      <c r="C44" s="79"/>
      <c r="E44" s="51"/>
      <c r="F44" s="51"/>
      <c r="G44" s="51"/>
      <c r="H44" s="51"/>
      <c r="I44" s="51"/>
      <c r="J44" s="51"/>
      <c r="K44" s="51"/>
      <c r="L44" s="51"/>
    </row>
    <row r="45" spans="1:12" ht="14.25" x14ac:dyDescent="0.2">
      <c r="A45" s="57"/>
      <c r="B45" s="80"/>
      <c r="C45" s="57"/>
      <c r="E45" s="51"/>
      <c r="F45" s="51"/>
      <c r="G45" s="51"/>
      <c r="H45" s="51"/>
      <c r="I45" s="51"/>
      <c r="J45" s="51"/>
      <c r="K45" s="51"/>
      <c r="L45" s="51"/>
    </row>
    <row r="46" spans="1:12" ht="14.25" x14ac:dyDescent="0.2">
      <c r="A46" s="57"/>
      <c r="B46" s="75"/>
      <c r="C46" s="79"/>
      <c r="E46" s="51"/>
      <c r="F46" s="51"/>
      <c r="G46" s="51"/>
      <c r="H46" s="51"/>
      <c r="I46" s="51"/>
      <c r="J46" s="51"/>
      <c r="K46" s="51"/>
      <c r="L46" s="51"/>
    </row>
    <row r="47" spans="1:12" ht="14.25" x14ac:dyDescent="0.2">
      <c r="A47" s="57"/>
      <c r="B47" s="80"/>
      <c r="C47" s="57"/>
      <c r="E47" s="51"/>
      <c r="F47" s="51"/>
      <c r="G47" s="51"/>
      <c r="H47" s="51"/>
      <c r="I47" s="51"/>
      <c r="J47" s="51"/>
      <c r="K47" s="51"/>
      <c r="L47" s="51"/>
    </row>
    <row r="48" spans="1:12" ht="14.25" x14ac:dyDescent="0.2">
      <c r="A48" s="57"/>
      <c r="B48" s="75"/>
      <c r="C48" s="79"/>
      <c r="E48" s="51"/>
      <c r="F48" s="51"/>
      <c r="G48" s="51"/>
      <c r="H48" s="51"/>
      <c r="I48" s="51"/>
      <c r="J48" s="51"/>
      <c r="K48" s="51"/>
      <c r="L48" s="51"/>
    </row>
    <row r="49" spans="1:12" ht="14.25" x14ac:dyDescent="0.2">
      <c r="A49" s="57"/>
      <c r="B49" s="80"/>
      <c r="C49" s="57"/>
      <c r="E49" s="51"/>
      <c r="F49" s="51"/>
      <c r="G49" s="51"/>
      <c r="H49" s="51"/>
      <c r="I49" s="51"/>
      <c r="J49" s="51"/>
      <c r="K49" s="51"/>
      <c r="L49" s="51"/>
    </row>
    <row r="50" spans="1:12" ht="14.25" x14ac:dyDescent="0.2">
      <c r="A50" s="57"/>
      <c r="B50" s="75"/>
      <c r="C50" s="79"/>
      <c r="E50" s="51"/>
      <c r="F50" s="51"/>
      <c r="G50" s="51"/>
      <c r="H50" s="51"/>
      <c r="I50" s="51"/>
      <c r="J50" s="51"/>
      <c r="K50" s="51"/>
      <c r="L50" s="51"/>
    </row>
    <row r="51" spans="1:12" ht="14.25" x14ac:dyDescent="0.2">
      <c r="A51" s="57"/>
      <c r="B51" s="80"/>
      <c r="C51" s="57"/>
      <c r="E51" s="51"/>
      <c r="F51" s="51"/>
      <c r="G51" s="51"/>
      <c r="H51" s="51"/>
      <c r="I51" s="51"/>
      <c r="J51" s="51"/>
      <c r="K51" s="51"/>
      <c r="L51" s="51"/>
    </row>
    <row r="52" spans="1:12" ht="14.25" x14ac:dyDescent="0.2">
      <c r="A52" s="57"/>
      <c r="B52" s="75"/>
      <c r="C52" s="79"/>
      <c r="E52" s="51"/>
      <c r="F52" s="51"/>
      <c r="G52" s="51"/>
      <c r="H52" s="51"/>
      <c r="I52" s="51"/>
      <c r="J52" s="51"/>
      <c r="K52" s="51"/>
      <c r="L52" s="51"/>
    </row>
    <row r="53" spans="1:12" ht="16.5" x14ac:dyDescent="0.2">
      <c r="A53" s="77"/>
      <c r="B53" s="51"/>
      <c r="C53" s="51"/>
      <c r="E53" s="51"/>
      <c r="F53" s="51"/>
      <c r="G53" s="51"/>
      <c r="H53" s="51"/>
      <c r="I53" s="51"/>
      <c r="J53" s="51"/>
      <c r="K53" s="51"/>
      <c r="L53" s="51"/>
    </row>
    <row r="54" spans="1:12" x14ac:dyDescent="0.2">
      <c r="A54" s="51"/>
      <c r="B54" s="51"/>
      <c r="C54" s="51"/>
      <c r="E54" s="51"/>
      <c r="F54" s="51"/>
      <c r="G54" s="51"/>
      <c r="H54" s="51"/>
      <c r="I54" s="51"/>
      <c r="J54" s="51"/>
      <c r="K54" s="51"/>
      <c r="L54" s="51"/>
    </row>
    <row r="55" spans="1:12" x14ac:dyDescent="0.2">
      <c r="A55" s="51"/>
      <c r="B55" s="51"/>
      <c r="C55" s="51"/>
      <c r="E55" s="51"/>
      <c r="F55" s="51"/>
      <c r="G55" s="51"/>
      <c r="H55" s="51"/>
      <c r="I55" s="51"/>
      <c r="J55" s="51"/>
      <c r="K55" s="51"/>
      <c r="L55" s="51"/>
    </row>
    <row r="56" spans="1:12" x14ac:dyDescent="0.2">
      <c r="A56" s="81"/>
      <c r="B56" s="51"/>
      <c r="C56" s="51"/>
      <c r="E56" s="51"/>
      <c r="F56" s="51"/>
      <c r="G56" s="51"/>
      <c r="H56" s="51"/>
      <c r="I56" s="51"/>
      <c r="J56" s="51"/>
      <c r="K56" s="51"/>
      <c r="L56" s="51"/>
    </row>
    <row r="57" spans="1:12" x14ac:dyDescent="0.2">
      <c r="A57" s="51"/>
      <c r="B57" s="51"/>
      <c r="C57" s="51"/>
      <c r="E57" s="51"/>
    </row>
    <row r="58" spans="1:12" x14ac:dyDescent="0.2">
      <c r="A58" s="51"/>
      <c r="B58" s="51"/>
      <c r="C58" s="51"/>
      <c r="E58" s="51"/>
    </row>
    <row r="59" spans="1:12" x14ac:dyDescent="0.2">
      <c r="A59" s="51"/>
      <c r="B59" s="51"/>
      <c r="C59" s="51"/>
      <c r="E59" s="51"/>
    </row>
    <row r="60" spans="1:12" x14ac:dyDescent="0.2">
      <c r="A60" s="51"/>
      <c r="B60" s="51"/>
      <c r="C60" s="51"/>
      <c r="E60" s="51"/>
    </row>
    <row r="61" spans="1:12" x14ac:dyDescent="0.2">
      <c r="A61" s="51"/>
      <c r="B61" s="51"/>
      <c r="C61" s="51"/>
      <c r="E61" s="51"/>
    </row>
    <row r="62" spans="1:12" x14ac:dyDescent="0.2">
      <c r="A62" s="51"/>
      <c r="B62" s="51"/>
      <c r="C62" s="51"/>
      <c r="E62" s="51"/>
    </row>
    <row r="63" spans="1:12" x14ac:dyDescent="0.2">
      <c r="A63" s="51"/>
      <c r="B63" s="51"/>
      <c r="C63" s="51"/>
      <c r="E63" s="51"/>
    </row>
    <row r="64" spans="1:12" x14ac:dyDescent="0.2">
      <c r="A64" s="51"/>
      <c r="B64" s="51"/>
      <c r="C64" s="51"/>
      <c r="E64" s="51"/>
    </row>
    <row r="65" spans="1:5" x14ac:dyDescent="0.2">
      <c r="A65" s="51"/>
      <c r="B65" s="51"/>
      <c r="C65" s="51"/>
      <c r="E65" s="51"/>
    </row>
  </sheetData>
  <mergeCells count="1">
    <mergeCell ref="A4:C4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T. 3B Micro</vt:lpstr>
      <vt:lpstr>T. 6 Ônibus</vt:lpstr>
      <vt:lpstr>2.BDI</vt:lpstr>
      <vt:lpstr>1.Encargos Sociais</vt:lpstr>
      <vt:lpstr>'1.Encargos Sociais'!Area_de_impressao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</dc:creator>
  <dc:description/>
  <cp:lastModifiedBy>Verita</cp:lastModifiedBy>
  <cp:revision>7</cp:revision>
  <cp:lastPrinted>2026-08-21T11:42:13Z</cp:lastPrinted>
  <dcterms:created xsi:type="dcterms:W3CDTF">2015-05-07T11:14:26Z</dcterms:created>
  <dcterms:modified xsi:type="dcterms:W3CDTF">2026-08-21T11:52:28Z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