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a Do Computador\Desktop\2025-BARÃO DO TRIUNFO\RUA _PASTOR _JOVELINO\Orcamento-rua pastor jovelino\"/>
    </mc:Choice>
  </mc:AlternateContent>
  <xr:revisionPtr revIDLastSave="0" documentId="8_{420CE0E0-395F-493C-B31C-4DA48AEB1891}" xr6:coauthVersionLast="47" xr6:coauthVersionMax="47" xr10:uidLastSave="{00000000-0000-0000-0000-000000000000}"/>
  <bookViews>
    <workbookView xWindow="-120" yWindow="-120" windowWidth="24240" windowHeight="13140" xr2:uid="{5BD8B381-89FB-4F29-BC7B-D5E6344212E5}"/>
  </bookViews>
  <sheets>
    <sheet name="PO-PLE" sheetId="1" r:id="rId1"/>
    <sheet name="CFF-PLE" sheetId="2" r:id="rId2"/>
  </sheets>
  <externalReferences>
    <externalReference r:id="rId3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BDI.Opcao" hidden="1">[1]DADOS!$C$18</definedName>
    <definedName name="BDI.TipoObra" hidden="1">[1]BDI!$A$138:$A$146</definedName>
    <definedName name="BDI_1.Título" hidden="1">[1]BDI!$J$14</definedName>
    <definedName name="BDI_2.Título" hidden="1">[1]BDI!$J$54</definedName>
    <definedName name="BDI_3.Título" hidden="1">[1]BDI!$J$94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FrentesPreenchidas" hidden="1">[1]CÁLCULO!$M$1</definedName>
    <definedName name="CÁLCULO.NúmeroDeEventos" hidden="1">IF(AUTOEVENTO&lt;&gt;"manual",MAX([1]CÁLCULO!$M$15:$M$52),MAX(OFFSET([1]EVENTOS!$C$1:$C$24,1,0)))</definedName>
    <definedName name="CÁLCULO.NúmeroDeFrentes" hidden="1">COLUMN([1]CÁLCULO!$AA$15)-COLUMN([1]CÁLCULO!$Q$15)</definedName>
    <definedName name="CÁLCULO.TotalAdmLocal" hidden="1">IF(AUTOEVENTO="manual",SUMIF([1]CÁLCULO!$M$15:$M$52,1,[1]ORÇAMENTO!$X$15:$X$52),0)</definedName>
    <definedName name="CRONO.LinhasNecessarias" hidden="1">COUNTIF([1]QCI!$B$13:$B$15,"Manual")+COUNTIF([1]QCI!$B$13:$B$15,"SemiAuto")+COUNT(ORÇAMENTO.ListaCrono)</definedName>
    <definedName name="CRONO.Lista.AdmLocal" hidden="1">[1]CRONO!$A$13:$A$41</definedName>
    <definedName name="CRONO.Lista.Níveis" hidden="1">[1]CRONO!$A$9:$A$11</definedName>
    <definedName name="CRONO.MaxParc" hidden="1">[1]CRONO!$H1048576+[1]CRONO!A1</definedName>
    <definedName name="CRONO.NivelExibicao" hidden="1">[1]CRONO!$H$10</definedName>
    <definedName name="CRONO.ParcelaFinal" hidden="1">MATCH(100%,[1]CRONO!$U$47:$AG$47,0)</definedName>
    <definedName name="CRONOPLE.Erro" hidden="1">[1]CRONOPLE!$B$6</definedName>
    <definedName name="CRONOPLE.Lista.AdmLocal" hidden="1">[1]CRONOPLE!$F$15:$F$24</definedName>
    <definedName name="CRONOPLE.ValorDoEvento" hidden="1">SUMIF([1]CÁLCULO!$M$15:$M$52,[1]CRONOPLE!$B1,OFFSET([1]CÁLCULO!$AA$15:$AA$52,0,[1]CRONOPLE!A$12))</definedName>
    <definedName name="DADOS.Lista.Arredondamento" hidden="1">[1]DADOS!$J$2:$J$3</definedName>
    <definedName name="DADOS.Lista.FonteRecursos" hidden="1">[1]DADOS!$G$2:$G$4</definedName>
    <definedName name="DADOS.Lista.RegimeExecução" hidden="1">[1]DADOS!$I$2:$I$9</definedName>
    <definedName name="DADOS.Lista.RegimePreviden" hidden="1">[1]DADOS!$H$2:$H$5</definedName>
    <definedName name="DESONERACAO" hidden="1">IF(OR(Import.Desoneracao="DESONERADO",Import.Desoneracao="SIM"),"SIM","NÃO")</definedName>
    <definedName name="EVENTOS.firstrow" hidden="1">[1]EVENTOS!$15:$15</definedName>
    <definedName name="EVENTOS.Lista" hidden="1">[1]EVENTOS!$C$15:OFFSET([1]EVENTOS!$C$24,-1,0)</definedName>
    <definedName name="EVENTOS.Lista.Agrupar" hidden="1">[1]EVENTOS!$B$6:$B$9</definedName>
    <definedName name="EVENTOS.ListaValidacao" hidden="1">[1]EVENTOS!$B$15:OFFSET([1]EVENTOS!$B$24,-1,0)</definedName>
    <definedName name="Excel_BuiltIn_Database" hidden="1">TEXT(Import.DataBase,"mm-aaaa")</definedName>
    <definedName name="Import.Apelido" hidden="1">[1]DADOS!$C$16</definedName>
    <definedName name="Import.BDI.Tipo1" hidden="1">[1]BDI!$J$17</definedName>
    <definedName name="Import.BDI.Tipo2" hidden="1">[1]BDI!$J$57</definedName>
    <definedName name="Import.BDI.Tipo3" hidden="1">[1]BDI!$J$97</definedName>
    <definedName name="Import.BMAFAcumulado" hidden="1">OFFSET([1]BM!$R$15,1,0):OFFSET([1]BM!$R$52,-1,0)</definedName>
    <definedName name="Import.CNPJ" hidden="1">[1]DADOS!$C$39</definedName>
    <definedName name="Import.Código" hidden="1">OFFSET([1]ORÇAMENTO!$Q$15,1,0):OFFSET([1]ORÇAMENTO!$Q$52,-1,0)</definedName>
    <definedName name="Import.Contrapartida" hidden="1">[1]DADOS!$C$10</definedName>
    <definedName name="Import.CPMaxPerc" hidden="1">[1]DADOS!$C$13</definedName>
    <definedName name="Import.CPMinAbsoluta" hidden="1">[1]DADOS!$C$12</definedName>
    <definedName name="Import.CPMinPerc" hidden="1">[1]DADOS!$C$11</definedName>
    <definedName name="Import.CR" hidden="1">[1]DADOS!$C$7</definedName>
    <definedName name="Import.CRONOPLE" hidden="1">OFFSET([1]CRONOPLE!$F$15,1,1):OFFSET([1]CRONOPLE!$AF$24,-1,-1)</definedName>
    <definedName name="Import.CTEF" hidden="1">[1]DADOS!$C$37</definedName>
    <definedName name="Import.CustoUnitário" hidden="1">OFFSET([1]ORÇAMENTO!$U$15,1,0):OFFSET([1]ORÇAMENTO!$U$52,-1,0)</definedName>
    <definedName name="Import.DataBase" hidden="1">OFFSET([1]DADOS!$D$19,0,-1)</definedName>
    <definedName name="Import.DataBaseLicit" hidden="1">OFFSET([1]DADOS!$D$41,0,-1)</definedName>
    <definedName name="Import.DataFechaRRE" hidden="1">[1]DADOS!$C$48</definedName>
    <definedName name="Import.DataInicioObra" hidden="1">[1]DADOS!$C$47</definedName>
    <definedName name="Import.DataPreenchimento" hidden="1">OFFSET([1]DADOS!$D$25,0,-1)</definedName>
    <definedName name="Import.DescLote" hidden="1">[1]DADOS!$C$17</definedName>
    <definedName name="Import.Descrição" hidden="1">OFFSET([1]ORÇAMENTO!$R$15,1,0):OFFSET([1]ORÇAMENTO!$R$52,-1,0)</definedName>
    <definedName name="Import.Desoneracao" hidden="1">OFFSET([1]DADOS!$D$18,0,-1)</definedName>
    <definedName name="Import.empresa" hidden="1">[1]DADOS!$C$38</definedName>
    <definedName name="Import.EventoAdmLocal" hidden="1">[1]CRONOPLE!$B$8</definedName>
    <definedName name="Import.Eventos.Nível" hidden="1">[1]EVENTOS!$C$8</definedName>
    <definedName name="Import.Eventos.Nomes" hidden="1">OFFSET([1]EVENTOS!$D$15,1,0):OFFSET([1]EVENTOS!$D$24,-1,0)</definedName>
    <definedName name="Import.Fonte" hidden="1">OFFSET([1]ORÇAMENTO!$P$15,1,0):OFFSET([1]ORÇAMENTO!$P$52,-1,0)</definedName>
    <definedName name="Import.FrenteDeObra" hidden="1">[1]CÁLCULO!$Q$12:OFFSET([1]CÁLCULO!$AA$12,0,-1)</definedName>
    <definedName name="Import.MacrosserviçoAdmLocal" hidden="1">[1]CRONO!$H$52</definedName>
    <definedName name="Import.Município" hidden="1">[1]DADOS!$C$6</definedName>
    <definedName name="Import.Nível" hidden="1">OFFSET([1]ORÇAMENTO!$M$15,1,0):OFFSET([1]ORÇAMENTO!$M$52,-1,0)</definedName>
    <definedName name="Import.Ofício.Num" hidden="1">[1]OFÍCIO!$C$6</definedName>
    <definedName name="Import.OpcaoBDI" hidden="1">OFFSET([1]ORÇAMENTO!$V$15,1,0):OFFSET([1]ORÇAMENTO!$V$52,-1,0)</definedName>
    <definedName name="Import.ORÇAMENTO.DivRecurso" hidden="1">OFFSET([1]ORÇAMENTO!$Y$15,1,0):OFFSET([1]ORÇAMENTO!$Y$52,-1,0)</definedName>
    <definedName name="Import.PLE" hidden="1">OFFSET([1]PLE!$G$15,1,1):OFFSET([1]PLE!$AG$24,-1,-1)</definedName>
    <definedName name="Import.PLQ" hidden="1">OFFSET([1]CÁLCULO!$P$15,1,1):OFFSET([1]CÁLCULO!$AA$52,-1,-1)</definedName>
    <definedName name="Import.PLQ.MemCalc" hidden="1">OFFSET([1]CÁLCULO!$I$15,1,0):OFFSET([1]CÁLCULO!$I$52,-1,0)</definedName>
    <definedName name="Import.PLQ.nAgrupEvent" hidden="1">OFFSET([1]CÁLCULO!$K$15,1,0):OFFSET([1]CÁLCULO!$K$52,-1,0)</definedName>
    <definedName name="Import.Proponente" hidden="1">[1]DADOS!$C$5</definedName>
    <definedName name="Import.QCI.Divisao" hidden="1">OFFSET([1]QCI!$V$13,1,0):OFFSET([1]QCI!$V$15,-1,0)</definedName>
    <definedName name="Import.QCI.ItemInv" hidden="1">OFFSET([1]QCI!$E$13,1,0):OFFSET([1]QCI!$E$15,-1,0)</definedName>
    <definedName name="Import.QCI.Qtde" hidden="1">OFFSET([1]QCI!$I$13,1,0):OFFSET([1]QCI!$I$15,-1,0)</definedName>
    <definedName name="Import.QCI.Situacao" hidden="1">OFFSET([1]QCI!$H$13,1,0):OFFSET([1]QCI!$H$15,-1,0)</definedName>
    <definedName name="Import.QCI.SubItemInv" hidden="1">OFFSET([1]QCI!$F$13,1,0):OFFSET([1]QCI!$F$15,-1,0)</definedName>
    <definedName name="Import.QCICP" hidden="1">OFFSET([1]QCI!$W$13,1,0):OFFSET([1]QCI!$W$15,-1,0)</definedName>
    <definedName name="Import.QCIDesc" hidden="1">OFFSET([1]QCI!$R$13,1,0):OFFSET([1]QCI!$R$15,-1,0)</definedName>
    <definedName name="Import.QCIInv" hidden="1">OFFSET([1]QCI!$U$13,1,0):OFFSET([1]QCI!$U$15,-1,0)</definedName>
    <definedName name="Import.QCILote" hidden="1">OFFSET([1]QCI!$T$13,1,0):OFFSET([1]QCI!$T$15,-1,0)</definedName>
    <definedName name="Import.QCIOutros" hidden="1">OFFSET([1]QCI!$X$13,1,0):OFFSET([1]QCI!$X$15,-1,0)</definedName>
    <definedName name="Import.Quantidade" hidden="1">OFFSET([1]ORÇAMENTO!$AJ$15,1,0):OFFSET([1]ORÇAMENTO!$AJ$52,-1,0)</definedName>
    <definedName name="import.recurso" hidden="1">[1]DADOS!$C$4</definedName>
    <definedName name="Import.RegimeExecução" hidden="1">OFFSET([1]DADOS!$D$40,0,-1)</definedName>
    <definedName name="Import.Repasse" hidden="1">[1]DADOS!$C$9</definedName>
    <definedName name="Import.RespFiscalização" hidden="1">[1]DADOS!$C$51:$C$54</definedName>
    <definedName name="Import.RespOrçamento" hidden="1">[1]DADOS!$C$22:$C$24</definedName>
    <definedName name="Import.SICONV" hidden="1">[1]DADOS!$C$8</definedName>
    <definedName name="Import.TipoArredondamento" hidden="1">[1]DADOS!$C$31</definedName>
    <definedName name="Import.TransfereGOV" hidden="1">[1]DADOS!$C$8</definedName>
    <definedName name="Import.Unidade" hidden="1">OFFSET([1]ORÇAMENTO!$S$15,1,0):OFFSET([1]ORÇAMENTO!$S$52,-1,0)</definedName>
    <definedName name="Import.UnitarioLicitado" hidden="1">OFFSET([1]ORÇAMENTO!$AL$15,1,0):OFFSET([1]ORÇAMENTO!$AL$52,-1,0)</definedName>
    <definedName name="ListaTgov.Unidades" hidden="1">[1]DADOS!$AV$3:$AV$220</definedName>
    <definedName name="MENU.CRONO" hidden="1">OFFSET([1]CRONO!$U$11,1,0)</definedName>
    <definedName name="MENU.Import.Form.PLQ" hidden="1">[1]MENU!$K$2</definedName>
    <definedName name="MENU.Import.Form.PreçoUnit" hidden="1">[1]MENU!$K$1</definedName>
    <definedName name="NumEventos" hidden="1">COUNT(OFFSET(Eventos,0,0,,1))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ListaCrono" hidden="1">OFFSET([1]ORÇAMENTO!$AD$15,1,0):OFFSET([1]ORÇAMENTO!$AD$52,-1,0)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OFFSET([1]ORÇAMENTO!$P$15,1,0):OFFSET([1]ORÇAMENTO!$S$52,-1,0)</definedName>
    <definedName name="ORÇAMENTO.PasteFormat2" hidden="1">OFFSET([1]ORÇAMENTO!$U$15,1,0):OFFSET([1]ORÇAMENTO!$V$52,-1,0)</definedName>
    <definedName name="ORÇAMENTO.PrecoUnitarioLicitado" hidden="1">[1]ORÇAMENTO!$AL1</definedName>
    <definedName name="ORÇAMENTO.RangeQuant" hidden="1">OFFSET([1]ORÇAMENTO!$T$15,1,0):OFFSET([1]ORÇAMENTO!$T$52,-1,0)</definedName>
    <definedName name="ORÇAMENTO.SumCPMANUAL" hidden="1">SUMIF([1]ORÇAMENTO!$Z$15:$Z$52,"CP",[1]ORÇAMENTO!$AA$15:$AA$52)</definedName>
    <definedName name="ORÇAMENTO.SumINVMANUAL" hidden="1">SUMIF([1]ORÇAMENTO!$Z$15:$Z$52,"RP",[1]ORÇAMENTO!$X$15:$X$52)+SUMIF([1]ORÇAMENTO!$Z$15:$Z$52,"CP",[1]ORÇAMENTO!$X$15:$X$52)+SUMIF([1]ORÇAMENTO!$Z$15:$Z$52,"OU",[1]ORÇAMENTO!$X$15:$X$52)</definedName>
    <definedName name="ORÇAMENTO.SumOUTROSMANUAL" hidden="1">SUMIF([1]ORÇAMENTO!$Z$15:$Z$52,"OU",[1]ORÇAMENTO!$AB$15:$AB$52)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[1]PLE!$24:$24</definedName>
    <definedName name="PLE.Medicao" hidden="1">[1]PLE!$J$9</definedName>
    <definedName name="PLE.ValorDoEvento" hidden="1">SUMIF([1]CÁLCULO!$M$15:$M$52,[1]PLE!$B1,OFFSET([1]CÁLCULO!$AA$15:$AA$52,0,[1]PLE!A$12))</definedName>
    <definedName name="PO.ValoresBDI" hidden="1">OFFSET([1]ORÇAMENTO!$AH$15,1,0):OFFSET([1]ORÇAMENTO!$AH$52,-1,0)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(COUNTIF([1]QCI!$B$13:$B$15,"Manual")+COUNTIF([1]QCI!$B$13:$B$15,"SemiAuto"))&gt;0</definedName>
    <definedName name="QCI.InvManual" hidden="1">ROUND([1]QCI!$U1,2)</definedName>
    <definedName name="QCI.ItemInvestimento" hidden="1">OFFSET([1]DADOS!$L$2,1,0,COUNTA([1]DADOS!$L:$L)-1,1)</definedName>
    <definedName name="QCI.Lista.DivisãoInvest" hidden="1">[1]QCI!$A$8:$A$9</definedName>
    <definedName name="QCI.Lista.Situação" hidden="1">[1]QCI!$A$2:$A$6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SUMIF([1]QCI!$B$13:$B$15,"Manual",[1]QCI!$AA$13:$AA$15)</definedName>
    <definedName name="QCI.SumINVMANUAL" hidden="1">SUMIF([1]QCI!$B$13:$B$15,"Manual",[1]QCI!$O$13:$O$15)</definedName>
    <definedName name="QCI.SumOUTROSMANUAL" hidden="1">SUMIF([1]QCI!$B$13:$B$15,"Manual",[1]QCI!$AB$13:$AB$15)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[1]RRE!$AD$17</definedName>
    <definedName name="RRE.MaxCPAnt" hidden="1">[1]RRE!$AC$17</definedName>
    <definedName name="RRE.MaxOUAcum" hidden="1">[1]RRE!$AD$18</definedName>
    <definedName name="RRE.MaxOUAnt" hidden="1">[1]RRE!$AC$18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4" i="1" l="1"/>
  <c r="S63" i="1"/>
  <c r="S62" i="1"/>
  <c r="L62" i="1"/>
  <c r="K62" i="1"/>
  <c r="F62" i="1"/>
  <c r="S61" i="1"/>
  <c r="L61" i="1"/>
  <c r="K61" i="1"/>
  <c r="F61" i="1"/>
  <c r="S60" i="1"/>
  <c r="L60" i="1"/>
  <c r="K60" i="1"/>
  <c r="F60" i="1"/>
  <c r="S59" i="1"/>
  <c r="L59" i="1"/>
  <c r="K59" i="1"/>
  <c r="F59" i="1"/>
  <c r="L58" i="1"/>
  <c r="S57" i="1"/>
  <c r="S56" i="1"/>
  <c r="S55" i="1"/>
  <c r="L55" i="1"/>
  <c r="K55" i="1"/>
  <c r="F55" i="1"/>
  <c r="S54" i="1"/>
  <c r="S53" i="1"/>
  <c r="S52" i="1"/>
  <c r="L52" i="1"/>
  <c r="K52" i="1"/>
  <c r="F52" i="1"/>
  <c r="L51" i="1"/>
  <c r="S50" i="1"/>
  <c r="S49" i="1"/>
  <c r="L49" i="1"/>
  <c r="K49" i="1"/>
  <c r="F49" i="1"/>
  <c r="S48" i="1"/>
  <c r="S47" i="1"/>
  <c r="L47" i="1"/>
  <c r="K47" i="1"/>
  <c r="F47" i="1"/>
  <c r="L46" i="1"/>
  <c r="S45" i="1"/>
  <c r="S44" i="1"/>
  <c r="L44" i="1"/>
  <c r="K44" i="1"/>
  <c r="F44" i="1"/>
  <c r="S43" i="1"/>
  <c r="S42" i="1"/>
  <c r="L42" i="1"/>
  <c r="K42" i="1"/>
  <c r="F42" i="1"/>
  <c r="S41" i="1"/>
  <c r="S40" i="1"/>
  <c r="L40" i="1"/>
  <c r="K40" i="1"/>
  <c r="F40" i="1"/>
  <c r="S39" i="1"/>
  <c r="S38" i="1"/>
  <c r="L38" i="1"/>
  <c r="K38" i="1"/>
  <c r="F38" i="1"/>
  <c r="S37" i="1"/>
  <c r="S36" i="1"/>
  <c r="L36" i="1"/>
  <c r="K36" i="1"/>
  <c r="F36" i="1"/>
  <c r="S35" i="1"/>
  <c r="S34" i="1"/>
  <c r="L34" i="1"/>
  <c r="K34" i="1"/>
  <c r="F34" i="1"/>
  <c r="S33" i="1"/>
  <c r="S32" i="1"/>
  <c r="L32" i="1"/>
  <c r="K32" i="1"/>
  <c r="F32" i="1"/>
  <c r="L31" i="1"/>
  <c r="S30" i="1"/>
  <c r="S29" i="1"/>
  <c r="L29" i="1"/>
  <c r="K29" i="1"/>
  <c r="F29" i="1"/>
  <c r="S28" i="1"/>
  <c r="S27" i="1"/>
  <c r="L27" i="1"/>
  <c r="K27" i="1"/>
  <c r="F27" i="1"/>
  <c r="S26" i="1"/>
  <c r="S25" i="1"/>
  <c r="L25" i="1"/>
  <c r="K25" i="1"/>
  <c r="F25" i="1"/>
  <c r="L24" i="1"/>
  <c r="S23" i="1"/>
  <c r="S22" i="1"/>
  <c r="S21" i="1"/>
  <c r="L21" i="1"/>
  <c r="K21" i="1"/>
  <c r="F21" i="1"/>
  <c r="S20" i="1"/>
  <c r="S19" i="1"/>
  <c r="S18" i="1"/>
  <c r="L18" i="1"/>
  <c r="K18" i="1"/>
  <c r="F18" i="1"/>
  <c r="L17" i="1"/>
  <c r="S16" i="1"/>
  <c r="L16" i="1"/>
  <c r="K16" i="1"/>
  <c r="F16" i="1"/>
  <c r="S15" i="1"/>
  <c r="L15" i="1"/>
  <c r="K15" i="1"/>
  <c r="F15" i="1"/>
  <c r="S14" i="1"/>
  <c r="L14" i="1"/>
  <c r="K14" i="1"/>
  <c r="F14" i="1"/>
  <c r="S13" i="1"/>
  <c r="L13" i="1"/>
  <c r="K13" i="1"/>
  <c r="F13" i="1"/>
  <c r="L12" i="1"/>
  <c r="S11" i="1"/>
  <c r="S10" i="1"/>
  <c r="S9" i="1"/>
  <c r="L9" i="1"/>
  <c r="K9" i="1"/>
  <c r="F9" i="1"/>
  <c r="S8" i="1"/>
  <c r="S7" i="1"/>
  <c r="S6" i="1"/>
  <c r="L6" i="1"/>
  <c r="K6" i="1"/>
  <c r="F6" i="1"/>
  <c r="S5" i="1"/>
  <c r="S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<sst xmlns="http://schemas.openxmlformats.org/spreadsheetml/2006/main" count="353" uniqueCount="131">
  <si>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</si>
  <si>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</si>
  <si>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</si>
  <si>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</si>
  <si>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</si>
  <si>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</si>
  <si>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</si>
  <si>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</si>
  <si>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</si>
  <si>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</si>
  <si>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</si>
  <si>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</si>
  <si>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</si>
  <si>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</si>
  <si>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</si>
  <si>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</si>
  <si>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</si>
  <si>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</si>
  <si>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</si>
  <si>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</si>
  <si>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</si>
  <si>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INICIAIS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</si>
  <si>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</si>
  <si>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</si>
  <si>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</si>
  <si>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</si>
  <si>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</si>
  <si>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</si>
  <si>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19,6%</t>
  </si>
  <si>
    <t>RUA PASTOR JOVELINO</t>
  </si>
  <si>
    <t>1.2</t>
  </si>
  <si>
    <t>Composição</t>
  </si>
  <si>
    <t>006</t>
  </si>
  <si>
    <t>SINALIZAÇÃO DE TRÂNSITO  NOTURNA - BASEADA NA SINAPI 74221/1 DE JANEIRO/2019</t>
  </si>
  <si>
    <t>M</t>
  </si>
  <si>
    <t>1.3</t>
  </si>
  <si>
    <t>Cotação</t>
  </si>
  <si>
    <t>03</t>
  </si>
  <si>
    <t>BANHEIRO QUÍMICO</t>
  </si>
  <si>
    <t>UN</t>
  </si>
  <si>
    <t>2</t>
  </si>
  <si>
    <t>TERRAPLENAGEM E SUBLEITO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</si>
  <si>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</si>
  <si>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</si>
  <si>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</si>
  <si>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</si>
  <si>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101114</t>
  </si>
  <si>
    <t>ESCAVAÇÃO HORIZONTAL EM SOLO DE 1A CATEGORIA COM TRATOR DE ESTEIRAS (100HP/LÂMINA: 2,19M3). AF_07/2020</t>
  </si>
  <si>
    <t>M3</t>
  </si>
  <si>
    <t>2.3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</si>
  <si>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</si>
  <si>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</si>
  <si>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2.4</t>
  </si>
  <si>
    <t>100577</t>
  </si>
  <si>
    <t>REGULARIZAÇÃO E COMPACTAÇÃO DE SUBLEITO DE SOLO PREDOMINANTEMENTE ARENOSO, PARA OBRAS DE CONSTRUÇÃO DE PAVIMENTOS. AF_09/2024</t>
  </si>
  <si>
    <t>3</t>
  </si>
  <si>
    <t>MEIO FIO</t>
  </si>
  <si>
    <t>3.1</t>
  </si>
  <si>
    <t>94273</t>
  </si>
  <si>
    <t>ASSENTAMENTO DE GUIA (MEIO-FIO) EM TRECHO RETO, CONFECCIONADA EM CONCRETO PRÉ-FABRICADO, DIMENSÕES 100X15X13X30 CM (COMPRIMENTO X BASE INFERIOR X BASE SUPERIOR X ALTURA). AF_01/2024</t>
  </si>
  <si>
    <t>3.2</t>
  </si>
  <si>
    <t>94277</t>
  </si>
  <si>
    <t>ASSENTAMENTO DE GUIA (MEIO-FIO) EM TRECHO RETO, CONFECCIONADA EM CONCRETO PRÉ-FABRICADO, DIMENSÕES 80X08X08X25 CM (COMPRIMENTO X BASE INFERIOR X BASE SUPERIOR X ALTURA). AF_01/2024</t>
  </si>
  <si>
    <t>4</t>
  </si>
  <si>
    <t>PASSEIO E ACESSIBILIDADE</t>
  </si>
  <si>
    <t>4.1</t>
  </si>
  <si>
    <t>97084</t>
  </si>
  <si>
    <t>COMPACTAÇÃO MECÂNICA DE SOLO PARA EXECUÇÃO DE RADIER, PISO DE CONCRETO OU LAJE SOBRE SOLO, COM COMPACTADOR DE SOLOS TIPO PLACA VIBRATÓRIA. AF_09/2021</t>
  </si>
  <si>
    <t>4.2</t>
  </si>
  <si>
    <t>94991</t>
  </si>
  <si>
    <t>EXECUÇÃO DE PASSEIO (CALÇADA) OU PISO DE CONCRETO COM CONCRETO MOLDADO IN LOCO, USINADO C20, ACABAMENTO CONVENCIONAL, NÃO ARMADO. AF_08/2022</t>
  </si>
  <si>
    <t>4.3</t>
  </si>
  <si>
    <t>105004</t>
  </si>
  <si>
    <t>RAMPA DE ACESSIBILIDADE EM CONCRETO MOLDADO IN LOCO, EM CALÇADA NOVA COM LARGURA MENOR À 3,00 M, FCK 25MPA, COM PISO PODOTÁTIL. AF_03/2024</t>
  </si>
  <si>
    <t>5</t>
  </si>
  <si>
    <t>MICRODRENAGEM TUBULAÇÃO</t>
  </si>
  <si>
    <t>5.1</t>
  </si>
  <si>
    <t>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</si>
  <si>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</si>
  <si>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5.2</t>
  </si>
  <si>
    <t>101617</t>
  </si>
  <si>
    <t>PREPARO DE FUNDO DE VALA COM LARGURA MAIOR OU IGUAL A 1,5 M E MENOR QUE 2,5 M (ACERTO DO SOLO NATURAL). AF_08/2020</t>
  </si>
  <si>
    <t>5.3</t>
  </si>
  <si>
    <t>92210</t>
  </si>
  <si>
    <t>TUBO DE CONCRETO PARA REDES COLETORAS DE ÁGUAS PLUVIAIS, DIÂMETRO DE 400 MM, JUNTA RÍGIDA, INSTALADO EM LOCAL COM BAIXO NÍVEL DE INTERFERÊNCIAS - FORNECIMENTO E ASSENTAMENTO. AF_03/2024</t>
  </si>
  <si>
    <t>5.4</t>
  </si>
  <si>
    <t>95568</t>
  </si>
  <si>
    <t>TUBO DE CONCRETO (SIMPLES) PARA REDES COLETORAS DE ÁGUAS PLUVIAIS, DIÂMETRO DE 400 MM, JUNTA RÍGIDA, INSTALADO EM LOCAL COM BAIXO NÍVEL DE INTERFERÊNCIAS - FORNECIMENTO E ASSENTAMENTO. AF_03/2024</t>
  </si>
  <si>
    <t>5.5</t>
  </si>
  <si>
    <t>92212</t>
  </si>
  <si>
    <t>TUBO DE CONCRETO PARA REDES COLETORAS DE ÁGUAS PLUVIAIS, DIÂMETRO DE 600 MM, JUNTA RÍGIDA, INSTALADO EM LOCAL COM BAIXO NÍVEL DE INTERFERÊNCIAS - FORNECIMENTO E ASSENTAMENTO. AF_03/2024</t>
  </si>
  <si>
    <t>5.6</t>
  </si>
  <si>
    <t>007</t>
  </si>
  <si>
    <t>TUBO DE CONCRETO (SIMPLES) PARA REDES COLETORAS DE ÁGUAS PLUVIAIS, DIÂMETRO DE 600 MM, JUNTA RÍGIDA, INSTALADO EM LOCAL COM BAIXO NÍVEL DE INTERFERÊNCIAS - FORNECIMENTO E ASSENTAMENTO -BASEADA NA SINAPI 92212/AF_03/2024</t>
  </si>
  <si>
    <t>5.7</t>
  </si>
  <si>
    <t>104735</t>
  </si>
  <si>
    <t>REATERRO MECANIZADO DE VALA COM RETROESCAVADEIRA (CAPACIDADE DA CAÇAMBA DA RETRO: 0,26 M³/POTÊNCIA: 88 HP), LARGURA ATÉ 0,8 M, PROFUNDIDADE DE 1,5 A 3,0 M, COM SOLO (SEM SUBSTITUIÇÃO) DE 1ª CATEGORIA, COM PLACA VIBRATÓRIA. AF_08/2023</t>
  </si>
  <si>
    <t>6</t>
  </si>
  <si>
    <t>MICRODRENAGEM BOCA DE LOBO</t>
  </si>
  <si>
    <t>6.1</t>
  </si>
  <si>
    <t>6.2</t>
  </si>
  <si>
    <t>97935</t>
  </si>
  <si>
    <t>CAIXA PARA BOCA DE LOBO SIMPLES RETANGULAR, EM CONCRETO PRÉ-MOLDADO, DIMENSÕES INTERNAS: 0,6X1,0X1,2 M. AF_12/2020</t>
  </si>
  <si>
    <t>7</t>
  </si>
  <si>
    <t>PAVIMENTAÇÃO BLOCO INTERTRAVADO</t>
  </si>
  <si>
    <t>7.1</t>
  </si>
  <si>
    <t>92404</t>
  </si>
  <si>
    <t>EXECUÇÃO DE PAVIMENTO EM PISO INTERTRAVADO, COM BLOCO 16 FACES DE 22 X 11 CM, ESPESSURA 8 CM. AF_10/2022</t>
  </si>
  <si>
    <t>7.2</t>
  </si>
  <si>
    <t>90279</t>
  </si>
  <si>
    <t>GRAUTE FGK=20 MPA; TRAÇO 1:0,04:1,8:2,1 (EM MASSA SECA DE CIMENTO/ CAL/ AREIA GROSSA/ BRITA 0) - PREPARO MECÂNICO COM BETONEIRA 400 L. AF_09/2021</t>
  </si>
  <si>
    <t>8</t>
  </si>
  <si>
    <t>SINALIZAÇÃO DA VIA</t>
  </si>
  <si>
    <t>8.1</t>
  </si>
  <si>
    <t>102509</t>
  </si>
  <si>
    <t>PINTURA DE FAIXA DE PEDESTRE OU ZEBRADA TINTA RETRORREFLETIVA A BASE DE RESINA ACRÍLICA COM MICROESFERAS DE VIDRO, E = 30 CM, APLICAÇÃO MANUAL. AF_05/2021</t>
  </si>
  <si>
    <t>8.2</t>
  </si>
  <si>
    <t>004</t>
  </si>
  <si>
    <t>CONFECÇÃO COMPLETA DE PLACA DE SINALIZAÇÃO TOTALMENTE REFLETIVA COM INSTALAÇÃO-BASEADA NA 7264 DAER DE MAIO/2018</t>
  </si>
  <si>
    <t>8.3</t>
  </si>
  <si>
    <t>005</t>
  </si>
  <si>
    <t>PLACA ESMALTADA PARA IDENTIFICAÇÃO DE RUA, DIMENSÕES 45X20CM - BASEADA NA  SINAPI 73916/2 DE FEVEREIRO/2018</t>
  </si>
  <si>
    <t>8.4</t>
  </si>
  <si>
    <t>103695</t>
  </si>
  <si>
    <t>FORNECIMENTO E INSTALAÇÃO DE SUPORTE DE MADEIRA PARA PLACAS DE SINALIZAÇÃO, EM SOLO, COM H= DE 2,0 M E SEÇÃO DE 7,5 X 7,5 CM. AF_03/2022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</si>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</sst>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D721C136-655C-473A-9607-36ED4FB3F50D}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ua%20Pastor%20Jovelino_Planilh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1">
          <cell r="J1" t="str">
            <v>PM</v>
          </cell>
          <cell r="K1" t="b">
            <v>1</v>
          </cell>
        </row>
        <row r="2">
          <cell r="J2" t="str">
            <v>v3.16</v>
          </cell>
          <cell r="K2" t="b">
            <v>1</v>
          </cell>
        </row>
        <row r="3">
          <cell r="O3">
            <v>1</v>
          </cell>
        </row>
        <row r="4">
          <cell r="J4" t="str">
            <v>PLE</v>
          </cell>
        </row>
      </sheetData>
      <sheetData sheetId="2">
        <row r="2">
          <cell r="G2" t="str">
            <v>(SELECIONAR)</v>
          </cell>
          <cell r="H2" t="str">
            <v>(SELECIONAR)</v>
          </cell>
          <cell r="I2" t="str">
            <v>(SELECIONAR)</v>
          </cell>
          <cell r="J2" t="str">
            <v>Tradicional</v>
          </cell>
          <cell r="L2" t="str">
            <v>Itens de Investimento</v>
          </cell>
          <cell r="M2" t="str">
            <v>Unidades habitacionais</v>
          </cell>
          <cell r="N2">
            <v>3</v>
          </cell>
          <cell r="O2" t="str">
            <v>Equipamentos comunitários</v>
          </cell>
          <cell r="P2">
            <v>6</v>
          </cell>
          <cell r="Q2" t="str">
            <v>Pavimentação</v>
          </cell>
          <cell r="R2">
            <v>6</v>
          </cell>
          <cell r="S2" t="str">
            <v xml:space="preserve">Drenagem </v>
          </cell>
          <cell r="T2">
            <v>6</v>
          </cell>
          <cell r="U2" t="str">
            <v>Abastecimento de água</v>
          </cell>
          <cell r="V2">
            <v>11</v>
          </cell>
          <cell r="W2" t="str">
            <v>Esgotamento sanitário</v>
          </cell>
          <cell r="X2">
            <v>8</v>
          </cell>
          <cell r="Y2" t="str">
            <v>Energia elétrica e iluminação pública</v>
          </cell>
          <cell r="Z2">
            <v>4</v>
          </cell>
          <cell r="AA2" t="str">
            <v>Coleta e tratamento de resíduos sólidos</v>
          </cell>
          <cell r="AB2">
            <v>6</v>
          </cell>
          <cell r="AC2" t="str">
            <v xml:space="preserve">Contenção e estabilização de encostas </v>
          </cell>
          <cell r="AD2">
            <v>2</v>
          </cell>
          <cell r="AE2" t="str">
            <v>Regularização fundiária</v>
          </cell>
          <cell r="AF2">
            <v>2</v>
          </cell>
          <cell r="AG2" t="str">
            <v>Aquisição de terreno</v>
          </cell>
          <cell r="AH2">
            <v>2</v>
          </cell>
          <cell r="AI2" t="str">
            <v>Aquisição de equipamentos e insumos</v>
          </cell>
          <cell r="AJ2">
            <v>1</v>
          </cell>
          <cell r="AK2" t="str">
            <v>Elaboração de estudos e projetos</v>
          </cell>
          <cell r="AL2">
            <v>1</v>
          </cell>
          <cell r="AM2" t="str">
            <v>Instrumentos e ações em planejamento e gestão pública</v>
          </cell>
          <cell r="AN2">
            <v>1</v>
          </cell>
          <cell r="AO2" t="str">
            <v>Ações complementares às obras</v>
          </cell>
          <cell r="AP2">
            <v>3</v>
          </cell>
          <cell r="AQ2" t="str">
            <v>Gerenciamento</v>
          </cell>
          <cell r="AR2">
            <v>1</v>
          </cell>
          <cell r="AS2" t="str">
            <v>Trabalho social</v>
          </cell>
          <cell r="AT2">
            <v>4</v>
          </cell>
          <cell r="AV2" t="str">
            <v>Sigla</v>
          </cell>
          <cell r="AW2" t="str">
            <v>Descrição</v>
          </cell>
        </row>
        <row r="3">
          <cell r="G3" t="str">
            <v>OGU</v>
          </cell>
          <cell r="H3" t="str">
            <v>NÃO SE APLICA</v>
          </cell>
          <cell r="I3" t="str">
            <v>INDEFINIDO / NÃO SE APLICA</v>
          </cell>
          <cell r="J3" t="str">
            <v>TransfereGOV</v>
          </cell>
          <cell r="L3" t="str">
            <v>Unidades habitacionais</v>
          </cell>
          <cell r="AV3" t="str">
            <v>%CT</v>
          </cell>
        </row>
        <row r="4">
          <cell r="C4" t="str">
            <v>OGU</v>
          </cell>
          <cell r="G4" t="str">
            <v>FGTS</v>
          </cell>
          <cell r="H4" t="str">
            <v>DESONERADO</v>
          </cell>
          <cell r="I4" t="str">
            <v>EMPREITADA POR PREÇO GLOBAL</v>
          </cell>
          <cell r="L4" t="str">
            <v>Equipamentos comunitários</v>
          </cell>
          <cell r="AV4" t="str">
            <v>°C</v>
          </cell>
        </row>
        <row r="5">
          <cell r="C5" t="str">
            <v>MUNICÍPIO DE BARÃO DO TRIUNFO</v>
          </cell>
          <cell r="H5" t="str">
            <v>NÃO DESONERADO</v>
          </cell>
          <cell r="I5" t="str">
            <v>EMPREITADA POR PREÇO UNITÁRIO</v>
          </cell>
          <cell r="L5" t="str">
            <v>Pavimentação</v>
          </cell>
          <cell r="AV5" t="str">
            <v>°F</v>
          </cell>
        </row>
        <row r="6">
          <cell r="C6" t="str">
            <v>BARÃO DO TRIUNFO/RS</v>
          </cell>
          <cell r="I6" t="str">
            <v>EMPREITADA INTEGRAL</v>
          </cell>
          <cell r="L6" t="str">
            <v xml:space="preserve">Drenagem </v>
          </cell>
          <cell r="AV6" t="str">
            <v>100M</v>
          </cell>
        </row>
        <row r="7">
          <cell r="C7" t="str">
            <v>1101159-48</v>
          </cell>
          <cell r="I7" t="str">
            <v>TAREFA</v>
          </cell>
          <cell r="L7" t="str">
            <v>Abastecimento de água</v>
          </cell>
          <cell r="AV7" t="str">
            <v>18L</v>
          </cell>
        </row>
        <row r="8">
          <cell r="C8" t="str">
            <v>977323/2025</v>
          </cell>
          <cell r="I8" t="str">
            <v>CONTRATAÇÃO INTEGRADA</v>
          </cell>
          <cell r="L8" t="str">
            <v>Esgotamento sanitário</v>
          </cell>
          <cell r="AV8" t="str">
            <v>200KG</v>
          </cell>
        </row>
        <row r="9">
          <cell r="C9">
            <v>384205</v>
          </cell>
          <cell r="I9" t="str">
            <v>ADM. DIRETA</v>
          </cell>
          <cell r="L9" t="str">
            <v>Energia elétrica e iluminação pública</v>
          </cell>
          <cell r="AV9" t="str">
            <v>250G</v>
          </cell>
        </row>
        <row r="10">
          <cell r="C10">
            <v>118233.23</v>
          </cell>
          <cell r="L10" t="str">
            <v>Coleta e tratamento de resíduos sólidos</v>
          </cell>
          <cell r="AV10" t="str">
            <v>310ML</v>
          </cell>
        </row>
        <row r="11">
          <cell r="C11">
            <v>0</v>
          </cell>
          <cell r="L11" t="str">
            <v xml:space="preserve">Contenção e estabilização de encostas </v>
          </cell>
          <cell r="AV11" t="str">
            <v>50KG</v>
          </cell>
        </row>
        <row r="12">
          <cell r="L12" t="str">
            <v>Regularização fundiária</v>
          </cell>
          <cell r="AV12" t="str">
            <v>A</v>
          </cell>
        </row>
        <row r="13">
          <cell r="L13" t="str">
            <v>Aquisição de terreno</v>
          </cell>
          <cell r="AV13" t="str">
            <v>ACA/ACC</v>
          </cell>
        </row>
        <row r="14">
          <cell r="L14" t="str">
            <v>Aquisição de equipamentos e insumos</v>
          </cell>
          <cell r="AV14" t="str">
            <v>AH</v>
          </cell>
        </row>
        <row r="15">
          <cell r="L15" t="str">
            <v>Elaboração de estudos e projetos</v>
          </cell>
          <cell r="AV15" t="str">
            <v>AH/H/V</v>
          </cell>
        </row>
        <row r="16">
          <cell r="C16" t="str">
            <v>PAVIMENTAÇÃO DE TRECHO DA RUA PASTOR JOVELINO ANTÔNIO DA SILVA</v>
          </cell>
          <cell r="L16" t="str">
            <v>Instrumentos e ações em planejamento e gestão pública</v>
          </cell>
          <cell r="AV16" t="str">
            <v>AM</v>
          </cell>
        </row>
        <row r="17">
          <cell r="C17" t="str">
            <v>RUA PASTOR JOVELINO ANTÔNIO DA SILVA - CENTRO - BARÃO DO TRIUNFO-RS</v>
          </cell>
          <cell r="L17" t="str">
            <v>Ações complementares às obras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L18" t="str">
            <v>Gerenciamento</v>
          </cell>
          <cell r="AV18" t="str">
            <v>AM0/5ML</v>
          </cell>
        </row>
        <row r="19">
          <cell r="D19" t="str">
            <v/>
          </cell>
          <cell r="L19" t="str">
            <v>Trabalho social</v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ENG CIVIL ELDON ALBERTO RECKZIEGEL</v>
          </cell>
          <cell r="AV22" t="str">
            <v>AM2/5ML</v>
          </cell>
        </row>
        <row r="23">
          <cell r="C23" t="str">
            <v>CREA/RS 048490</v>
          </cell>
          <cell r="AV23" t="str">
            <v>AM2ML</v>
          </cell>
        </row>
        <row r="24">
          <cell r="C24" t="str">
            <v>14118008</v>
          </cell>
          <cell r="AV24" t="str">
            <v>AM3ML</v>
          </cell>
        </row>
        <row r="25">
          <cell r="D25" t="str">
            <v/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D41" t="str">
            <v/>
          </cell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4">
          <cell r="J14" t="str">
            <v>BDI 1</v>
          </cell>
        </row>
        <row r="17">
          <cell r="J17" t="str">
            <v>Construção de Praças Urbanas, Rodovias, Ferrovias e recapeamento e pavimentação de vias urbanas</v>
          </cell>
        </row>
        <row r="54">
          <cell r="J54" t="str">
            <v>BDI 2</v>
          </cell>
        </row>
        <row r="57">
          <cell r="J57" t="str">
            <v>Fornecimento de Materiais e Equipamentos (aquisição indireta - em conjunto com licitação de obras)</v>
          </cell>
        </row>
        <row r="94">
          <cell r="J94" t="str">
            <v>BDI 3</v>
          </cell>
        </row>
        <row r="97">
          <cell r="J97" t="str">
            <v>(SELECIONAR)</v>
          </cell>
        </row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  <row r="8">
          <cell r="F8" t="str">
            <v>'[Referência 09-2025.xlsm]Banco'!$a5:$a$65536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502438.23</v>
          </cell>
          <cell r="Z15" t="str">
            <v/>
          </cell>
          <cell r="AA15">
            <v>118233.22999999998</v>
          </cell>
          <cell r="AB15">
            <v>0</v>
          </cell>
        </row>
        <row r="16">
          <cell r="X16">
            <v>502438.23</v>
          </cell>
          <cell r="Z16" t="str">
            <v/>
          </cell>
          <cell r="AA16">
            <v>118233.22999999998</v>
          </cell>
          <cell r="AB16">
            <v>0</v>
          </cell>
        </row>
        <row r="17">
          <cell r="X17">
            <v>5657.26</v>
          </cell>
          <cell r="Z17" t="str">
            <v/>
          </cell>
          <cell r="AA17">
            <v>1331.2604073734594</v>
          </cell>
          <cell r="AB17">
            <v>0</v>
          </cell>
        </row>
        <row r="18">
          <cell r="X18">
            <v>3583.5600000000004</v>
          </cell>
          <cell r="Z18" t="str">
            <v>RA</v>
          </cell>
          <cell r="AA18">
            <v>843.27952850801182</v>
          </cell>
          <cell r="AB18">
            <v>0</v>
          </cell>
        </row>
        <row r="19">
          <cell r="X19">
            <v>489</v>
          </cell>
          <cell r="Z19" t="str">
            <v>RA</v>
          </cell>
          <cell r="AA19">
            <v>115.07096000636733</v>
          </cell>
          <cell r="AB19">
            <v>0</v>
          </cell>
        </row>
        <row r="20">
          <cell r="X20">
            <v>1584.7</v>
          </cell>
          <cell r="Z20" t="str">
            <v>RA</v>
          </cell>
          <cell r="AA20">
            <v>372.90991885908039</v>
          </cell>
          <cell r="AB20">
            <v>0</v>
          </cell>
        </row>
        <row r="21">
          <cell r="X21">
            <v>15949.99</v>
          </cell>
          <cell r="Z21" t="str">
            <v/>
          </cell>
          <cell r="AA21">
            <v>3753.3346858731265</v>
          </cell>
          <cell r="AB21">
            <v>0</v>
          </cell>
        </row>
        <row r="22">
          <cell r="X22">
            <v>2996.93</v>
          </cell>
          <cell r="Z22" t="str">
            <v>RA</v>
          </cell>
          <cell r="AA22">
            <v>705.23438071959595</v>
          </cell>
          <cell r="AB22">
            <v>0</v>
          </cell>
        </row>
        <row r="23">
          <cell r="X23">
            <v>2894.11</v>
          </cell>
          <cell r="Z23" t="str">
            <v>RA</v>
          </cell>
          <cell r="AA23">
            <v>681.03888765649856</v>
          </cell>
          <cell r="AB23">
            <v>0</v>
          </cell>
        </row>
        <row r="24">
          <cell r="X24">
            <v>5383.85</v>
          </cell>
          <cell r="Z24" t="str">
            <v>RA</v>
          </cell>
          <cell r="AA24">
            <v>1266.9218569126397</v>
          </cell>
          <cell r="AB24">
            <v>0</v>
          </cell>
        </row>
        <row r="25">
          <cell r="X25">
            <v>4675.1000000000004</v>
          </cell>
          <cell r="Z25" t="str">
            <v>RA</v>
          </cell>
          <cell r="AA25">
            <v>1100.1395605843925</v>
          </cell>
          <cell r="AB25">
            <v>0</v>
          </cell>
        </row>
        <row r="26">
          <cell r="X26">
            <v>51277.36</v>
          </cell>
          <cell r="Z26" t="str">
            <v/>
          </cell>
          <cell r="AA26">
            <v>12066.533827795707</v>
          </cell>
          <cell r="AB26">
            <v>0</v>
          </cell>
        </row>
        <row r="27">
          <cell r="X27">
            <v>30480.840000000004</v>
          </cell>
          <cell r="Z27" t="str">
            <v>RA</v>
          </cell>
          <cell r="AA27">
            <v>7172.7188560337063</v>
          </cell>
          <cell r="AB27">
            <v>0</v>
          </cell>
        </row>
        <row r="28">
          <cell r="X28">
            <v>20796.52</v>
          </cell>
          <cell r="Z28" t="str">
            <v>RA</v>
          </cell>
          <cell r="AA28">
            <v>4893.8149717620008</v>
          </cell>
          <cell r="AB28">
            <v>0</v>
          </cell>
        </row>
        <row r="29">
          <cell r="X29">
            <v>72431.72</v>
          </cell>
          <cell r="Z29" t="str">
            <v/>
          </cell>
          <cell r="AA29">
            <v>17044.55532783721</v>
          </cell>
          <cell r="AB29">
            <v>0</v>
          </cell>
        </row>
        <row r="30">
          <cell r="X30">
            <v>972.26</v>
          </cell>
          <cell r="Z30" t="str">
            <v>RA</v>
          </cell>
          <cell r="AA30">
            <v>228.7911893165454</v>
          </cell>
          <cell r="AB30">
            <v>0</v>
          </cell>
        </row>
        <row r="31">
          <cell r="X31">
            <v>68893.14</v>
          </cell>
          <cell r="Z31" t="str">
            <v>RA</v>
          </cell>
          <cell r="AA31">
            <v>16211.860445098293</v>
          </cell>
          <cell r="AB31">
            <v>0</v>
          </cell>
        </row>
        <row r="32">
          <cell r="X32">
            <v>2566.3200000000002</v>
          </cell>
          <cell r="Z32" t="str">
            <v>RA</v>
          </cell>
          <cell r="AA32">
            <v>603.90369342237352</v>
          </cell>
          <cell r="AB32">
            <v>0</v>
          </cell>
        </row>
        <row r="33">
          <cell r="X33">
            <v>91335.47</v>
          </cell>
          <cell r="Z33" t="str">
            <v/>
          </cell>
          <cell r="AA33">
            <v>21492.965675936121</v>
          </cell>
          <cell r="AB33">
            <v>0</v>
          </cell>
        </row>
        <row r="34">
          <cell r="X34">
            <v>5096.4399999999996</v>
          </cell>
          <cell r="Z34" t="str">
            <v>RA</v>
          </cell>
          <cell r="AA34">
            <v>1199.2888413391629</v>
          </cell>
          <cell r="AB34">
            <v>0</v>
          </cell>
        </row>
        <row r="35">
          <cell r="X35">
            <v>1577.48</v>
          </cell>
          <cell r="Z35" t="str">
            <v>RA</v>
          </cell>
          <cell r="AA35">
            <v>371.21091613669603</v>
          </cell>
          <cell r="AB35">
            <v>0</v>
          </cell>
        </row>
        <row r="36">
          <cell r="X36">
            <v>8089.77</v>
          </cell>
          <cell r="Z36" t="str">
            <v>RA</v>
          </cell>
          <cell r="AA36">
            <v>1903.6760738869332</v>
          </cell>
          <cell r="AB36">
            <v>0</v>
          </cell>
        </row>
        <row r="37">
          <cell r="X37">
            <v>41614.65</v>
          </cell>
          <cell r="Z37" t="str">
            <v>RA</v>
          </cell>
          <cell r="AA37">
            <v>9792.7151857443241</v>
          </cell>
          <cell r="AB37">
            <v>0</v>
          </cell>
        </row>
        <row r="38">
          <cell r="X38">
            <v>3859.1</v>
          </cell>
          <cell r="Z38" t="str">
            <v>RA</v>
          </cell>
          <cell r="AA38">
            <v>908.11930830382857</v>
          </cell>
          <cell r="AB38">
            <v>0</v>
          </cell>
        </row>
        <row r="39">
          <cell r="X39">
            <v>24497</v>
          </cell>
          <cell r="Z39" t="str">
            <v>RA</v>
          </cell>
          <cell r="AA39">
            <v>5764.6079903394284</v>
          </cell>
          <cell r="AB39">
            <v>0</v>
          </cell>
        </row>
        <row r="40">
          <cell r="X40">
            <v>6601.0300000000007</v>
          </cell>
          <cell r="Z40" t="str">
            <v>RA</v>
          </cell>
          <cell r="AA40">
            <v>1553.3473601857486</v>
          </cell>
          <cell r="AB40">
            <v>0</v>
          </cell>
        </row>
        <row r="41">
          <cell r="X41">
            <v>14221.32</v>
          </cell>
          <cell r="Z41" t="str">
            <v/>
          </cell>
          <cell r="AA41">
            <v>3346.5458997091041</v>
          </cell>
          <cell r="AB41">
            <v>0</v>
          </cell>
        </row>
        <row r="42">
          <cell r="X42">
            <v>362.88</v>
          </cell>
          <cell r="Z42" t="str">
            <v>RA</v>
          </cell>
          <cell r="AA42">
            <v>85.392535720062526</v>
          </cell>
          <cell r="AB42">
            <v>0</v>
          </cell>
        </row>
        <row r="43">
          <cell r="X43">
            <v>13858.44</v>
          </cell>
          <cell r="Z43" t="str">
            <v>RA</v>
          </cell>
          <cell r="AA43">
            <v>3261.1533639890417</v>
          </cell>
          <cell r="AB43">
            <v>0</v>
          </cell>
        </row>
        <row r="44">
          <cell r="X44">
            <v>246511.5</v>
          </cell>
          <cell r="Z44" t="str">
            <v/>
          </cell>
          <cell r="AA44">
            <v>58008.824044191453</v>
          </cell>
          <cell r="AB44">
            <v>0</v>
          </cell>
        </row>
        <row r="45">
          <cell r="X45">
            <v>239271.33</v>
          </cell>
          <cell r="Z45" t="str">
            <v>RA</v>
          </cell>
          <cell r="AA45">
            <v>56305.074938855461</v>
          </cell>
          <cell r="AB45">
            <v>0</v>
          </cell>
        </row>
        <row r="46">
          <cell r="X46">
            <v>7240.17</v>
          </cell>
          <cell r="Z46" t="str">
            <v>RA</v>
          </cell>
          <cell r="AA46">
            <v>1703.7491053359931</v>
          </cell>
          <cell r="AB46">
            <v>0</v>
          </cell>
        </row>
        <row r="47">
          <cell r="X47">
            <v>5053.6099999999997</v>
          </cell>
          <cell r="Z47" t="str">
            <v/>
          </cell>
          <cell r="AA47">
            <v>1189.2101312837997</v>
          </cell>
          <cell r="AB47">
            <v>0</v>
          </cell>
        </row>
        <row r="48">
          <cell r="X48">
            <v>1040.54</v>
          </cell>
          <cell r="Z48" t="str">
            <v>RA</v>
          </cell>
          <cell r="AA48">
            <v>244.85876630884553</v>
          </cell>
          <cell r="AB48">
            <v>0</v>
          </cell>
        </row>
        <row r="49">
          <cell r="X49">
            <v>2325.79</v>
          </cell>
          <cell r="Z49" t="str">
            <v>RA</v>
          </cell>
          <cell r="AA49">
            <v>547.30242959756458</v>
          </cell>
          <cell r="AB49">
            <v>0</v>
          </cell>
        </row>
        <row r="50">
          <cell r="X50">
            <v>250.88</v>
          </cell>
          <cell r="Z50" t="str">
            <v>RA</v>
          </cell>
          <cell r="AA50">
            <v>59.036814818808665</v>
          </cell>
          <cell r="AB50">
            <v>0</v>
          </cell>
        </row>
        <row r="51">
          <cell r="X51">
            <v>1436.4</v>
          </cell>
          <cell r="Z51" t="str">
            <v>RA</v>
          </cell>
          <cell r="AA51">
            <v>338.01212055858088</v>
          </cell>
          <cell r="AB51">
            <v>0</v>
          </cell>
        </row>
      </sheetData>
      <sheetData sheetId="5">
        <row r="1">
          <cell r="C1" t="e">
            <v>#REF!</v>
          </cell>
        </row>
        <row r="4">
          <cell r="C4" t="str">
            <v>PROPONENTE / TOMADOR</v>
          </cell>
        </row>
        <row r="5">
          <cell r="C5" t="str">
            <v>MUNICÍPIO DE BARÃO DO TRIUNFO</v>
          </cell>
        </row>
        <row r="6">
          <cell r="B6" t="str">
            <v>Automática, conforme os agrupadores Nível 2 do Orçamento</v>
          </cell>
          <cell r="C6" t="str">
            <v>1. Selecione abaixo a forma de definição dos agrupadores de eventos:</v>
          </cell>
        </row>
        <row r="7">
          <cell r="B7" t="str">
            <v>Automática, conforme os agrupadores Nível 3 do Orçamento</v>
          </cell>
        </row>
        <row r="8">
          <cell r="B8" t="str">
            <v>Automática, conforme os agrupadores Nível 4 do Orçamento</v>
          </cell>
          <cell r="C8" t="str">
            <v>Automática, conforme os agrupadores Nível 2 do Orçamento</v>
          </cell>
        </row>
        <row r="9">
          <cell r="B9" t="str">
            <v>Definir Manualmente</v>
          </cell>
        </row>
        <row r="10">
          <cell r="C10">
            <v>0</v>
          </cell>
        </row>
        <row r="11">
          <cell r="C11" t="str">
            <v>Foi selecionada a forma automática de definição dos agrupadores de eventos.</v>
          </cell>
        </row>
        <row r="13">
          <cell r="C13" t="str">
            <v>Nº do Evento</v>
          </cell>
        </row>
        <row r="15">
          <cell r="A15" t="str">
            <v/>
          </cell>
          <cell r="B15" t="str">
            <v/>
          </cell>
          <cell r="C15">
            <v>0</v>
          </cell>
          <cell r="D15" t="str">
            <v/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C16">
            <v>1</v>
          </cell>
        </row>
        <row r="17">
          <cell r="C17" t="str">
            <v xml:space="preserve"> </v>
          </cell>
        </row>
        <row r="18">
          <cell r="C18" t="str">
            <v xml:space="preserve"> </v>
          </cell>
        </row>
        <row r="19">
          <cell r="C19" t="str">
            <v xml:space="preserve"> </v>
          </cell>
        </row>
        <row r="20">
          <cell r="C20" t="str">
            <v xml:space="preserve"> </v>
          </cell>
        </row>
        <row r="21">
          <cell r="C21" t="str">
            <v xml:space="preserve"> </v>
          </cell>
        </row>
        <row r="22">
          <cell r="C22" t="str">
            <v xml:space="preserve"> </v>
          </cell>
        </row>
        <row r="23">
          <cell r="C23" t="str">
            <v xml:space="preserve"> </v>
          </cell>
        </row>
      </sheetData>
      <sheetData sheetId="6">
        <row r="1">
          <cell r="M1">
            <v>3</v>
          </cell>
        </row>
        <row r="11">
          <cell r="A11" t="str">
            <v>Manual</v>
          </cell>
        </row>
        <row r="12">
          <cell r="A12">
            <v>2</v>
          </cell>
          <cell r="Q12" t="str">
            <v>RUA PASTOR JOVELINO</v>
          </cell>
          <cell r="AA12" t="str">
            <v>.</v>
          </cell>
        </row>
        <row r="15">
          <cell r="M15">
            <v>0</v>
          </cell>
          <cell r="Q15">
            <v>169913.09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>
            <v>1</v>
          </cell>
        </row>
        <row r="20">
          <cell r="M20">
            <v>1</v>
          </cell>
        </row>
        <row r="21">
          <cell r="M21" t="str">
            <v/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 t="str">
            <v/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 t="str">
            <v/>
          </cell>
        </row>
        <row r="34">
          <cell r="M34">
            <v>5</v>
          </cell>
        </row>
        <row r="35">
          <cell r="M35">
            <v>5</v>
          </cell>
        </row>
        <row r="36">
          <cell r="M36">
            <v>5</v>
          </cell>
        </row>
        <row r="37">
          <cell r="M37">
            <v>5</v>
          </cell>
        </row>
        <row r="38">
          <cell r="M38">
            <v>5</v>
          </cell>
        </row>
        <row r="39">
          <cell r="M39">
            <v>5</v>
          </cell>
        </row>
        <row r="40">
          <cell r="M40">
            <v>5</v>
          </cell>
        </row>
        <row r="41">
          <cell r="M41" t="str">
            <v/>
          </cell>
        </row>
        <row r="42">
          <cell r="M42">
            <v>6</v>
          </cell>
        </row>
        <row r="43">
          <cell r="M43">
            <v>6</v>
          </cell>
        </row>
        <row r="44">
          <cell r="M44" t="str">
            <v/>
          </cell>
        </row>
        <row r="45">
          <cell r="M45">
            <v>7</v>
          </cell>
        </row>
        <row r="46">
          <cell r="M46">
            <v>7</v>
          </cell>
        </row>
        <row r="47">
          <cell r="M47" t="str">
            <v/>
          </cell>
        </row>
        <row r="48">
          <cell r="M48">
            <v>8</v>
          </cell>
        </row>
        <row r="49">
          <cell r="M49">
            <v>8</v>
          </cell>
        </row>
        <row r="50">
          <cell r="M50">
            <v>8</v>
          </cell>
        </row>
        <row r="51">
          <cell r="M51">
            <v>8</v>
          </cell>
        </row>
      </sheetData>
      <sheetData sheetId="7">
        <row r="6">
          <cell r="B6" t="str">
            <v/>
          </cell>
        </row>
        <row r="8">
          <cell r="B8" t="str">
            <v xml:space="preserve">1. SERVIÇOS INICIAIS </v>
          </cell>
        </row>
        <row r="15">
          <cell r="F15" t="str">
            <v/>
          </cell>
        </row>
        <row r="16">
          <cell r="F16" t="str">
            <v xml:space="preserve">1. SERVIÇOS INICIAIS </v>
          </cell>
        </row>
        <row r="17">
          <cell r="F17" t="str">
            <v>2. TERRAPLENAGEM E SUBLEITO</v>
          </cell>
        </row>
        <row r="18">
          <cell r="F18" t="str">
            <v>3. MEIO FIO</v>
          </cell>
        </row>
        <row r="19">
          <cell r="F19" t="str">
            <v>4. PASSEIO E ACESSIBILIDADE</v>
          </cell>
        </row>
        <row r="20">
          <cell r="F20" t="str">
            <v>5. MICRODRENAGEM TUBULAÇÃO</v>
          </cell>
        </row>
        <row r="21">
          <cell r="F21" t="str">
            <v>6. MICRODRENAGEM BOCA DE LOBO</v>
          </cell>
        </row>
        <row r="22">
          <cell r="F22" t="str">
            <v xml:space="preserve">7. PAVIMENTAÇÃO BLOCO INTERTRAVADO </v>
          </cell>
        </row>
        <row r="23">
          <cell r="F23" t="str">
            <v>8. SINALIZAÇÃO DA VIA</v>
          </cell>
        </row>
      </sheetData>
      <sheetData sheetId="8">
        <row r="9">
          <cell r="A9">
            <v>2</v>
          </cell>
        </row>
        <row r="10">
          <cell r="A10">
            <v>3</v>
          </cell>
          <cell r="H10">
            <v>2</v>
          </cell>
        </row>
        <row r="11">
          <cell r="A11">
            <v>4</v>
          </cell>
        </row>
        <row r="14">
          <cell r="A14" t="str">
            <v/>
          </cell>
        </row>
        <row r="17">
          <cell r="A17" t="e">
            <v>#NAME?</v>
          </cell>
        </row>
        <row r="20">
          <cell r="A20" t="e">
            <v>#NAME?</v>
          </cell>
        </row>
        <row r="23">
          <cell r="A23" t="e">
            <v>#NAME?</v>
          </cell>
        </row>
        <row r="26">
          <cell r="A26" t="e">
            <v>#NAME?</v>
          </cell>
        </row>
        <row r="29">
          <cell r="A29" t="e">
            <v>#NAME?</v>
          </cell>
        </row>
        <row r="32">
          <cell r="A32" t="e">
            <v>#NAME?</v>
          </cell>
        </row>
        <row r="35">
          <cell r="A35" t="e">
            <v>#NAME?</v>
          </cell>
        </row>
        <row r="38">
          <cell r="A38" t="e">
            <v>#NAME?</v>
          </cell>
        </row>
        <row r="47">
          <cell r="U47">
            <v>0.3382</v>
          </cell>
          <cell r="V47">
            <v>0.71660000000000001</v>
          </cell>
          <cell r="W47">
            <v>1</v>
          </cell>
          <cell r="X47">
            <v>1</v>
          </cell>
          <cell r="Y47">
            <v>1</v>
          </cell>
          <cell r="Z47">
            <v>1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</row>
      </sheetData>
      <sheetData sheetId="9">
        <row r="2">
          <cell r="A2" t="str">
            <v>Sem Projeto</v>
          </cell>
        </row>
        <row r="3">
          <cell r="A3" t="str">
            <v>Em Análise</v>
          </cell>
        </row>
        <row r="4">
          <cell r="A4" t="str">
            <v>Análise Concluída / A Licitar</v>
          </cell>
        </row>
        <row r="5">
          <cell r="A5" t="str">
            <v>Licitado / Em Execução</v>
          </cell>
        </row>
        <row r="6">
          <cell r="A6" t="str">
            <v>Concluído</v>
          </cell>
        </row>
        <row r="8">
          <cell r="A8" t="str">
            <v>Proporcional</v>
          </cell>
        </row>
        <row r="9">
          <cell r="A9" t="str">
            <v>Calculado</v>
          </cell>
        </row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502438.23</v>
          </cell>
          <cell r="AA14">
            <v>118233.22999999998</v>
          </cell>
          <cell r="AB14">
            <v>0</v>
          </cell>
        </row>
        <row r="15">
          <cell r="B15" t="str">
            <v>TR$</v>
          </cell>
          <cell r="O15">
            <v>502438.23</v>
          </cell>
          <cell r="AA15">
            <v>118233.23</v>
          </cell>
          <cell r="AB15">
            <v>0</v>
          </cell>
        </row>
      </sheetData>
      <sheetData sheetId="10">
        <row r="9">
          <cell r="J9">
            <v>1</v>
          </cell>
        </row>
        <row r="15">
          <cell r="A15" t="str">
            <v/>
          </cell>
          <cell r="B15">
            <v>0</v>
          </cell>
          <cell r="C15" t="str">
            <v/>
          </cell>
          <cell r="H15" t="str">
            <v>Para aplicação de Adm. Local é necessário definir os eventos manualmente.</v>
          </cell>
        </row>
        <row r="24">
          <cell r="A24" t="str">
            <v>F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502438.23</v>
          </cell>
        </row>
        <row r="17">
          <cell r="AC17">
            <v>0</v>
          </cell>
          <cell r="AD17">
            <v>0</v>
          </cell>
        </row>
        <row r="18">
          <cell r="AC18">
            <v>0</v>
          </cell>
          <cell r="AD18">
            <v>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A457F-1B29-4A95-BBE2-7F678E77670D}">
  <sheetPr codeName="Planilha1"/>
  <dimension ref="A1:S64"/>
  <sheetViews>
    <sheetView tabSelected="1" workbookViewId="0">
      <pane ySplit="1" topLeftCell="A2" activePane="bottomLeft" state="frozen"/>
      <selection pane="bottomLeft"/>
    </sheetView>
  </sheetViews>
  <sheetFormatPr defaultColWidth="9.140625" defaultRowHeight="15" x14ac:dyDescent="0.25"/>
  <cols>
    <col min="1" max="1" width="15" style="3" customWidth="1"/>
    <col min="2" max="2" width="25" style="3" customWidth="1"/>
    <col min="3" max="3" width="12" style="3" customWidth="1"/>
    <col min="4" max="4" width="15.570312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703125" style="3" customWidth="1"/>
    <col min="20" max="16384" width="9.140625" style="3"/>
  </cols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5657.26</f>
        <v>5657.26</v>
      </c>
      <c r="M2" s="4"/>
      <c r="N2" s="11"/>
      <c r="O2" s="4"/>
      <c r="P2" s="11"/>
      <c r="Q2" s="4"/>
      <c r="R2" s="12"/>
      <c r="S2" s="9"/>
    </row>
    <row r="3" spans="1:19" ht="45" customHeight="1" x14ac:dyDescent="0.25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6.48</f>
        <v>6.48</v>
      </c>
      <c r="G3" s="4" t="s">
        <v>27</v>
      </c>
      <c r="H3" s="7">
        <v>462.39</v>
      </c>
      <c r="I3" s="7">
        <v>462.39</v>
      </c>
      <c r="J3" s="8" t="s">
        <v>28</v>
      </c>
      <c r="K3" s="9">
        <f>553.02</f>
        <v>553.02</v>
      </c>
      <c r="L3" s="10">
        <f>3583.56</f>
        <v>3583.56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2</v>
      </c>
      <c r="S3" s="9">
        <f>1106.04</f>
        <v>1106.04</v>
      </c>
    </row>
    <row r="4" spans="1:19" ht="45" customHeight="1" x14ac:dyDescent="0.25">
      <c r="A4" s="4"/>
      <c r="B4" s="5"/>
      <c r="C4" s="4"/>
      <c r="D4" s="4"/>
      <c r="E4" s="4"/>
      <c r="F4" s="6"/>
      <c r="G4" s="4"/>
      <c r="H4" s="7"/>
      <c r="I4" s="7"/>
      <c r="J4" s="8"/>
      <c r="K4" s="9"/>
      <c r="L4" s="10"/>
      <c r="M4" s="4"/>
      <c r="N4" s="11"/>
      <c r="O4" s="4"/>
      <c r="P4" s="11">
        <v>2</v>
      </c>
      <c r="Q4" s="4" t="s">
        <v>29</v>
      </c>
      <c r="R4" s="12">
        <v>2.2400000000000002</v>
      </c>
      <c r="S4" s="9">
        <f>1238.76</f>
        <v>1238.76</v>
      </c>
    </row>
    <row r="5" spans="1:19" ht="45" customHeight="1" x14ac:dyDescent="0.25">
      <c r="A5" s="4"/>
      <c r="B5" s="5"/>
      <c r="C5" s="4"/>
      <c r="D5" s="4"/>
      <c r="E5" s="4"/>
      <c r="F5" s="6"/>
      <c r="G5" s="4"/>
      <c r="H5" s="7"/>
      <c r="I5" s="7"/>
      <c r="J5" s="8"/>
      <c r="K5" s="9"/>
      <c r="L5" s="10"/>
      <c r="M5" s="4"/>
      <c r="N5" s="11"/>
      <c r="O5" s="4"/>
      <c r="P5" s="11">
        <v>3</v>
      </c>
      <c r="Q5" s="4" t="s">
        <v>29</v>
      </c>
      <c r="R5" s="12">
        <v>2.2400000000000002</v>
      </c>
      <c r="S5" s="9">
        <f>1238.76</f>
        <v>1238.76</v>
      </c>
    </row>
    <row r="6" spans="1:19" ht="45" customHeight="1" x14ac:dyDescent="0.25">
      <c r="A6" s="4" t="s">
        <v>22</v>
      </c>
      <c r="B6" s="5" t="s">
        <v>30</v>
      </c>
      <c r="C6" s="4" t="s">
        <v>31</v>
      </c>
      <c r="D6" s="4" t="s">
        <v>32</v>
      </c>
      <c r="E6" s="4" t="s">
        <v>33</v>
      </c>
      <c r="F6" s="6">
        <f>100</f>
        <v>100</v>
      </c>
      <c r="G6" s="4" t="s">
        <v>34</v>
      </c>
      <c r="H6" s="7">
        <v>4.09</v>
      </c>
      <c r="I6" s="7">
        <v>4.09</v>
      </c>
      <c r="J6" s="8" t="s">
        <v>28</v>
      </c>
      <c r="K6" s="9">
        <f>4.89</f>
        <v>4.8899999999999997</v>
      </c>
      <c r="L6" s="10">
        <f>489</f>
        <v>489</v>
      </c>
      <c r="M6" s="4"/>
      <c r="N6" s="11">
        <v>1</v>
      </c>
      <c r="O6" s="4" t="s">
        <v>21</v>
      </c>
      <c r="P6" s="11">
        <v>1</v>
      </c>
      <c r="Q6" s="4" t="s">
        <v>29</v>
      </c>
      <c r="R6" s="12">
        <v>50</v>
      </c>
      <c r="S6" s="9">
        <f>244.5</f>
        <v>244.5</v>
      </c>
    </row>
    <row r="7" spans="1:19" ht="45" customHeight="1" x14ac:dyDescent="0.25">
      <c r="A7" s="4"/>
      <c r="B7" s="5"/>
      <c r="C7" s="4"/>
      <c r="D7" s="4"/>
      <c r="E7" s="4"/>
      <c r="F7" s="6"/>
      <c r="G7" s="4"/>
      <c r="H7" s="7"/>
      <c r="I7" s="7"/>
      <c r="J7" s="8"/>
      <c r="K7" s="9"/>
      <c r="L7" s="10"/>
      <c r="M7" s="4"/>
      <c r="N7" s="11"/>
      <c r="O7" s="4"/>
      <c r="P7" s="11">
        <v>2</v>
      </c>
      <c r="Q7" s="4" t="s">
        <v>29</v>
      </c>
      <c r="R7" s="12">
        <v>25</v>
      </c>
      <c r="S7" s="9">
        <f>122.25</f>
        <v>122.25</v>
      </c>
    </row>
    <row r="8" spans="1:19" ht="45" customHeight="1" x14ac:dyDescent="0.25">
      <c r="A8" s="4"/>
      <c r="B8" s="5"/>
      <c r="C8" s="4"/>
      <c r="D8" s="4"/>
      <c r="E8" s="4"/>
      <c r="F8" s="6"/>
      <c r="G8" s="4"/>
      <c r="H8" s="7"/>
      <c r="I8" s="7"/>
      <c r="J8" s="8"/>
      <c r="K8" s="9"/>
      <c r="L8" s="10"/>
      <c r="M8" s="4"/>
      <c r="N8" s="11"/>
      <c r="O8" s="4"/>
      <c r="P8" s="11">
        <v>3</v>
      </c>
      <c r="Q8" s="4" t="s">
        <v>29</v>
      </c>
      <c r="R8" s="12">
        <v>25</v>
      </c>
      <c r="S8" s="9">
        <f>122.25</f>
        <v>122.25</v>
      </c>
    </row>
    <row r="9" spans="1:19" ht="45" customHeight="1" x14ac:dyDescent="0.25">
      <c r="A9" s="4" t="s">
        <v>22</v>
      </c>
      <c r="B9" s="5" t="s">
        <v>35</v>
      </c>
      <c r="C9" s="4" t="s">
        <v>36</v>
      </c>
      <c r="D9" s="4" t="s">
        <v>37</v>
      </c>
      <c r="E9" s="4" t="s">
        <v>38</v>
      </c>
      <c r="F9" s="6">
        <f>1</f>
        <v>1</v>
      </c>
      <c r="G9" s="4" t="s">
        <v>39</v>
      </c>
      <c r="H9" s="7">
        <v>1325</v>
      </c>
      <c r="I9" s="7">
        <v>1325</v>
      </c>
      <c r="J9" s="8" t="s">
        <v>28</v>
      </c>
      <c r="K9" s="9">
        <f>1584.7</f>
        <v>1584.7</v>
      </c>
      <c r="L9" s="10">
        <f>1584.7</f>
        <v>1584.7</v>
      </c>
      <c r="M9" s="4"/>
      <c r="N9" s="11">
        <v>1</v>
      </c>
      <c r="O9" s="4" t="s">
        <v>21</v>
      </c>
      <c r="P9" s="11">
        <v>1</v>
      </c>
      <c r="Q9" s="4" t="s">
        <v>29</v>
      </c>
      <c r="R9" s="12">
        <v>0.33</v>
      </c>
      <c r="S9" s="9">
        <f>522.95</f>
        <v>522.95000000000005</v>
      </c>
    </row>
    <row r="10" spans="1:19" ht="45" customHeight="1" x14ac:dyDescent="0.25">
      <c r="A10" s="4"/>
      <c r="B10" s="5"/>
      <c r="C10" s="4"/>
      <c r="D10" s="4"/>
      <c r="E10" s="4"/>
      <c r="F10" s="6"/>
      <c r="G10" s="4"/>
      <c r="H10" s="7"/>
      <c r="I10" s="7"/>
      <c r="J10" s="8"/>
      <c r="K10" s="9"/>
      <c r="L10" s="10"/>
      <c r="M10" s="4"/>
      <c r="N10" s="11"/>
      <c r="O10" s="4"/>
      <c r="P10" s="11">
        <v>2</v>
      </c>
      <c r="Q10" s="4" t="s">
        <v>29</v>
      </c>
      <c r="R10" s="12">
        <v>0.33</v>
      </c>
      <c r="S10" s="9">
        <f>522.95</f>
        <v>522.95000000000005</v>
      </c>
    </row>
    <row r="11" spans="1:19" ht="45" customHeight="1" x14ac:dyDescent="0.25">
      <c r="A11" s="4"/>
      <c r="B11" s="5"/>
      <c r="C11" s="4"/>
      <c r="D11" s="4"/>
      <c r="E11" s="4"/>
      <c r="F11" s="6"/>
      <c r="G11" s="4"/>
      <c r="H11" s="7"/>
      <c r="I11" s="7"/>
      <c r="J11" s="8"/>
      <c r="K11" s="9"/>
      <c r="L11" s="10"/>
      <c r="M11" s="4"/>
      <c r="N11" s="11"/>
      <c r="O11" s="4"/>
      <c r="P11" s="11">
        <v>3</v>
      </c>
      <c r="Q11" s="4" t="s">
        <v>29</v>
      </c>
      <c r="R11" s="12">
        <v>0.34</v>
      </c>
      <c r="S11" s="9">
        <f>538.8</f>
        <v>538.79999999999995</v>
      </c>
    </row>
    <row r="12" spans="1:19" ht="45" customHeight="1" x14ac:dyDescent="0.25">
      <c r="A12" s="4" t="s">
        <v>19</v>
      </c>
      <c r="B12" s="5" t="s">
        <v>40</v>
      </c>
      <c r="C12" s="4"/>
      <c r="D12" s="4"/>
      <c r="E12" s="4" t="s">
        <v>41</v>
      </c>
      <c r="F12" s="6"/>
      <c r="G12" s="4"/>
      <c r="H12" s="7"/>
      <c r="I12" s="7"/>
      <c r="J12" s="8"/>
      <c r="K12" s="9"/>
      <c r="L12" s="10">
        <f>15949.99</f>
        <v>15949.99</v>
      </c>
      <c r="M12" s="4"/>
      <c r="N12" s="11"/>
      <c r="O12" s="4"/>
      <c r="P12" s="11"/>
      <c r="Q12" s="4"/>
      <c r="R12" s="12"/>
      <c r="S12" s="9"/>
    </row>
    <row r="13" spans="1:19" ht="45" customHeight="1" x14ac:dyDescent="0.25">
      <c r="A13" s="4" t="s">
        <v>22</v>
      </c>
      <c r="B13" s="5" t="s">
        <v>42</v>
      </c>
      <c r="C13" s="4" t="s">
        <v>24</v>
      </c>
      <c r="D13" s="4" t="s">
        <v>43</v>
      </c>
      <c r="E13" s="4" t="s">
        <v>44</v>
      </c>
      <c r="F13" s="6">
        <f>3525.8</f>
        <v>3525.8</v>
      </c>
      <c r="G13" s="4" t="s">
        <v>27</v>
      </c>
      <c r="H13" s="7">
        <v>0.71</v>
      </c>
      <c r="I13" s="7">
        <v>0.71</v>
      </c>
      <c r="J13" s="8" t="s">
        <v>28</v>
      </c>
      <c r="K13" s="9">
        <f>0.85</f>
        <v>0.85</v>
      </c>
      <c r="L13" s="10">
        <f>2996.93</f>
        <v>2996.93</v>
      </c>
      <c r="M13" s="4"/>
      <c r="N13" s="11">
        <v>2</v>
      </c>
      <c r="O13" s="4" t="s">
        <v>41</v>
      </c>
      <c r="P13" s="11">
        <v>1</v>
      </c>
      <c r="Q13" s="4" t="s">
        <v>29</v>
      </c>
      <c r="R13" s="12">
        <v>3525.8</v>
      </c>
      <c r="S13" s="9">
        <f>2996.93</f>
        <v>2996.93</v>
      </c>
    </row>
    <row r="14" spans="1:19" ht="45" customHeight="1" x14ac:dyDescent="0.25">
      <c r="A14" s="4" t="s">
        <v>22</v>
      </c>
      <c r="B14" s="5" t="s">
        <v>45</v>
      </c>
      <c r="C14" s="4" t="s">
        <v>24</v>
      </c>
      <c r="D14" s="4" t="s">
        <v>46</v>
      </c>
      <c r="E14" s="4" t="s">
        <v>47</v>
      </c>
      <c r="F14" s="6">
        <f>494.72</f>
        <v>494.72</v>
      </c>
      <c r="G14" s="4" t="s">
        <v>48</v>
      </c>
      <c r="H14" s="7">
        <v>4.8899999999999997</v>
      </c>
      <c r="I14" s="7">
        <v>4.8899999999999997</v>
      </c>
      <c r="J14" s="8" t="s">
        <v>28</v>
      </c>
      <c r="K14" s="9">
        <f>5.85</f>
        <v>5.85</v>
      </c>
      <c r="L14" s="10">
        <f>2894.11</f>
        <v>2894.11</v>
      </c>
      <c r="M14" s="4"/>
      <c r="N14" s="11">
        <v>2</v>
      </c>
      <c r="O14" s="4" t="s">
        <v>41</v>
      </c>
      <c r="P14" s="11">
        <v>1</v>
      </c>
      <c r="Q14" s="4" t="s">
        <v>29</v>
      </c>
      <c r="R14" s="12">
        <v>494.72</v>
      </c>
      <c r="S14" s="9">
        <f>2894.11</f>
        <v>2894.11</v>
      </c>
    </row>
    <row r="15" spans="1:19" ht="45" customHeight="1" x14ac:dyDescent="0.25">
      <c r="A15" s="4" t="s">
        <v>22</v>
      </c>
      <c r="B15" s="5" t="s">
        <v>49</v>
      </c>
      <c r="C15" s="4" t="s">
        <v>24</v>
      </c>
      <c r="D15" s="4" t="s">
        <v>50</v>
      </c>
      <c r="E15" s="4" t="s">
        <v>51</v>
      </c>
      <c r="F15" s="6">
        <f>654.97</f>
        <v>654.97</v>
      </c>
      <c r="G15" s="4" t="s">
        <v>48</v>
      </c>
      <c r="H15" s="7">
        <v>6.87</v>
      </c>
      <c r="I15" s="7">
        <v>6.87</v>
      </c>
      <c r="J15" s="8" t="s">
        <v>28</v>
      </c>
      <c r="K15" s="9">
        <f>8.22</f>
        <v>8.2200000000000006</v>
      </c>
      <c r="L15" s="10">
        <f>5383.85</f>
        <v>5383.85</v>
      </c>
      <c r="M15" s="4"/>
      <c r="N15" s="11">
        <v>2</v>
      </c>
      <c r="O15" s="4" t="s">
        <v>41</v>
      </c>
      <c r="P15" s="11">
        <v>1</v>
      </c>
      <c r="Q15" s="4" t="s">
        <v>29</v>
      </c>
      <c r="R15" s="12">
        <v>654.97</v>
      </c>
      <c r="S15" s="9">
        <f>5383.85</f>
        <v>5383.85</v>
      </c>
    </row>
    <row r="16" spans="1:19" ht="45" customHeight="1" x14ac:dyDescent="0.25">
      <c r="A16" s="4" t="s">
        <v>22</v>
      </c>
      <c r="B16" s="5" t="s">
        <v>52</v>
      </c>
      <c r="C16" s="4" t="s">
        <v>24</v>
      </c>
      <c r="D16" s="4" t="s">
        <v>53</v>
      </c>
      <c r="E16" s="4" t="s">
        <v>54</v>
      </c>
      <c r="F16" s="6">
        <f>2473.6</f>
        <v>2473.6</v>
      </c>
      <c r="G16" s="4" t="s">
        <v>27</v>
      </c>
      <c r="H16" s="7">
        <v>1.58</v>
      </c>
      <c r="I16" s="7">
        <v>1.58</v>
      </c>
      <c r="J16" s="8" t="s">
        <v>28</v>
      </c>
      <c r="K16" s="9">
        <f>1.89</f>
        <v>1.89</v>
      </c>
      <c r="L16" s="10">
        <f>4675.1</f>
        <v>4675.1000000000004</v>
      </c>
      <c r="M16" s="4"/>
      <c r="N16" s="11">
        <v>2</v>
      </c>
      <c r="O16" s="4" t="s">
        <v>41</v>
      </c>
      <c r="P16" s="11">
        <v>1</v>
      </c>
      <c r="Q16" s="4" t="s">
        <v>29</v>
      </c>
      <c r="R16" s="12">
        <v>2473.6</v>
      </c>
      <c r="S16" s="9">
        <f>4675.1</f>
        <v>4675.1000000000004</v>
      </c>
    </row>
    <row r="17" spans="1:19" ht="45" customHeight="1" x14ac:dyDescent="0.25">
      <c r="A17" s="4" t="s">
        <v>19</v>
      </c>
      <c r="B17" s="5" t="s">
        <v>55</v>
      </c>
      <c r="C17" s="4"/>
      <c r="D17" s="4"/>
      <c r="E17" s="4" t="s">
        <v>56</v>
      </c>
      <c r="F17" s="6"/>
      <c r="G17" s="4"/>
      <c r="H17" s="7"/>
      <c r="I17" s="7"/>
      <c r="J17" s="8"/>
      <c r="K17" s="9"/>
      <c r="L17" s="10">
        <f>51277.36</f>
        <v>51277.36</v>
      </c>
      <c r="M17" s="4"/>
      <c r="N17" s="11"/>
      <c r="O17" s="4"/>
      <c r="P17" s="11"/>
      <c r="Q17" s="4"/>
      <c r="R17" s="12"/>
      <c r="S17" s="9"/>
    </row>
    <row r="18" spans="1:19" ht="45" customHeight="1" x14ac:dyDescent="0.25">
      <c r="A18" s="4" t="s">
        <v>22</v>
      </c>
      <c r="B18" s="5" t="s">
        <v>57</v>
      </c>
      <c r="C18" s="4" t="s">
        <v>24</v>
      </c>
      <c r="D18" s="4" t="s">
        <v>58</v>
      </c>
      <c r="E18" s="4" t="s">
        <v>59</v>
      </c>
      <c r="F18" s="6">
        <f>501</f>
        <v>501</v>
      </c>
      <c r="G18" s="4" t="s">
        <v>34</v>
      </c>
      <c r="H18" s="7">
        <v>50.87</v>
      </c>
      <c r="I18" s="7">
        <v>50.87</v>
      </c>
      <c r="J18" s="8" t="s">
        <v>28</v>
      </c>
      <c r="K18" s="9">
        <f>60.84</f>
        <v>60.84</v>
      </c>
      <c r="L18" s="10">
        <f>30480.84</f>
        <v>30480.84</v>
      </c>
      <c r="M18" s="4"/>
      <c r="N18" s="11">
        <v>3</v>
      </c>
      <c r="O18" s="4" t="s">
        <v>56</v>
      </c>
      <c r="P18" s="11">
        <v>1</v>
      </c>
      <c r="Q18" s="4" t="s">
        <v>29</v>
      </c>
      <c r="R18" s="12">
        <v>167</v>
      </c>
      <c r="S18" s="9">
        <f>10160.28</f>
        <v>10160.280000000001</v>
      </c>
    </row>
    <row r="19" spans="1:19" ht="45" customHeight="1" x14ac:dyDescent="0.25">
      <c r="A19" s="4"/>
      <c r="B19" s="5"/>
      <c r="C19" s="4"/>
      <c r="D19" s="4"/>
      <c r="E19" s="4"/>
      <c r="F19" s="6"/>
      <c r="G19" s="4"/>
      <c r="H19" s="7"/>
      <c r="I19" s="7"/>
      <c r="J19" s="8"/>
      <c r="K19" s="9"/>
      <c r="L19" s="10"/>
      <c r="M19" s="4"/>
      <c r="N19" s="11"/>
      <c r="O19" s="4"/>
      <c r="P19" s="11">
        <v>2</v>
      </c>
      <c r="Q19" s="4" t="s">
        <v>29</v>
      </c>
      <c r="R19" s="12">
        <v>167</v>
      </c>
      <c r="S19" s="9">
        <f>10160.28</f>
        <v>10160.280000000001</v>
      </c>
    </row>
    <row r="20" spans="1:19" ht="45" customHeight="1" x14ac:dyDescent="0.25">
      <c r="A20" s="4"/>
      <c r="B20" s="5"/>
      <c r="C20" s="4"/>
      <c r="D20" s="4"/>
      <c r="E20" s="4"/>
      <c r="F20" s="6"/>
      <c r="G20" s="4"/>
      <c r="H20" s="7"/>
      <c r="I20" s="7"/>
      <c r="J20" s="8"/>
      <c r="K20" s="9"/>
      <c r="L20" s="10"/>
      <c r="M20" s="4"/>
      <c r="N20" s="11"/>
      <c r="O20" s="4"/>
      <c r="P20" s="11">
        <v>3</v>
      </c>
      <c r="Q20" s="4" t="s">
        <v>29</v>
      </c>
      <c r="R20" s="12">
        <v>167</v>
      </c>
      <c r="S20" s="9">
        <f>10160.28</f>
        <v>10160.280000000001</v>
      </c>
    </row>
    <row r="21" spans="1:19" ht="45" customHeight="1" x14ac:dyDescent="0.25">
      <c r="A21" s="4" t="s">
        <v>22</v>
      </c>
      <c r="B21" s="5" t="s">
        <v>60</v>
      </c>
      <c r="C21" s="4" t="s">
        <v>24</v>
      </c>
      <c r="D21" s="4" t="s">
        <v>61</v>
      </c>
      <c r="E21" s="4" t="s">
        <v>62</v>
      </c>
      <c r="F21" s="6">
        <f>428</f>
        <v>428</v>
      </c>
      <c r="G21" s="4" t="s">
        <v>34</v>
      </c>
      <c r="H21" s="7">
        <v>40.630000000000003</v>
      </c>
      <c r="I21" s="7">
        <v>40.630000000000003</v>
      </c>
      <c r="J21" s="8" t="s">
        <v>28</v>
      </c>
      <c r="K21" s="9">
        <f>48.59</f>
        <v>48.59</v>
      </c>
      <c r="L21" s="10">
        <f>20796.52</f>
        <v>20796.52</v>
      </c>
      <c r="M21" s="4"/>
      <c r="N21" s="11">
        <v>3</v>
      </c>
      <c r="O21" s="4" t="s">
        <v>56</v>
      </c>
      <c r="P21" s="11">
        <v>1</v>
      </c>
      <c r="Q21" s="4" t="s">
        <v>29</v>
      </c>
      <c r="R21" s="12">
        <v>143</v>
      </c>
      <c r="S21" s="9">
        <f>6948.37</f>
        <v>6948.37</v>
      </c>
    </row>
    <row r="22" spans="1:19" ht="45" customHeight="1" x14ac:dyDescent="0.25">
      <c r="A22" s="4"/>
      <c r="B22" s="5"/>
      <c r="C22" s="4"/>
      <c r="D22" s="4"/>
      <c r="E22" s="4"/>
      <c r="F22" s="6"/>
      <c r="G22" s="4"/>
      <c r="H22" s="7"/>
      <c r="I22" s="7"/>
      <c r="J22" s="8"/>
      <c r="K22" s="9"/>
      <c r="L22" s="10"/>
      <c r="M22" s="4"/>
      <c r="N22" s="11"/>
      <c r="O22" s="4"/>
      <c r="P22" s="11">
        <v>2</v>
      </c>
      <c r="Q22" s="4" t="s">
        <v>29</v>
      </c>
      <c r="R22" s="12">
        <v>143</v>
      </c>
      <c r="S22" s="9">
        <f>6948.37</f>
        <v>6948.37</v>
      </c>
    </row>
    <row r="23" spans="1:19" ht="45" customHeight="1" x14ac:dyDescent="0.25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3</v>
      </c>
      <c r="Q23" s="4" t="s">
        <v>29</v>
      </c>
      <c r="R23" s="12">
        <v>142</v>
      </c>
      <c r="S23" s="9">
        <f>6899.78</f>
        <v>6899.78</v>
      </c>
    </row>
    <row r="24" spans="1:19" ht="45" customHeight="1" x14ac:dyDescent="0.25">
      <c r="A24" s="4" t="s">
        <v>19</v>
      </c>
      <c r="B24" s="5" t="s">
        <v>63</v>
      </c>
      <c r="C24" s="4"/>
      <c r="D24" s="4"/>
      <c r="E24" s="4" t="s">
        <v>64</v>
      </c>
      <c r="F24" s="6"/>
      <c r="G24" s="4"/>
      <c r="H24" s="7"/>
      <c r="I24" s="7"/>
      <c r="J24" s="8"/>
      <c r="K24" s="9"/>
      <c r="L24" s="10">
        <f>72431.72</f>
        <v>72431.72</v>
      </c>
      <c r="M24" s="4"/>
      <c r="N24" s="11"/>
      <c r="O24" s="4"/>
      <c r="P24" s="11"/>
      <c r="Q24" s="4"/>
      <c r="R24" s="12"/>
      <c r="S24" s="9"/>
    </row>
    <row r="25" spans="1:19" ht="45" customHeight="1" x14ac:dyDescent="0.25">
      <c r="A25" s="4" t="s">
        <v>22</v>
      </c>
      <c r="B25" s="5" t="s">
        <v>65</v>
      </c>
      <c r="C25" s="4" t="s">
        <v>24</v>
      </c>
      <c r="D25" s="4" t="s">
        <v>66</v>
      </c>
      <c r="E25" s="4" t="s">
        <v>67</v>
      </c>
      <c r="F25" s="6">
        <f>1056.8</f>
        <v>1056.8</v>
      </c>
      <c r="G25" s="4" t="s">
        <v>27</v>
      </c>
      <c r="H25" s="7">
        <v>0.77</v>
      </c>
      <c r="I25" s="7">
        <v>0.77</v>
      </c>
      <c r="J25" s="8" t="s">
        <v>28</v>
      </c>
      <c r="K25" s="9">
        <f>0.92</f>
        <v>0.92</v>
      </c>
      <c r="L25" s="10">
        <f>972.26</f>
        <v>972.26</v>
      </c>
      <c r="M25" s="4"/>
      <c r="N25" s="11">
        <v>4</v>
      </c>
      <c r="O25" s="4" t="s">
        <v>64</v>
      </c>
      <c r="P25" s="11">
        <v>2</v>
      </c>
      <c r="Q25" s="4" t="s">
        <v>29</v>
      </c>
      <c r="R25" s="12">
        <v>528.4</v>
      </c>
      <c r="S25" s="9">
        <f>486.13</f>
        <v>486.13</v>
      </c>
    </row>
    <row r="26" spans="1:19" ht="45" customHeight="1" x14ac:dyDescent="0.25">
      <c r="A26" s="4"/>
      <c r="B26" s="5"/>
      <c r="C26" s="4"/>
      <c r="D26" s="4"/>
      <c r="E26" s="4"/>
      <c r="F26" s="6"/>
      <c r="G26" s="4"/>
      <c r="H26" s="7"/>
      <c r="I26" s="7"/>
      <c r="J26" s="8"/>
      <c r="K26" s="9"/>
      <c r="L26" s="10"/>
      <c r="M26" s="4"/>
      <c r="N26" s="11"/>
      <c r="O26" s="4"/>
      <c r="P26" s="11">
        <v>3</v>
      </c>
      <c r="Q26" s="4" t="s">
        <v>29</v>
      </c>
      <c r="R26" s="12">
        <v>528.4</v>
      </c>
      <c r="S26" s="9">
        <f>486.13</f>
        <v>486.13</v>
      </c>
    </row>
    <row r="27" spans="1:19" ht="45" customHeight="1" x14ac:dyDescent="0.25">
      <c r="A27" s="4" t="s">
        <v>22</v>
      </c>
      <c r="B27" s="5" t="s">
        <v>68</v>
      </c>
      <c r="C27" s="4" t="s">
        <v>24</v>
      </c>
      <c r="D27" s="4" t="s">
        <v>69</v>
      </c>
      <c r="E27" s="4" t="s">
        <v>70</v>
      </c>
      <c r="F27" s="6">
        <f>73.98</f>
        <v>73.98</v>
      </c>
      <c r="G27" s="4" t="s">
        <v>48</v>
      </c>
      <c r="H27" s="7">
        <v>778.63</v>
      </c>
      <c r="I27" s="7">
        <v>778.63</v>
      </c>
      <c r="J27" s="8" t="s">
        <v>28</v>
      </c>
      <c r="K27" s="9">
        <f>931.24</f>
        <v>931.24</v>
      </c>
      <c r="L27" s="10">
        <f>68893.14</f>
        <v>68893.14</v>
      </c>
      <c r="M27" s="4"/>
      <c r="N27" s="11">
        <v>4</v>
      </c>
      <c r="O27" s="4" t="s">
        <v>64</v>
      </c>
      <c r="P27" s="11">
        <v>2</v>
      </c>
      <c r="Q27" s="4" t="s">
        <v>29</v>
      </c>
      <c r="R27" s="12">
        <v>36.99</v>
      </c>
      <c r="S27" s="9">
        <f>34446.57</f>
        <v>34446.57</v>
      </c>
    </row>
    <row r="28" spans="1:19" ht="45" customHeight="1" x14ac:dyDescent="0.25">
      <c r="A28" s="4"/>
      <c r="B28" s="5"/>
      <c r="C28" s="4"/>
      <c r="D28" s="4"/>
      <c r="E28" s="4"/>
      <c r="F28" s="6"/>
      <c r="G28" s="4"/>
      <c r="H28" s="7"/>
      <c r="I28" s="7"/>
      <c r="J28" s="8"/>
      <c r="K28" s="9"/>
      <c r="L28" s="10"/>
      <c r="M28" s="4"/>
      <c r="N28" s="11"/>
      <c r="O28" s="4"/>
      <c r="P28" s="11">
        <v>3</v>
      </c>
      <c r="Q28" s="4" t="s">
        <v>29</v>
      </c>
      <c r="R28" s="12">
        <v>36.99</v>
      </c>
      <c r="S28" s="9">
        <f>34446.57</f>
        <v>34446.57</v>
      </c>
    </row>
    <row r="29" spans="1:19" ht="45" customHeight="1" x14ac:dyDescent="0.25">
      <c r="A29" s="4" t="s">
        <v>22</v>
      </c>
      <c r="B29" s="5" t="s">
        <v>71</v>
      </c>
      <c r="C29" s="4" t="s">
        <v>24</v>
      </c>
      <c r="D29" s="4" t="s">
        <v>72</v>
      </c>
      <c r="E29" s="4" t="s">
        <v>73</v>
      </c>
      <c r="F29" s="6">
        <f>16.32</f>
        <v>16.32</v>
      </c>
      <c r="G29" s="4" t="s">
        <v>27</v>
      </c>
      <c r="H29" s="7">
        <v>131.47999999999999</v>
      </c>
      <c r="I29" s="7">
        <v>131.47999999999999</v>
      </c>
      <c r="J29" s="8" t="s">
        <v>28</v>
      </c>
      <c r="K29" s="9">
        <f>157.25</f>
        <v>157.25</v>
      </c>
      <c r="L29" s="10">
        <f>2566.32</f>
        <v>2566.3200000000002</v>
      </c>
      <c r="M29" s="4"/>
      <c r="N29" s="11">
        <v>4</v>
      </c>
      <c r="O29" s="4" t="s">
        <v>64</v>
      </c>
      <c r="P29" s="11">
        <v>2</v>
      </c>
      <c r="Q29" s="4" t="s">
        <v>29</v>
      </c>
      <c r="R29" s="12">
        <v>8.16</v>
      </c>
      <c r="S29" s="9">
        <f>1283.16</f>
        <v>1283.1600000000001</v>
      </c>
    </row>
    <row r="30" spans="1:19" ht="45" customHeight="1" x14ac:dyDescent="0.25">
      <c r="A30" s="4"/>
      <c r="B30" s="5"/>
      <c r="C30" s="4"/>
      <c r="D30" s="4"/>
      <c r="E30" s="4"/>
      <c r="F30" s="6"/>
      <c r="G30" s="4"/>
      <c r="H30" s="7"/>
      <c r="I30" s="7"/>
      <c r="J30" s="8"/>
      <c r="K30" s="9"/>
      <c r="L30" s="10"/>
      <c r="M30" s="4"/>
      <c r="N30" s="11"/>
      <c r="O30" s="4"/>
      <c r="P30" s="11">
        <v>3</v>
      </c>
      <c r="Q30" s="4" t="s">
        <v>29</v>
      </c>
      <c r="R30" s="12">
        <v>8.16</v>
      </c>
      <c r="S30" s="9">
        <f>1283.16</f>
        <v>1283.1600000000001</v>
      </c>
    </row>
    <row r="31" spans="1:19" ht="45" customHeight="1" x14ac:dyDescent="0.25">
      <c r="A31" s="4" t="s">
        <v>19</v>
      </c>
      <c r="B31" s="5" t="s">
        <v>74</v>
      </c>
      <c r="C31" s="4"/>
      <c r="D31" s="4"/>
      <c r="E31" s="4" t="s">
        <v>75</v>
      </c>
      <c r="F31" s="6"/>
      <c r="G31" s="4"/>
      <c r="H31" s="7"/>
      <c r="I31" s="7"/>
      <c r="J31" s="8"/>
      <c r="K31" s="9"/>
      <c r="L31" s="10">
        <f>91335.47</f>
        <v>91335.47</v>
      </c>
      <c r="M31" s="4"/>
      <c r="N31" s="11"/>
      <c r="O31" s="4"/>
      <c r="P31" s="11"/>
      <c r="Q31" s="4"/>
      <c r="R31" s="12"/>
      <c r="S31" s="9"/>
    </row>
    <row r="32" spans="1:19" ht="45" customHeight="1" x14ac:dyDescent="0.25">
      <c r="A32" s="4" t="s">
        <v>22</v>
      </c>
      <c r="B32" s="5" t="s">
        <v>76</v>
      </c>
      <c r="C32" s="4" t="s">
        <v>24</v>
      </c>
      <c r="D32" s="4" t="s">
        <v>77</v>
      </c>
      <c r="E32" s="4" t="s">
        <v>78</v>
      </c>
      <c r="F32" s="6">
        <f>568.8</f>
        <v>568.79999999999995</v>
      </c>
      <c r="G32" s="4" t="s">
        <v>48</v>
      </c>
      <c r="H32" s="7">
        <v>7.49</v>
      </c>
      <c r="I32" s="7">
        <v>7.49</v>
      </c>
      <c r="J32" s="8" t="s">
        <v>28</v>
      </c>
      <c r="K32" s="9">
        <f>8.96</f>
        <v>8.9600000000000009</v>
      </c>
      <c r="L32" s="10">
        <f>5096.44</f>
        <v>5096.4399999999996</v>
      </c>
      <c r="M32" s="4"/>
      <c r="N32" s="11">
        <v>5</v>
      </c>
      <c r="O32" s="4" t="s">
        <v>75</v>
      </c>
      <c r="P32" s="11">
        <v>1</v>
      </c>
      <c r="Q32" s="4" t="s">
        <v>29</v>
      </c>
      <c r="R32" s="12">
        <v>284.39999999999998</v>
      </c>
      <c r="S32" s="9">
        <f>2548.22</f>
        <v>2548.2199999999998</v>
      </c>
    </row>
    <row r="33" spans="1:19" ht="45" customHeight="1" x14ac:dyDescent="0.25">
      <c r="A33" s="4"/>
      <c r="B33" s="5"/>
      <c r="C33" s="4"/>
      <c r="D33" s="4"/>
      <c r="E33" s="4"/>
      <c r="F33" s="6"/>
      <c r="G33" s="4"/>
      <c r="H33" s="7"/>
      <c r="I33" s="7"/>
      <c r="J33" s="8"/>
      <c r="K33" s="9"/>
      <c r="L33" s="10"/>
      <c r="M33" s="4"/>
      <c r="N33" s="11"/>
      <c r="O33" s="4"/>
      <c r="P33" s="11">
        <v>2</v>
      </c>
      <c r="Q33" s="4" t="s">
        <v>29</v>
      </c>
      <c r="R33" s="12">
        <v>284.39999999999998</v>
      </c>
      <c r="S33" s="9">
        <f>2548.22</f>
        <v>2548.2199999999998</v>
      </c>
    </row>
    <row r="34" spans="1:19" ht="45" customHeight="1" x14ac:dyDescent="0.25">
      <c r="A34" s="4" t="s">
        <v>22</v>
      </c>
      <c r="B34" s="5" t="s">
        <v>79</v>
      </c>
      <c r="C34" s="4" t="s">
        <v>24</v>
      </c>
      <c r="D34" s="4" t="s">
        <v>80</v>
      </c>
      <c r="E34" s="4" t="s">
        <v>81</v>
      </c>
      <c r="F34" s="6">
        <f>379.2</f>
        <v>379.2</v>
      </c>
      <c r="G34" s="4" t="s">
        <v>27</v>
      </c>
      <c r="H34" s="7">
        <v>3.48</v>
      </c>
      <c r="I34" s="7">
        <v>3.48</v>
      </c>
      <c r="J34" s="8" t="s">
        <v>28</v>
      </c>
      <c r="K34" s="9">
        <f>4.16</f>
        <v>4.16</v>
      </c>
      <c r="L34" s="10">
        <f>1577.48</f>
        <v>1577.48</v>
      </c>
      <c r="M34" s="4"/>
      <c r="N34" s="11">
        <v>5</v>
      </c>
      <c r="O34" s="4" t="s">
        <v>75</v>
      </c>
      <c r="P34" s="11">
        <v>1</v>
      </c>
      <c r="Q34" s="4" t="s">
        <v>29</v>
      </c>
      <c r="R34" s="12">
        <v>189.6</v>
      </c>
      <c r="S34" s="9">
        <f>788.74</f>
        <v>788.74</v>
      </c>
    </row>
    <row r="35" spans="1:19" ht="45" customHeight="1" x14ac:dyDescent="0.25">
      <c r="A35" s="4"/>
      <c r="B35" s="5"/>
      <c r="C35" s="4"/>
      <c r="D35" s="4"/>
      <c r="E35" s="4"/>
      <c r="F35" s="6"/>
      <c r="G35" s="4"/>
      <c r="H35" s="7"/>
      <c r="I35" s="7"/>
      <c r="J35" s="8"/>
      <c r="K35" s="9"/>
      <c r="L35" s="10"/>
      <c r="M35" s="4"/>
      <c r="N35" s="11"/>
      <c r="O35" s="4"/>
      <c r="P35" s="11">
        <v>2</v>
      </c>
      <c r="Q35" s="4" t="s">
        <v>29</v>
      </c>
      <c r="R35" s="12">
        <v>189.6</v>
      </c>
      <c r="S35" s="9">
        <f>788.74</f>
        <v>788.74</v>
      </c>
    </row>
    <row r="36" spans="1:19" ht="45" customHeight="1" x14ac:dyDescent="0.25">
      <c r="A36" s="4" t="s">
        <v>22</v>
      </c>
      <c r="B36" s="5" t="s">
        <v>82</v>
      </c>
      <c r="C36" s="4" t="s">
        <v>24</v>
      </c>
      <c r="D36" s="4" t="s">
        <v>83</v>
      </c>
      <c r="E36" s="4" t="s">
        <v>84</v>
      </c>
      <c r="F36" s="6">
        <f>39</f>
        <v>39</v>
      </c>
      <c r="G36" s="4" t="s">
        <v>34</v>
      </c>
      <c r="H36" s="7">
        <v>173.44</v>
      </c>
      <c r="I36" s="7">
        <v>173.44</v>
      </c>
      <c r="J36" s="8" t="s">
        <v>28</v>
      </c>
      <c r="K36" s="9">
        <f>207.43</f>
        <v>207.43</v>
      </c>
      <c r="L36" s="10">
        <f>8089.77</f>
        <v>8089.77</v>
      </c>
      <c r="M36" s="4"/>
      <c r="N36" s="11">
        <v>5</v>
      </c>
      <c r="O36" s="4" t="s">
        <v>75</v>
      </c>
      <c r="P36" s="11">
        <v>1</v>
      </c>
      <c r="Q36" s="4" t="s">
        <v>29</v>
      </c>
      <c r="R36" s="12">
        <v>20</v>
      </c>
      <c r="S36" s="9">
        <f>4148.6</f>
        <v>4148.6000000000004</v>
      </c>
    </row>
    <row r="37" spans="1:19" ht="45" customHeight="1" x14ac:dyDescent="0.25">
      <c r="A37" s="4"/>
      <c r="B37" s="5"/>
      <c r="C37" s="4"/>
      <c r="D37" s="4"/>
      <c r="E37" s="4"/>
      <c r="F37" s="6"/>
      <c r="G37" s="4"/>
      <c r="H37" s="7"/>
      <c r="I37" s="7"/>
      <c r="J37" s="8"/>
      <c r="K37" s="9"/>
      <c r="L37" s="10"/>
      <c r="M37" s="4"/>
      <c r="N37" s="11"/>
      <c r="O37" s="4"/>
      <c r="P37" s="11">
        <v>2</v>
      </c>
      <c r="Q37" s="4" t="s">
        <v>29</v>
      </c>
      <c r="R37" s="12">
        <v>19</v>
      </c>
      <c r="S37" s="9">
        <f>3941.17</f>
        <v>3941.17</v>
      </c>
    </row>
    <row r="38" spans="1:19" ht="45" customHeight="1" x14ac:dyDescent="0.25">
      <c r="A38" s="4" t="s">
        <v>22</v>
      </c>
      <c r="B38" s="5" t="s">
        <v>85</v>
      </c>
      <c r="C38" s="4" t="s">
        <v>24</v>
      </c>
      <c r="D38" s="4" t="s">
        <v>86</v>
      </c>
      <c r="E38" s="4" t="s">
        <v>87</v>
      </c>
      <c r="F38" s="6">
        <f>315</f>
        <v>315</v>
      </c>
      <c r="G38" s="4" t="s">
        <v>34</v>
      </c>
      <c r="H38" s="7">
        <v>110.46</v>
      </c>
      <c r="I38" s="7">
        <v>110.46</v>
      </c>
      <c r="J38" s="8" t="s">
        <v>28</v>
      </c>
      <c r="K38" s="9">
        <f>132.11</f>
        <v>132.11000000000001</v>
      </c>
      <c r="L38" s="10">
        <f>41614.65</f>
        <v>41614.65</v>
      </c>
      <c r="M38" s="4"/>
      <c r="N38" s="11">
        <v>5</v>
      </c>
      <c r="O38" s="4" t="s">
        <v>75</v>
      </c>
      <c r="P38" s="11">
        <v>1</v>
      </c>
      <c r="Q38" s="4" t="s">
        <v>29</v>
      </c>
      <c r="R38" s="12">
        <v>157</v>
      </c>
      <c r="S38" s="9">
        <f>20741.27</f>
        <v>20741.27</v>
      </c>
    </row>
    <row r="39" spans="1:19" ht="45" customHeight="1" x14ac:dyDescent="0.25">
      <c r="A39" s="4"/>
      <c r="B39" s="5"/>
      <c r="C39" s="4"/>
      <c r="D39" s="4"/>
      <c r="E39" s="4"/>
      <c r="F39" s="6"/>
      <c r="G39" s="4"/>
      <c r="H39" s="7"/>
      <c r="I39" s="7"/>
      <c r="J39" s="8"/>
      <c r="K39" s="9"/>
      <c r="L39" s="10"/>
      <c r="M39" s="4"/>
      <c r="N39" s="11"/>
      <c r="O39" s="4"/>
      <c r="P39" s="11">
        <v>2</v>
      </c>
      <c r="Q39" s="4" t="s">
        <v>29</v>
      </c>
      <c r="R39" s="12">
        <v>158</v>
      </c>
      <c r="S39" s="9">
        <f>20873.38</f>
        <v>20873.38</v>
      </c>
    </row>
    <row r="40" spans="1:19" ht="45" customHeight="1" x14ac:dyDescent="0.25">
      <c r="A40" s="4" t="s">
        <v>22</v>
      </c>
      <c r="B40" s="5" t="s">
        <v>88</v>
      </c>
      <c r="C40" s="4" t="s">
        <v>24</v>
      </c>
      <c r="D40" s="4" t="s">
        <v>89</v>
      </c>
      <c r="E40" s="4" t="s">
        <v>90</v>
      </c>
      <c r="F40" s="6">
        <f>10</f>
        <v>10</v>
      </c>
      <c r="G40" s="4" t="s">
        <v>34</v>
      </c>
      <c r="H40" s="7">
        <v>322.67</v>
      </c>
      <c r="I40" s="7">
        <v>322.67</v>
      </c>
      <c r="J40" s="8" t="s">
        <v>28</v>
      </c>
      <c r="K40" s="9">
        <f>385.91</f>
        <v>385.91</v>
      </c>
      <c r="L40" s="10">
        <f>3859.1</f>
        <v>3859.1</v>
      </c>
      <c r="M40" s="4"/>
      <c r="N40" s="11">
        <v>5</v>
      </c>
      <c r="O40" s="4" t="s">
        <v>75</v>
      </c>
      <c r="P40" s="11">
        <v>1</v>
      </c>
      <c r="Q40" s="4" t="s">
        <v>29</v>
      </c>
      <c r="R40" s="12">
        <v>5</v>
      </c>
      <c r="S40" s="9">
        <f>1929.55</f>
        <v>1929.55</v>
      </c>
    </row>
    <row r="41" spans="1:19" ht="45" customHeight="1" x14ac:dyDescent="0.25">
      <c r="A41" s="4"/>
      <c r="B41" s="5"/>
      <c r="C41" s="4"/>
      <c r="D41" s="4"/>
      <c r="E41" s="4"/>
      <c r="F41" s="6"/>
      <c r="G41" s="4"/>
      <c r="H41" s="7"/>
      <c r="I41" s="7"/>
      <c r="J41" s="8"/>
      <c r="K41" s="9"/>
      <c r="L41" s="10"/>
      <c r="M41" s="4"/>
      <c r="N41" s="11"/>
      <c r="O41" s="4"/>
      <c r="P41" s="11">
        <v>2</v>
      </c>
      <c r="Q41" s="4" t="s">
        <v>29</v>
      </c>
      <c r="R41" s="12">
        <v>5</v>
      </c>
      <c r="S41" s="9">
        <f>1929.55</f>
        <v>1929.55</v>
      </c>
    </row>
    <row r="42" spans="1:19" ht="45" customHeight="1" x14ac:dyDescent="0.25">
      <c r="A42" s="4" t="s">
        <v>22</v>
      </c>
      <c r="B42" s="5" t="s">
        <v>91</v>
      </c>
      <c r="C42" s="4" t="s">
        <v>31</v>
      </c>
      <c r="D42" s="4" t="s">
        <v>92</v>
      </c>
      <c r="E42" s="4" t="s">
        <v>93</v>
      </c>
      <c r="F42" s="6">
        <f>110</f>
        <v>110</v>
      </c>
      <c r="G42" s="4" t="s">
        <v>34</v>
      </c>
      <c r="H42" s="7">
        <v>186.2</v>
      </c>
      <c r="I42" s="7">
        <v>186.2</v>
      </c>
      <c r="J42" s="8" t="s">
        <v>28</v>
      </c>
      <c r="K42" s="9">
        <f>222.7</f>
        <v>222.7</v>
      </c>
      <c r="L42" s="10">
        <f>24497</f>
        <v>24497</v>
      </c>
      <c r="M42" s="4"/>
      <c r="N42" s="11">
        <v>5</v>
      </c>
      <c r="O42" s="4" t="s">
        <v>75</v>
      </c>
      <c r="P42" s="11">
        <v>1</v>
      </c>
      <c r="Q42" s="4" t="s">
        <v>29</v>
      </c>
      <c r="R42" s="12">
        <v>55</v>
      </c>
      <c r="S42" s="9">
        <f>12248.5</f>
        <v>12248.5</v>
      </c>
    </row>
    <row r="43" spans="1:19" ht="45" customHeight="1" x14ac:dyDescent="0.25">
      <c r="A43" s="4"/>
      <c r="B43" s="5"/>
      <c r="C43" s="4"/>
      <c r="D43" s="4"/>
      <c r="E43" s="4"/>
      <c r="F43" s="6"/>
      <c r="G43" s="4"/>
      <c r="H43" s="7"/>
      <c r="I43" s="7"/>
      <c r="J43" s="8"/>
      <c r="K43" s="9"/>
      <c r="L43" s="10"/>
      <c r="M43" s="4"/>
      <c r="N43" s="11"/>
      <c r="O43" s="4"/>
      <c r="P43" s="11">
        <v>2</v>
      </c>
      <c r="Q43" s="4" t="s">
        <v>29</v>
      </c>
      <c r="R43" s="12">
        <v>55</v>
      </c>
      <c r="S43" s="9">
        <f>12248.5</f>
        <v>12248.5</v>
      </c>
    </row>
    <row r="44" spans="1:19" ht="45" customHeight="1" x14ac:dyDescent="0.25">
      <c r="A44" s="4" t="s">
        <v>22</v>
      </c>
      <c r="B44" s="5" t="s">
        <v>94</v>
      </c>
      <c r="C44" s="4" t="s">
        <v>24</v>
      </c>
      <c r="D44" s="4" t="s">
        <v>95</v>
      </c>
      <c r="E44" s="4" t="s">
        <v>96</v>
      </c>
      <c r="F44" s="6">
        <f>449.05</f>
        <v>449.05</v>
      </c>
      <c r="G44" s="4" t="s">
        <v>48</v>
      </c>
      <c r="H44" s="7">
        <v>12.29</v>
      </c>
      <c r="I44" s="7">
        <v>12.29</v>
      </c>
      <c r="J44" s="8" t="s">
        <v>28</v>
      </c>
      <c r="K44" s="9">
        <f>14.7</f>
        <v>14.7</v>
      </c>
      <c r="L44" s="10">
        <f>6601.03</f>
        <v>6601.03</v>
      </c>
      <c r="M44" s="4"/>
      <c r="N44" s="11">
        <v>5</v>
      </c>
      <c r="O44" s="4" t="s">
        <v>75</v>
      </c>
      <c r="P44" s="11">
        <v>1</v>
      </c>
      <c r="Q44" s="4" t="s">
        <v>29</v>
      </c>
      <c r="R44" s="12">
        <v>224.52</v>
      </c>
      <c r="S44" s="9">
        <f>3300.44</f>
        <v>3300.44</v>
      </c>
    </row>
    <row r="45" spans="1:19" ht="45" customHeight="1" x14ac:dyDescent="0.25">
      <c r="A45" s="4"/>
      <c r="B45" s="5"/>
      <c r="C45" s="4"/>
      <c r="D45" s="4"/>
      <c r="E45" s="4"/>
      <c r="F45" s="6"/>
      <c r="G45" s="4"/>
      <c r="H45" s="7"/>
      <c r="I45" s="7"/>
      <c r="J45" s="8"/>
      <c r="K45" s="9"/>
      <c r="L45" s="10"/>
      <c r="M45" s="4"/>
      <c r="N45" s="11"/>
      <c r="O45" s="4"/>
      <c r="P45" s="11">
        <v>2</v>
      </c>
      <c r="Q45" s="4" t="s">
        <v>29</v>
      </c>
      <c r="R45" s="12">
        <v>224.53</v>
      </c>
      <c r="S45" s="9">
        <f>3300.59</f>
        <v>3300.59</v>
      </c>
    </row>
    <row r="46" spans="1:19" ht="45" customHeight="1" x14ac:dyDescent="0.25">
      <c r="A46" s="4" t="s">
        <v>19</v>
      </c>
      <c r="B46" s="5" t="s">
        <v>97</v>
      </c>
      <c r="C46" s="4"/>
      <c r="D46" s="4"/>
      <c r="E46" s="4" t="s">
        <v>98</v>
      </c>
      <c r="F46" s="6"/>
      <c r="G46" s="4"/>
      <c r="H46" s="7"/>
      <c r="I46" s="7"/>
      <c r="J46" s="8"/>
      <c r="K46" s="9"/>
      <c r="L46" s="10">
        <f>14221.32</f>
        <v>14221.32</v>
      </c>
      <c r="M46" s="4"/>
      <c r="N46" s="11"/>
      <c r="O46" s="4"/>
      <c r="P46" s="11"/>
      <c r="Q46" s="4"/>
      <c r="R46" s="12"/>
      <c r="S46" s="9"/>
    </row>
    <row r="47" spans="1:19" ht="45" customHeight="1" x14ac:dyDescent="0.25">
      <c r="A47" s="4" t="s">
        <v>22</v>
      </c>
      <c r="B47" s="5" t="s">
        <v>99</v>
      </c>
      <c r="C47" s="4" t="s">
        <v>24</v>
      </c>
      <c r="D47" s="4" t="s">
        <v>77</v>
      </c>
      <c r="E47" s="4" t="s">
        <v>78</v>
      </c>
      <c r="F47" s="6">
        <f>40.5</f>
        <v>40.5</v>
      </c>
      <c r="G47" s="4" t="s">
        <v>48</v>
      </c>
      <c r="H47" s="7">
        <v>7.49</v>
      </c>
      <c r="I47" s="7">
        <v>7.49</v>
      </c>
      <c r="J47" s="8" t="s">
        <v>28</v>
      </c>
      <c r="K47" s="9">
        <f>8.96</f>
        <v>8.9600000000000009</v>
      </c>
      <c r="L47" s="10">
        <f>362.88</f>
        <v>362.88</v>
      </c>
      <c r="M47" s="4"/>
      <c r="N47" s="11">
        <v>6</v>
      </c>
      <c r="O47" s="4" t="s">
        <v>98</v>
      </c>
      <c r="P47" s="11">
        <v>1</v>
      </c>
      <c r="Q47" s="4" t="s">
        <v>29</v>
      </c>
      <c r="R47" s="12">
        <v>20.25</v>
      </c>
      <c r="S47" s="9">
        <f>181.44</f>
        <v>181.44</v>
      </c>
    </row>
    <row r="48" spans="1:19" ht="45" customHeight="1" x14ac:dyDescent="0.25">
      <c r="A48" s="4"/>
      <c r="B48" s="5"/>
      <c r="C48" s="4"/>
      <c r="D48" s="4"/>
      <c r="E48" s="4"/>
      <c r="F48" s="6"/>
      <c r="G48" s="4"/>
      <c r="H48" s="7"/>
      <c r="I48" s="7"/>
      <c r="J48" s="8"/>
      <c r="K48" s="9"/>
      <c r="L48" s="10"/>
      <c r="M48" s="4"/>
      <c r="N48" s="11"/>
      <c r="O48" s="4"/>
      <c r="P48" s="11">
        <v>2</v>
      </c>
      <c r="Q48" s="4" t="s">
        <v>29</v>
      </c>
      <c r="R48" s="12">
        <v>20.25</v>
      </c>
      <c r="S48" s="9">
        <f>181.44</f>
        <v>181.44</v>
      </c>
    </row>
    <row r="49" spans="1:19" ht="45" customHeight="1" x14ac:dyDescent="0.25">
      <c r="A49" s="4" t="s">
        <v>22</v>
      </c>
      <c r="B49" s="5" t="s">
        <v>100</v>
      </c>
      <c r="C49" s="4" t="s">
        <v>24</v>
      </c>
      <c r="D49" s="4" t="s">
        <v>101</v>
      </c>
      <c r="E49" s="4" t="s">
        <v>102</v>
      </c>
      <c r="F49" s="6">
        <f>12</f>
        <v>12</v>
      </c>
      <c r="G49" s="4" t="s">
        <v>39</v>
      </c>
      <c r="H49" s="7">
        <v>965.61</v>
      </c>
      <c r="I49" s="7">
        <v>965.61</v>
      </c>
      <c r="J49" s="8" t="s">
        <v>28</v>
      </c>
      <c r="K49" s="9">
        <f>1154.87</f>
        <v>1154.8699999999999</v>
      </c>
      <c r="L49" s="10">
        <f>13858.44</f>
        <v>13858.44</v>
      </c>
      <c r="M49" s="4"/>
      <c r="N49" s="11">
        <v>6</v>
      </c>
      <c r="O49" s="4" t="s">
        <v>98</v>
      </c>
      <c r="P49" s="11">
        <v>1</v>
      </c>
      <c r="Q49" s="4" t="s">
        <v>29</v>
      </c>
      <c r="R49" s="12">
        <v>6</v>
      </c>
      <c r="S49" s="9">
        <f>6929.22</f>
        <v>6929.22</v>
      </c>
    </row>
    <row r="50" spans="1:19" ht="45" customHeight="1" x14ac:dyDescent="0.25">
      <c r="A50" s="4"/>
      <c r="B50" s="5"/>
      <c r="C50" s="4"/>
      <c r="D50" s="4"/>
      <c r="E50" s="4"/>
      <c r="F50" s="6"/>
      <c r="G50" s="4"/>
      <c r="H50" s="7"/>
      <c r="I50" s="7"/>
      <c r="J50" s="8"/>
      <c r="K50" s="9"/>
      <c r="L50" s="10"/>
      <c r="M50" s="4"/>
      <c r="N50" s="11"/>
      <c r="O50" s="4"/>
      <c r="P50" s="11">
        <v>2</v>
      </c>
      <c r="Q50" s="4" t="s">
        <v>29</v>
      </c>
      <c r="R50" s="12">
        <v>6</v>
      </c>
      <c r="S50" s="9">
        <f>6929.22</f>
        <v>6929.22</v>
      </c>
    </row>
    <row r="51" spans="1:19" ht="45" customHeight="1" x14ac:dyDescent="0.25">
      <c r="A51" s="4" t="s">
        <v>19</v>
      </c>
      <c r="B51" s="5" t="s">
        <v>103</v>
      </c>
      <c r="C51" s="4"/>
      <c r="D51" s="4"/>
      <c r="E51" s="4" t="s">
        <v>104</v>
      </c>
      <c r="F51" s="6"/>
      <c r="G51" s="4"/>
      <c r="H51" s="7"/>
      <c r="I51" s="7"/>
      <c r="J51" s="8"/>
      <c r="K51" s="9"/>
      <c r="L51" s="10">
        <f>246511.5</f>
        <v>246511.5</v>
      </c>
      <c r="M51" s="4"/>
      <c r="N51" s="11"/>
      <c r="O51" s="4"/>
      <c r="P51" s="11"/>
      <c r="Q51" s="4"/>
      <c r="R51" s="12"/>
      <c r="S51" s="9"/>
    </row>
    <row r="52" spans="1:19" ht="45" customHeight="1" x14ac:dyDescent="0.25">
      <c r="A52" s="4" t="s">
        <v>22</v>
      </c>
      <c r="B52" s="5" t="s">
        <v>105</v>
      </c>
      <c r="C52" s="4" t="s">
        <v>24</v>
      </c>
      <c r="D52" s="4" t="s">
        <v>106</v>
      </c>
      <c r="E52" s="4" t="s">
        <v>107</v>
      </c>
      <c r="F52" s="6">
        <f>2473.6</f>
        <v>2473.6</v>
      </c>
      <c r="G52" s="4" t="s">
        <v>27</v>
      </c>
      <c r="H52" s="7">
        <v>80.88</v>
      </c>
      <c r="I52" s="7">
        <v>80.88</v>
      </c>
      <c r="J52" s="8" t="s">
        <v>28</v>
      </c>
      <c r="K52" s="9">
        <f>96.73</f>
        <v>96.73</v>
      </c>
      <c r="L52" s="10">
        <f>239271.33</f>
        <v>239271.33</v>
      </c>
      <c r="M52" s="4"/>
      <c r="N52" s="11">
        <v>7</v>
      </c>
      <c r="O52" s="4" t="s">
        <v>104</v>
      </c>
      <c r="P52" s="11">
        <v>1</v>
      </c>
      <c r="Q52" s="4" t="s">
        <v>29</v>
      </c>
      <c r="R52" s="12">
        <v>824.53</v>
      </c>
      <c r="S52" s="9">
        <f>79756.79</f>
        <v>79756.789999999994</v>
      </c>
    </row>
    <row r="53" spans="1:19" ht="45" customHeight="1" x14ac:dyDescent="0.25">
      <c r="A53" s="4"/>
      <c r="B53" s="5"/>
      <c r="C53" s="4"/>
      <c r="D53" s="4"/>
      <c r="E53" s="4"/>
      <c r="F53" s="6"/>
      <c r="G53" s="4"/>
      <c r="H53" s="7"/>
      <c r="I53" s="7"/>
      <c r="J53" s="8"/>
      <c r="K53" s="9"/>
      <c r="L53" s="10"/>
      <c r="M53" s="4"/>
      <c r="N53" s="11"/>
      <c r="O53" s="4"/>
      <c r="P53" s="11">
        <v>2</v>
      </c>
      <c r="Q53" s="4" t="s">
        <v>29</v>
      </c>
      <c r="R53" s="12">
        <v>824.53</v>
      </c>
      <c r="S53" s="9">
        <f>79756.79</f>
        <v>79756.789999999994</v>
      </c>
    </row>
    <row r="54" spans="1:19" ht="45" customHeight="1" x14ac:dyDescent="0.25">
      <c r="A54" s="4"/>
      <c r="B54" s="5"/>
      <c r="C54" s="4"/>
      <c r="D54" s="4"/>
      <c r="E54" s="4"/>
      <c r="F54" s="6"/>
      <c r="G54" s="4"/>
      <c r="H54" s="7"/>
      <c r="I54" s="7"/>
      <c r="J54" s="8"/>
      <c r="K54" s="9"/>
      <c r="L54" s="10"/>
      <c r="M54" s="4"/>
      <c r="N54" s="11"/>
      <c r="O54" s="4"/>
      <c r="P54" s="11">
        <v>3</v>
      </c>
      <c r="Q54" s="4" t="s">
        <v>29</v>
      </c>
      <c r="R54" s="12">
        <v>824.54</v>
      </c>
      <c r="S54" s="9">
        <f>79757.75</f>
        <v>79757.75</v>
      </c>
    </row>
    <row r="55" spans="1:19" ht="45" customHeight="1" x14ac:dyDescent="0.25">
      <c r="A55" s="4" t="s">
        <v>22</v>
      </c>
      <c r="B55" s="5" t="s">
        <v>108</v>
      </c>
      <c r="C55" s="4" t="s">
        <v>24</v>
      </c>
      <c r="D55" s="4" t="s">
        <v>109</v>
      </c>
      <c r="E55" s="4" t="s">
        <v>110</v>
      </c>
      <c r="F55" s="6">
        <f>9.29</f>
        <v>9.2899999999999991</v>
      </c>
      <c r="G55" s="4" t="s">
        <v>48</v>
      </c>
      <c r="H55" s="7">
        <v>651.63</v>
      </c>
      <c r="I55" s="7">
        <v>651.63</v>
      </c>
      <c r="J55" s="8" t="s">
        <v>28</v>
      </c>
      <c r="K55" s="9">
        <f>779.35</f>
        <v>779.35</v>
      </c>
      <c r="L55" s="10">
        <f>7240.17</f>
        <v>7240.17</v>
      </c>
      <c r="M55" s="4"/>
      <c r="N55" s="11">
        <v>7</v>
      </c>
      <c r="O55" s="4" t="s">
        <v>104</v>
      </c>
      <c r="P55" s="11">
        <v>1</v>
      </c>
      <c r="Q55" s="4" t="s">
        <v>29</v>
      </c>
      <c r="R55" s="12">
        <v>3.09</v>
      </c>
      <c r="S55" s="9">
        <f>2408.19</f>
        <v>2408.19</v>
      </c>
    </row>
    <row r="56" spans="1:19" ht="45" customHeight="1" x14ac:dyDescent="0.25">
      <c r="A56" s="4"/>
      <c r="B56" s="5"/>
      <c r="C56" s="4"/>
      <c r="D56" s="4"/>
      <c r="E56" s="4"/>
      <c r="F56" s="6"/>
      <c r="G56" s="4"/>
      <c r="H56" s="7"/>
      <c r="I56" s="7"/>
      <c r="J56" s="8"/>
      <c r="K56" s="9"/>
      <c r="L56" s="10"/>
      <c r="M56" s="4"/>
      <c r="N56" s="11"/>
      <c r="O56" s="4"/>
      <c r="P56" s="11">
        <v>2</v>
      </c>
      <c r="Q56" s="4" t="s">
        <v>29</v>
      </c>
      <c r="R56" s="12">
        <v>3.1</v>
      </c>
      <c r="S56" s="9">
        <f>2415.99</f>
        <v>2415.9899999999998</v>
      </c>
    </row>
    <row r="57" spans="1:19" ht="45" customHeight="1" x14ac:dyDescent="0.25">
      <c r="A57" s="4"/>
      <c r="B57" s="5"/>
      <c r="C57" s="4"/>
      <c r="D57" s="4"/>
      <c r="E57" s="4"/>
      <c r="F57" s="6"/>
      <c r="G57" s="4"/>
      <c r="H57" s="7"/>
      <c r="I57" s="7"/>
      <c r="J57" s="8"/>
      <c r="K57" s="9"/>
      <c r="L57" s="10"/>
      <c r="M57" s="4"/>
      <c r="N57" s="11"/>
      <c r="O57" s="4"/>
      <c r="P57" s="11">
        <v>3</v>
      </c>
      <c r="Q57" s="4" t="s">
        <v>29</v>
      </c>
      <c r="R57" s="12">
        <v>3.1</v>
      </c>
      <c r="S57" s="9">
        <f>2415.99</f>
        <v>2415.9899999999998</v>
      </c>
    </row>
    <row r="58" spans="1:19" ht="45" customHeight="1" x14ac:dyDescent="0.25">
      <c r="A58" s="4" t="s">
        <v>19</v>
      </c>
      <c r="B58" s="5" t="s">
        <v>111</v>
      </c>
      <c r="C58" s="4"/>
      <c r="D58" s="4"/>
      <c r="E58" s="4" t="s">
        <v>112</v>
      </c>
      <c r="F58" s="6"/>
      <c r="G58" s="4"/>
      <c r="H58" s="7"/>
      <c r="I58" s="7"/>
      <c r="J58" s="8"/>
      <c r="K58" s="9"/>
      <c r="L58" s="10">
        <f>5053.61</f>
        <v>5053.6099999999997</v>
      </c>
      <c r="M58" s="4"/>
      <c r="N58" s="11"/>
      <c r="O58" s="4"/>
      <c r="P58" s="11"/>
      <c r="Q58" s="4"/>
      <c r="R58" s="12"/>
      <c r="S58" s="9"/>
    </row>
    <row r="59" spans="1:19" ht="45" customHeight="1" x14ac:dyDescent="0.25">
      <c r="A59" s="4" t="s">
        <v>22</v>
      </c>
      <c r="B59" s="5" t="s">
        <v>113</v>
      </c>
      <c r="C59" s="4" t="s">
        <v>24</v>
      </c>
      <c r="D59" s="4" t="s">
        <v>114</v>
      </c>
      <c r="E59" s="4" t="s">
        <v>115</v>
      </c>
      <c r="F59" s="6">
        <f>28.8</f>
        <v>28.8</v>
      </c>
      <c r="G59" s="4" t="s">
        <v>27</v>
      </c>
      <c r="H59" s="7">
        <v>30.21</v>
      </c>
      <c r="I59" s="7">
        <v>30.21</v>
      </c>
      <c r="J59" s="8" t="s">
        <v>28</v>
      </c>
      <c r="K59" s="9">
        <f>36.13</f>
        <v>36.130000000000003</v>
      </c>
      <c r="L59" s="10">
        <f>1040.54</f>
        <v>1040.54</v>
      </c>
      <c r="M59" s="4"/>
      <c r="N59" s="11">
        <v>8</v>
      </c>
      <c r="O59" s="4" t="s">
        <v>112</v>
      </c>
      <c r="P59" s="11">
        <v>3</v>
      </c>
      <c r="Q59" s="4" t="s">
        <v>29</v>
      </c>
      <c r="R59" s="12">
        <v>28.8</v>
      </c>
      <c r="S59" s="9">
        <f>1040.54</f>
        <v>1040.54</v>
      </c>
    </row>
    <row r="60" spans="1:19" ht="45" customHeight="1" x14ac:dyDescent="0.25">
      <c r="A60" s="4" t="s">
        <v>22</v>
      </c>
      <c r="B60" s="5" t="s">
        <v>116</v>
      </c>
      <c r="C60" s="4" t="s">
        <v>31</v>
      </c>
      <c r="D60" s="4" t="s">
        <v>117</v>
      </c>
      <c r="E60" s="4" t="s">
        <v>118</v>
      </c>
      <c r="F60" s="6">
        <f>3.8</f>
        <v>3.8</v>
      </c>
      <c r="G60" s="4" t="s">
        <v>27</v>
      </c>
      <c r="H60" s="7">
        <v>511.75</v>
      </c>
      <c r="I60" s="7">
        <v>511.75</v>
      </c>
      <c r="J60" s="8" t="s">
        <v>28</v>
      </c>
      <c r="K60" s="9">
        <f>612.05</f>
        <v>612.04999999999995</v>
      </c>
      <c r="L60" s="10">
        <f>2325.79</f>
        <v>2325.79</v>
      </c>
      <c r="M60" s="4"/>
      <c r="N60" s="11">
        <v>8</v>
      </c>
      <c r="O60" s="4" t="s">
        <v>112</v>
      </c>
      <c r="P60" s="11">
        <v>3</v>
      </c>
      <c r="Q60" s="4" t="s">
        <v>29</v>
      </c>
      <c r="R60" s="12">
        <v>3.8</v>
      </c>
      <c r="S60" s="9">
        <f>2325.79</f>
        <v>2325.79</v>
      </c>
    </row>
    <row r="61" spans="1:19" ht="45" customHeight="1" x14ac:dyDescent="0.25">
      <c r="A61" s="4" t="s">
        <v>22</v>
      </c>
      <c r="B61" s="5" t="s">
        <v>119</v>
      </c>
      <c r="C61" s="4" t="s">
        <v>31</v>
      </c>
      <c r="D61" s="4" t="s">
        <v>120</v>
      </c>
      <c r="E61" s="4" t="s">
        <v>121</v>
      </c>
      <c r="F61" s="6">
        <f>2</f>
        <v>2</v>
      </c>
      <c r="G61" s="4" t="s">
        <v>39</v>
      </c>
      <c r="H61" s="7">
        <v>104.88</v>
      </c>
      <c r="I61" s="7">
        <v>104.88</v>
      </c>
      <c r="J61" s="8" t="s">
        <v>28</v>
      </c>
      <c r="K61" s="9">
        <f>125.44</f>
        <v>125.44</v>
      </c>
      <c r="L61" s="10">
        <f>250.88</f>
        <v>250.88</v>
      </c>
      <c r="M61" s="4"/>
      <c r="N61" s="11">
        <v>8</v>
      </c>
      <c r="O61" s="4" t="s">
        <v>112</v>
      </c>
      <c r="P61" s="11">
        <v>3</v>
      </c>
      <c r="Q61" s="4" t="s">
        <v>29</v>
      </c>
      <c r="R61" s="12">
        <v>2</v>
      </c>
      <c r="S61" s="9">
        <f>250.88</f>
        <v>250.88</v>
      </c>
    </row>
    <row r="62" spans="1:19" ht="45" customHeight="1" x14ac:dyDescent="0.25">
      <c r="A62" s="4" t="s">
        <v>22</v>
      </c>
      <c r="B62" s="5" t="s">
        <v>122</v>
      </c>
      <c r="C62" s="4" t="s">
        <v>24</v>
      </c>
      <c r="D62" s="4" t="s">
        <v>123</v>
      </c>
      <c r="E62" s="4" t="s">
        <v>124</v>
      </c>
      <c r="F62" s="6">
        <f>12</f>
        <v>12</v>
      </c>
      <c r="G62" s="4" t="s">
        <v>39</v>
      </c>
      <c r="H62" s="7">
        <v>100.08</v>
      </c>
      <c r="I62" s="7">
        <v>100.08</v>
      </c>
      <c r="J62" s="8" t="s">
        <v>28</v>
      </c>
      <c r="K62" s="9">
        <f>119.7</f>
        <v>119.7</v>
      </c>
      <c r="L62" s="10">
        <f>1436.4</f>
        <v>1436.4</v>
      </c>
      <c r="M62" s="4"/>
      <c r="N62" s="11">
        <v>8</v>
      </c>
      <c r="O62" s="4" t="s">
        <v>112</v>
      </c>
      <c r="P62" s="11">
        <v>3</v>
      </c>
      <c r="Q62" s="4" t="s">
        <v>29</v>
      </c>
      <c r="R62" s="12">
        <v>12</v>
      </c>
      <c r="S62" s="9">
        <f>1436.4</f>
        <v>1436.4</v>
      </c>
    </row>
    <row r="63" spans="1:19" x14ac:dyDescent="0.25">
      <c r="R63" s="14" t="s">
        <v>125</v>
      </c>
      <c r="S63" s="15">
        <f>502438.23</f>
        <v>502438.23</v>
      </c>
    </row>
    <row r="64" spans="1:19" x14ac:dyDescent="0.25">
      <c r="R64" s="14" t="s">
        <v>126</v>
      </c>
      <c r="S64" s="15">
        <f>0</f>
        <v>0</v>
      </c>
    </row>
  </sheetData>
  <conditionalFormatting sqref="A2:S2">
    <cfRule type="expression" dxfId="19" priority="13">
      <formula>$A2="Macrosserviço"</formula>
    </cfRule>
  </conditionalFormatting>
  <conditionalFormatting sqref="E2:E62">
    <cfRule type="expression" dxfId="18" priority="15">
      <formula>IF($A2="Macrosserviço",LEN($E2)&gt;100,LEN($E2)&gt;500)</formula>
    </cfRule>
  </conditionalFormatting>
  <conditionalFormatting sqref="M2:M62">
    <cfRule type="expression" dxfId="17" priority="14">
      <formula>IF($A2="Serviço",LEN(M2)&gt;500,M2&lt;&gt;"")</formula>
    </cfRule>
  </conditionalFormatting>
  <conditionalFormatting sqref="A2:A62">
    <cfRule type="expression" dxfId="16" priority="12">
      <formula>AND(A2&lt;&gt;"Macrosserviço",A2&lt;&gt;"Serviço",A2&lt;&gt;"")</formula>
    </cfRule>
  </conditionalFormatting>
  <conditionalFormatting sqref="C2:C62">
    <cfRule type="expression" dxfId="15" priority="11">
      <formula>IF($A2="Serviço",AND(C2&lt;&gt;"Composição",C2&lt;&gt;"Cotação",C2&lt;&gt;"SINAPI",C2&lt;&gt;"Outros"),C2&lt;&gt;"")</formula>
    </cfRule>
  </conditionalFormatting>
  <conditionalFormatting sqref="D2:D62">
    <cfRule type="expression" dxfId="14" priority="10">
      <formula>IF($A2="Serviço",OR(D2="",LEN($D2)&gt;13),D2&lt;&gt;"")</formula>
    </cfRule>
  </conditionalFormatting>
  <conditionalFormatting sqref="H2:H62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62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62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N2:N62">
    <cfRule type="expression" dxfId="10" priority="6">
      <formula>IF($A2="Serviço",OR(NOT(ISNUMBER(N2)),N2&lt;&gt;ROUND(N2,0),N2&lt;1,N2&gt;999),N2&lt;&gt;"")</formula>
    </cfRule>
  </conditionalFormatting>
  <conditionalFormatting sqref="O2:O62">
    <cfRule type="expression" dxfId="9" priority="5">
      <formula>IF($A2="Serviço",OR(O2="",LEN(O2)&gt;100),O2&lt;&gt;"")</formula>
    </cfRule>
  </conditionalFormatting>
  <conditionalFormatting sqref="P2:P62">
    <cfRule type="expression" dxfId="8" priority="4">
      <formula>IF($A2="Macrosserviço",P2&lt;&gt;"",OR(NOT(ISNUMBER(P2)),P2&lt;&gt;ROUND(P2,0),P2&lt;1,P2&gt;999))</formula>
    </cfRule>
  </conditionalFormatting>
  <conditionalFormatting sqref="Q2:Q62">
    <cfRule type="expression" dxfId="7" priority="3">
      <formula>IF($A2="Macrosserviço",Q2&lt;&gt;"",OR(Q2="",LEN(Q2)&gt;100))</formula>
    </cfRule>
  </conditionalFormatting>
  <conditionalFormatting sqref="R2:R62">
    <cfRule type="expression" dxfId="6" priority="2">
      <formula>IF($A2="Macrosserviço",R2&lt;&gt;"",OR(NOT(ISNUMBER(R2)),R2&lt;&gt;ROUND(R2,2),R2&lt;=0,R2&gt;99999999.99))</formula>
    </cfRule>
  </conditionalFormatting>
  <conditionalFormatting sqref="A3:S62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1E7F-AE2F-4CA2-A471-53291F11269C}">
  <sheetPr codeName="Planilha2"/>
  <dimension ref="A1:E18"/>
  <sheetViews>
    <sheetView workbookViewId="0"/>
  </sheetViews>
  <sheetFormatPr defaultColWidth="9.140625" defaultRowHeight="15" x14ac:dyDescent="0.25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140625" style="3"/>
  </cols>
  <sheetData>
    <row r="1" spans="1:5" x14ac:dyDescent="0.25">
      <c r="A1" s="1" t="s">
        <v>127</v>
      </c>
      <c r="B1" s="1" t="s">
        <v>128</v>
      </c>
      <c r="C1" s="1" t="s">
        <v>129</v>
      </c>
      <c r="D1" s="1" t="s">
        <v>16</v>
      </c>
      <c r="E1" s="1" t="s">
        <v>130</v>
      </c>
    </row>
    <row r="2" spans="1:5" ht="45" customHeight="1" x14ac:dyDescent="0.25">
      <c r="A2" s="16">
        <v>1</v>
      </c>
      <c r="B2" s="16" t="s">
        <v>21</v>
      </c>
      <c r="C2" s="16">
        <v>1</v>
      </c>
      <c r="D2" s="16" t="s">
        <v>29</v>
      </c>
      <c r="E2" s="16">
        <v>1</v>
      </c>
    </row>
    <row r="3" spans="1:5" ht="45" customHeight="1" x14ac:dyDescent="0.25">
      <c r="A3" s="16">
        <v>1</v>
      </c>
      <c r="B3" s="16" t="s">
        <v>21</v>
      </c>
      <c r="C3" s="16">
        <v>2</v>
      </c>
      <c r="D3" s="16" t="s">
        <v>29</v>
      </c>
      <c r="E3" s="16">
        <v>2</v>
      </c>
    </row>
    <row r="4" spans="1:5" ht="45" customHeight="1" x14ac:dyDescent="0.25">
      <c r="A4" s="16">
        <v>1</v>
      </c>
      <c r="B4" s="16" t="s">
        <v>21</v>
      </c>
      <c r="C4" s="16">
        <v>3</v>
      </c>
      <c r="D4" s="16" t="s">
        <v>29</v>
      </c>
      <c r="E4" s="16">
        <v>3</v>
      </c>
    </row>
    <row r="5" spans="1:5" ht="45" customHeight="1" x14ac:dyDescent="0.25">
      <c r="A5" s="16">
        <v>2</v>
      </c>
      <c r="B5" s="16" t="s">
        <v>41</v>
      </c>
      <c r="C5" s="16">
        <v>1</v>
      </c>
      <c r="D5" s="16" t="s">
        <v>29</v>
      </c>
      <c r="E5" s="16">
        <v>1</v>
      </c>
    </row>
    <row r="6" spans="1:5" ht="45" customHeight="1" x14ac:dyDescent="0.25">
      <c r="A6" s="16">
        <v>3</v>
      </c>
      <c r="B6" s="16" t="s">
        <v>56</v>
      </c>
      <c r="C6" s="16">
        <v>1</v>
      </c>
      <c r="D6" s="16" t="s">
        <v>29</v>
      </c>
      <c r="E6" s="16">
        <v>1</v>
      </c>
    </row>
    <row r="7" spans="1:5" ht="45" customHeight="1" x14ac:dyDescent="0.25">
      <c r="A7" s="16">
        <v>3</v>
      </c>
      <c r="B7" s="16" t="s">
        <v>56</v>
      </c>
      <c r="C7" s="16">
        <v>2</v>
      </c>
      <c r="D7" s="16" t="s">
        <v>29</v>
      </c>
      <c r="E7" s="16">
        <v>2</v>
      </c>
    </row>
    <row r="8" spans="1:5" ht="45" customHeight="1" x14ac:dyDescent="0.25">
      <c r="A8" s="16">
        <v>3</v>
      </c>
      <c r="B8" s="16" t="s">
        <v>56</v>
      </c>
      <c r="C8" s="16">
        <v>3</v>
      </c>
      <c r="D8" s="16" t="s">
        <v>29</v>
      </c>
      <c r="E8" s="16">
        <v>3</v>
      </c>
    </row>
    <row r="9" spans="1:5" ht="45" customHeight="1" x14ac:dyDescent="0.25">
      <c r="A9" s="16">
        <v>4</v>
      </c>
      <c r="B9" s="16" t="s">
        <v>64</v>
      </c>
      <c r="C9" s="16">
        <v>2</v>
      </c>
      <c r="D9" s="16" t="s">
        <v>29</v>
      </c>
      <c r="E9" s="16">
        <v>2</v>
      </c>
    </row>
    <row r="10" spans="1:5" ht="45" customHeight="1" x14ac:dyDescent="0.25">
      <c r="A10" s="16">
        <v>4</v>
      </c>
      <c r="B10" s="16" t="s">
        <v>64</v>
      </c>
      <c r="C10" s="16">
        <v>3</v>
      </c>
      <c r="D10" s="16" t="s">
        <v>29</v>
      </c>
      <c r="E10" s="16">
        <v>3</v>
      </c>
    </row>
    <row r="11" spans="1:5" ht="45" customHeight="1" x14ac:dyDescent="0.25">
      <c r="A11" s="16">
        <v>5</v>
      </c>
      <c r="B11" s="16" t="s">
        <v>75</v>
      </c>
      <c r="C11" s="16">
        <v>1</v>
      </c>
      <c r="D11" s="16" t="s">
        <v>29</v>
      </c>
      <c r="E11" s="16">
        <v>1</v>
      </c>
    </row>
    <row r="12" spans="1:5" ht="45" customHeight="1" x14ac:dyDescent="0.25">
      <c r="A12" s="16">
        <v>5</v>
      </c>
      <c r="B12" s="16" t="s">
        <v>75</v>
      </c>
      <c r="C12" s="16">
        <v>2</v>
      </c>
      <c r="D12" s="16" t="s">
        <v>29</v>
      </c>
      <c r="E12" s="16">
        <v>2</v>
      </c>
    </row>
    <row r="13" spans="1:5" ht="45" customHeight="1" x14ac:dyDescent="0.25">
      <c r="A13" s="16">
        <v>6</v>
      </c>
      <c r="B13" s="16" t="s">
        <v>98</v>
      </c>
      <c r="C13" s="16">
        <v>1</v>
      </c>
      <c r="D13" s="16" t="s">
        <v>29</v>
      </c>
      <c r="E13" s="16">
        <v>1</v>
      </c>
    </row>
    <row r="14" spans="1:5" ht="45" customHeight="1" x14ac:dyDescent="0.25">
      <c r="A14" s="16">
        <v>6</v>
      </c>
      <c r="B14" s="16" t="s">
        <v>98</v>
      </c>
      <c r="C14" s="16">
        <v>2</v>
      </c>
      <c r="D14" s="16" t="s">
        <v>29</v>
      </c>
      <c r="E14" s="16">
        <v>2</v>
      </c>
    </row>
    <row r="15" spans="1:5" ht="45" customHeight="1" x14ac:dyDescent="0.25">
      <c r="A15" s="16">
        <v>7</v>
      </c>
      <c r="B15" s="16" t="s">
        <v>104</v>
      </c>
      <c r="C15" s="16">
        <v>1</v>
      </c>
      <c r="D15" s="16" t="s">
        <v>29</v>
      </c>
      <c r="E15" s="16">
        <v>1</v>
      </c>
    </row>
    <row r="16" spans="1:5" ht="45" customHeight="1" x14ac:dyDescent="0.25">
      <c r="A16" s="16">
        <v>7</v>
      </c>
      <c r="B16" s="16" t="s">
        <v>104</v>
      </c>
      <c r="C16" s="16">
        <v>2</v>
      </c>
      <c r="D16" s="16" t="s">
        <v>29</v>
      </c>
      <c r="E16" s="16">
        <v>2</v>
      </c>
    </row>
    <row r="17" spans="1:5" ht="45" customHeight="1" x14ac:dyDescent="0.25">
      <c r="A17" s="16">
        <v>7</v>
      </c>
      <c r="B17" s="16" t="s">
        <v>104</v>
      </c>
      <c r="C17" s="16">
        <v>3</v>
      </c>
      <c r="D17" s="16" t="s">
        <v>29</v>
      </c>
      <c r="E17" s="16">
        <v>3</v>
      </c>
    </row>
    <row r="18" spans="1:5" ht="45" customHeight="1" x14ac:dyDescent="0.25">
      <c r="A18" s="16">
        <v>8</v>
      </c>
      <c r="B18" s="16" t="s">
        <v>112</v>
      </c>
      <c r="C18" s="16">
        <v>3</v>
      </c>
      <c r="D18" s="16" t="s">
        <v>29</v>
      </c>
      <c r="E18" s="16">
        <v>3</v>
      </c>
    </row>
  </sheetData>
  <conditionalFormatting sqref="A2:A18">
    <cfRule type="expression" dxfId="4" priority="5">
      <formula>OR(NOT(ISNUMBER(A2)),A2&lt;&gt;ROUND(A2,0),A2&lt;1,A2&gt;999)</formula>
    </cfRule>
  </conditionalFormatting>
  <conditionalFormatting sqref="B2:B18">
    <cfRule type="expression" dxfId="3" priority="4">
      <formula>OR(B2="",LEN(B2)&gt;100)</formula>
    </cfRule>
  </conditionalFormatting>
  <conditionalFormatting sqref="C2:C18">
    <cfRule type="expression" dxfId="2" priority="3">
      <formula>OR(NOT(ISNUMBER(C2)),C2&lt;&gt;ROUND(C2,0),C2&lt;1,C2&gt;999)</formula>
    </cfRule>
  </conditionalFormatting>
  <conditionalFormatting sqref="D2:D18">
    <cfRule type="expression" dxfId="1" priority="2">
      <formula>OR(D2="",LEN(D2)&gt;100)</formula>
    </cfRule>
  </conditionalFormatting>
  <conditionalFormatting sqref="E2:E18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CFF-PLE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 Do Computador</dc:creator>
  <cp:lastModifiedBy>Casa Do Computador</cp:lastModifiedBy>
  <dcterms:created xsi:type="dcterms:W3CDTF">2025-11-17T14:56:08Z</dcterms:created>
  <dcterms:modified xsi:type="dcterms:W3CDTF">2025-11-17T14:56:09Z</dcterms:modified>
</cp:coreProperties>
</file>