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D:\Backup Veve\1 PROJETOS\Prefeitura de São Vendelino\Pavimentação Morro Carrard - 180m\PDF para Licitação\SICRO\"/>
    </mc:Choice>
  </mc:AlternateContent>
  <xr:revisionPtr revIDLastSave="0" documentId="8_{D4D7B62F-92D1-4FBD-9FD7-9C781DF86CCF}" xr6:coauthVersionLast="40" xr6:coauthVersionMax="40" xr10:uidLastSave="{00000000-0000-0000-0000-000000000000}"/>
  <bookViews>
    <workbookView xWindow="-108" yWindow="-108" windowWidth="23256" windowHeight="12456" xr2:uid="{00000000-000D-0000-FFFF-FFFF00000000}"/>
  </bookViews>
  <sheets>
    <sheet name="Orcamento" sheetId="2" r:id="rId1"/>
    <sheet name="Orcamento Resumo" sheetId="3" r:id="rId2"/>
    <sheet name="Cronograma" sheetId="4" r:id="rId3"/>
    <sheet name="Coposições" sheetId="6" r:id="rId4"/>
    <sheet name="Memória de Cálculo" sheetId="8" r:id="rId5"/>
  </sheets>
  <externalReferences>
    <externalReference r:id="rId6"/>
  </externalReferences>
  <definedNames>
    <definedName name="_ftn1" localSheetId="0">Orcamento!$B$10</definedName>
    <definedName name="_ftnref1" localSheetId="0">Orcamento!#REF!</definedName>
    <definedName name="_Toc89844996" localSheetId="0">Orcamento!#REF!</definedName>
    <definedName name="_xlnm.Print_Area" localSheetId="3">Coposições!$A$1:$H$47</definedName>
  </definedNames>
  <calcPr calcId="191029"/>
</workbook>
</file>

<file path=xl/calcChain.xml><?xml version="1.0" encoding="utf-8"?>
<calcChain xmlns="http://schemas.openxmlformats.org/spreadsheetml/2006/main">
  <c r="E54" i="2" l="1"/>
  <c r="J54" i="2" s="1"/>
  <c r="E52" i="8"/>
  <c r="E51" i="8"/>
  <c r="E50" i="8"/>
  <c r="I54" i="2"/>
  <c r="H54" i="2" s="1"/>
  <c r="J53" i="2"/>
  <c r="I53" i="2"/>
  <c r="H53" i="2" s="1"/>
  <c r="K53" i="2" s="1"/>
  <c r="L53" i="2" s="1"/>
  <c r="E53" i="2"/>
  <c r="H52" i="2"/>
  <c r="I52" i="2"/>
  <c r="J52" i="2" s="1"/>
  <c r="E52" i="2"/>
  <c r="K54" i="2" l="1"/>
  <c r="L54" i="2" s="1"/>
  <c r="L42" i="2" s="1"/>
  <c r="K52" i="2"/>
  <c r="L52" i="2" s="1"/>
  <c r="E69" i="8"/>
  <c r="E71" i="2"/>
  <c r="E40" i="2"/>
  <c r="I51" i="2"/>
  <c r="I50" i="2"/>
  <c r="I49" i="2"/>
  <c r="E72" i="8" l="1"/>
  <c r="E64" i="8"/>
  <c r="E63" i="8"/>
  <c r="E61" i="8"/>
  <c r="E57" i="8"/>
  <c r="E58" i="8" s="1"/>
  <c r="E56" i="8"/>
  <c r="E59" i="8" s="1"/>
  <c r="E55" i="8"/>
  <c r="E65" i="8" s="1"/>
  <c r="E47" i="8"/>
  <c r="E46" i="8"/>
  <c r="E44" i="8"/>
  <c r="E45" i="8" s="1"/>
  <c r="E42" i="8"/>
  <c r="E43" i="8" s="1"/>
  <c r="E41" i="8"/>
  <c r="E38" i="8"/>
  <c r="E32" i="8"/>
  <c r="E34" i="8" s="1"/>
  <c r="E35" i="8" s="1"/>
  <c r="E26" i="8"/>
  <c r="E29" i="8" s="1"/>
  <c r="E25" i="8"/>
  <c r="E28" i="8" s="1"/>
  <c r="E24" i="8"/>
  <c r="E20" i="8"/>
  <c r="I10" i="8"/>
  <c r="E48" i="8" s="1"/>
  <c r="E49" i="8" s="1"/>
  <c r="E30" i="8" l="1"/>
  <c r="E60" i="8"/>
  <c r="E27" i="8"/>
  <c r="E66" i="8"/>
  <c r="E33" i="8"/>
  <c r="E59" i="2"/>
  <c r="E58" i="2"/>
  <c r="E61" i="2" s="1"/>
  <c r="E74" i="2"/>
  <c r="E63" i="2"/>
  <c r="E57" i="2"/>
  <c r="E48" i="2"/>
  <c r="E46" i="2"/>
  <c r="E47" i="2" s="1"/>
  <c r="E44" i="2"/>
  <c r="E45" i="2" s="1"/>
  <c r="E43" i="2"/>
  <c r="E28" i="2"/>
  <c r="E27" i="2"/>
  <c r="E30" i="2" s="1"/>
  <c r="E26" i="2"/>
  <c r="E22" i="2"/>
  <c r="I11" i="2"/>
  <c r="E50" i="2" s="1"/>
  <c r="E51" i="2" s="1"/>
  <c r="E29" i="2" l="1"/>
  <c r="E31" i="2"/>
  <c r="E60" i="2"/>
  <c r="E62" i="2"/>
  <c r="E32" i="2"/>
  <c r="I73" i="2"/>
  <c r="H73" i="2" s="1"/>
  <c r="K73" i="2" s="1"/>
  <c r="I72" i="2"/>
  <c r="H72" i="2" s="1"/>
  <c r="K72" i="2" s="1"/>
  <c r="E67" i="2"/>
  <c r="I66" i="2"/>
  <c r="H66" i="2" s="1"/>
  <c r="I65" i="2"/>
  <c r="G65" i="2" s="1"/>
  <c r="J65" i="2" s="1"/>
  <c r="H65" i="2" l="1"/>
  <c r="K65" i="2" s="1"/>
  <c r="L65" i="2" s="1"/>
  <c r="G73" i="2"/>
  <c r="J73" i="2" s="1"/>
  <c r="L73" i="2" s="1"/>
  <c r="K66" i="2"/>
  <c r="G72" i="2"/>
  <c r="J72" i="2" s="1"/>
  <c r="L72" i="2" s="1"/>
  <c r="G66" i="2"/>
  <c r="J66" i="2" s="1"/>
  <c r="E68" i="2"/>
  <c r="I64" i="2"/>
  <c r="H64" i="2" s="1"/>
  <c r="K64" i="2" s="1"/>
  <c r="I63" i="2"/>
  <c r="I62" i="2"/>
  <c r="I61" i="2"/>
  <c r="I60" i="2"/>
  <c r="G60" i="2" s="1"/>
  <c r="I59" i="2"/>
  <c r="G59" i="2" s="1"/>
  <c r="J59" i="2" s="1"/>
  <c r="I58" i="2"/>
  <c r="H58" i="2" s="1"/>
  <c r="K58" i="2" s="1"/>
  <c r="I57" i="2"/>
  <c r="G57" i="2" s="1"/>
  <c r="J57" i="2" s="1"/>
  <c r="I30" i="2"/>
  <c r="E34" i="2"/>
  <c r="I31" i="2"/>
  <c r="I29" i="2"/>
  <c r="G29" i="2" s="1"/>
  <c r="I28" i="2"/>
  <c r="G28" i="2" s="1"/>
  <c r="J28" i="2" s="1"/>
  <c r="I21" i="2"/>
  <c r="G21" i="2" s="1"/>
  <c r="E21" i="2"/>
  <c r="H21" i="2" l="1"/>
  <c r="K21" i="2" s="1"/>
  <c r="H59" i="2"/>
  <c r="K59" i="2" s="1"/>
  <c r="L59" i="2" s="1"/>
  <c r="H28" i="2"/>
  <c r="K28" i="2" s="1"/>
  <c r="L28" i="2" s="1"/>
  <c r="H60" i="2"/>
  <c r="K60" i="2" s="1"/>
  <c r="L66" i="2"/>
  <c r="J60" i="2"/>
  <c r="H29" i="2"/>
  <c r="K29" i="2" s="1"/>
  <c r="J21" i="2"/>
  <c r="J29" i="2"/>
  <c r="G64" i="2"/>
  <c r="J64" i="2" s="1"/>
  <c r="L64" i="2" s="1"/>
  <c r="G63" i="2"/>
  <c r="J63" i="2" s="1"/>
  <c r="H63" i="2"/>
  <c r="K63" i="2" s="1"/>
  <c r="H57" i="2"/>
  <c r="K57" i="2" s="1"/>
  <c r="L57" i="2" s="1"/>
  <c r="G61" i="2"/>
  <c r="J61" i="2" s="1"/>
  <c r="H61" i="2"/>
  <c r="K61" i="2" s="1"/>
  <c r="H62" i="2"/>
  <c r="K62" i="2" s="1"/>
  <c r="G62" i="2"/>
  <c r="J62" i="2" s="1"/>
  <c r="G58" i="2"/>
  <c r="J58" i="2" s="1"/>
  <c r="L58" i="2" s="1"/>
  <c r="H30" i="2"/>
  <c r="K30" i="2" s="1"/>
  <c r="G30" i="2"/>
  <c r="J30" i="2" s="1"/>
  <c r="G31" i="2"/>
  <c r="J31" i="2" s="1"/>
  <c r="H31" i="2"/>
  <c r="K31" i="2" s="1"/>
  <c r="L60" i="2" l="1"/>
  <c r="L61" i="2"/>
  <c r="L29" i="2"/>
  <c r="L21" i="2"/>
  <c r="L63" i="2"/>
  <c r="L62" i="2"/>
  <c r="L30" i="2"/>
  <c r="L31" i="2"/>
  <c r="I74" i="2"/>
  <c r="H74" i="2" s="1"/>
  <c r="K74" i="2" s="1"/>
  <c r="I71" i="2"/>
  <c r="G71" i="2" s="1"/>
  <c r="I68" i="2"/>
  <c r="H68" i="2" s="1"/>
  <c r="I67" i="2"/>
  <c r="H67" i="2" s="1"/>
  <c r="G50" i="2"/>
  <c r="H49" i="2"/>
  <c r="I48" i="2"/>
  <c r="G48" i="2" s="1"/>
  <c r="I46" i="2"/>
  <c r="G46" i="2" s="1"/>
  <c r="I44" i="2"/>
  <c r="G44" i="2" s="1"/>
  <c r="I43" i="2"/>
  <c r="G43" i="2" s="1"/>
  <c r="I39" i="2"/>
  <c r="G39" i="2" s="1"/>
  <c r="J39" i="2" s="1"/>
  <c r="I36" i="2"/>
  <c r="H36" i="2" s="1"/>
  <c r="I35" i="2"/>
  <c r="H35" i="2" s="1"/>
  <c r="I34" i="2"/>
  <c r="G34" i="2" s="1"/>
  <c r="I32" i="2"/>
  <c r="G32" i="2" s="1"/>
  <c r="I27" i="2"/>
  <c r="G27" i="2" s="1"/>
  <c r="I26" i="2"/>
  <c r="H26" i="2" s="1"/>
  <c r="I22" i="2"/>
  <c r="H22" i="2" s="1"/>
  <c r="I20" i="2"/>
  <c r="G20" i="2" s="1"/>
  <c r="J20" i="2" s="1"/>
  <c r="I19" i="2"/>
  <c r="H19" i="2" s="1"/>
  <c r="K19" i="2" s="1"/>
  <c r="H43" i="2" l="1"/>
  <c r="H32" i="2"/>
  <c r="H71" i="2"/>
  <c r="H39" i="2"/>
  <c r="K39" i="2" s="1"/>
  <c r="L39" i="2" s="1"/>
  <c r="H48" i="2"/>
  <c r="H50" i="2"/>
  <c r="H34" i="2"/>
  <c r="H44" i="2"/>
  <c r="H46" i="2"/>
  <c r="G19" i="2"/>
  <c r="J19" i="2" s="1"/>
  <c r="L19" i="2" s="1"/>
  <c r="G35" i="2"/>
  <c r="H27" i="2"/>
  <c r="G26" i="2"/>
  <c r="G36" i="2"/>
  <c r="G49" i="2"/>
  <c r="G68" i="2"/>
  <c r="G74" i="2"/>
  <c r="J74" i="2" s="1"/>
  <c r="L74" i="2" s="1"/>
  <c r="G67" i="2"/>
  <c r="H20" i="2"/>
  <c r="K20" i="2" s="1"/>
  <c r="L20" i="2" s="1"/>
  <c r="G22" i="2"/>
  <c r="I37" i="2" l="1"/>
  <c r="H37" i="2" l="1"/>
  <c r="G37" i="2"/>
  <c r="K22" i="2" l="1"/>
  <c r="J22" i="2"/>
  <c r="L22" i="2" l="1"/>
  <c r="L18" i="2" s="1"/>
  <c r="I47" i="2"/>
  <c r="I45" i="2"/>
  <c r="I40" i="2"/>
  <c r="H45" i="2" l="1"/>
  <c r="G45" i="2"/>
  <c r="H47" i="2"/>
  <c r="G47" i="2"/>
  <c r="H51" i="2"/>
  <c r="G51" i="2"/>
  <c r="K26" i="2"/>
  <c r="J26" i="2"/>
  <c r="K27" i="2"/>
  <c r="J27" i="2"/>
  <c r="G40" i="2"/>
  <c r="H40" i="2"/>
  <c r="C30" i="4"/>
  <c r="C28" i="4"/>
  <c r="C26" i="4"/>
  <c r="C24" i="4"/>
  <c r="C22" i="4"/>
  <c r="L27" i="2" l="1"/>
  <c r="L26" i="2"/>
  <c r="J50" i="2"/>
  <c r="K71" i="2" l="1"/>
  <c r="J71" i="2"/>
  <c r="K34" i="2"/>
  <c r="J34" i="2"/>
  <c r="E35" i="2"/>
  <c r="E49" i="2"/>
  <c r="J48" i="2"/>
  <c r="K48" i="2"/>
  <c r="L48" i="2" s="1"/>
  <c r="K50" i="2"/>
  <c r="L50" i="2" s="1"/>
  <c r="J32" i="2"/>
  <c r="K32" i="2"/>
  <c r="K44" i="2"/>
  <c r="J44" i="2"/>
  <c r="J43" i="2"/>
  <c r="K43" i="2"/>
  <c r="L43" i="2" s="1"/>
  <c r="J46" i="2"/>
  <c r="K46" i="2"/>
  <c r="L32" i="2" l="1"/>
  <c r="L46" i="2"/>
  <c r="L71" i="2"/>
  <c r="L44" i="2"/>
  <c r="K45" i="2"/>
  <c r="J45" i="2"/>
  <c r="K35" i="2"/>
  <c r="J35" i="2"/>
  <c r="L34" i="2"/>
  <c r="K49" i="2"/>
  <c r="J49" i="2"/>
  <c r="L35" i="2" l="1"/>
  <c r="L49" i="2"/>
  <c r="L45" i="2"/>
  <c r="K51" i="2" l="1"/>
  <c r="J51" i="2"/>
  <c r="L51" i="2" l="1"/>
  <c r="K67" i="2" l="1"/>
  <c r="J67" i="2"/>
  <c r="E36" i="2"/>
  <c r="E37" i="2" s="1"/>
  <c r="K36" i="2" l="1"/>
  <c r="J36" i="2"/>
  <c r="L67" i="2"/>
  <c r="C18" i="3"/>
  <c r="C17" i="3"/>
  <c r="C16" i="3"/>
  <c r="C15" i="3"/>
  <c r="C14" i="3"/>
  <c r="L36" i="2" l="1"/>
  <c r="J37" i="2" l="1"/>
  <c r="K37" i="2"/>
  <c r="J47" i="2"/>
  <c r="K47" i="2"/>
  <c r="J40" i="2"/>
  <c r="K40" i="2"/>
  <c r="K68" i="2"/>
  <c r="J68" i="2"/>
  <c r="L70" i="2"/>
  <c r="L40" i="2" l="1"/>
  <c r="L47" i="2"/>
  <c r="L37" i="2"/>
  <c r="L68" i="2"/>
  <c r="L56" i="2" s="1"/>
  <c r="D28" i="4" s="1"/>
  <c r="G18" i="3"/>
  <c r="D30" i="4"/>
  <c r="H31" i="4"/>
  <c r="J31" i="4" s="1"/>
  <c r="F31" i="4"/>
  <c r="H29" i="4"/>
  <c r="J29" i="4" s="1"/>
  <c r="F29" i="4"/>
  <c r="H27" i="4"/>
  <c r="J27" i="4" s="1"/>
  <c r="F27" i="4"/>
  <c r="H25" i="4"/>
  <c r="J25" i="4" s="1"/>
  <c r="F25" i="4"/>
  <c r="H23" i="4"/>
  <c r="J23" i="4" s="1"/>
  <c r="F23" i="4"/>
  <c r="B18" i="3"/>
  <c r="B17" i="3"/>
  <c r="B16" i="3"/>
  <c r="B15" i="3"/>
  <c r="B14" i="3"/>
  <c r="L24" i="2" l="1"/>
  <c r="G17" i="3"/>
  <c r="G16" i="3"/>
  <c r="G30" i="4"/>
  <c r="E30" i="4"/>
  <c r="I30" i="4"/>
  <c r="G15" i="3" l="1"/>
  <c r="D24" i="4"/>
  <c r="D26" i="4"/>
  <c r="I28" i="4" l="1"/>
  <c r="G28" i="4"/>
  <c r="E28" i="4"/>
  <c r="I26" i="4"/>
  <c r="G26" i="4"/>
  <c r="E26" i="4"/>
  <c r="J77" i="2"/>
  <c r="K77" i="2"/>
  <c r="L77" i="2" l="1"/>
  <c r="M54" i="2" s="1"/>
  <c r="M52" i="2" l="1"/>
  <c r="M53" i="2"/>
  <c r="M73" i="2"/>
  <c r="M72" i="2"/>
  <c r="M66" i="2"/>
  <c r="M65" i="2"/>
  <c r="M64" i="2"/>
  <c r="M63" i="2"/>
  <c r="M60" i="2"/>
  <c r="M61" i="2"/>
  <c r="M62" i="2"/>
  <c r="M59" i="2"/>
  <c r="M57" i="2"/>
  <c r="M58" i="2"/>
  <c r="M29" i="2"/>
  <c r="M30" i="2"/>
  <c r="M31" i="2"/>
  <c r="M28" i="2"/>
  <c r="M21" i="2"/>
  <c r="M20" i="2"/>
  <c r="M27" i="2"/>
  <c r="M70" i="2"/>
  <c r="M74" i="2"/>
  <c r="M51" i="2"/>
  <c r="M68" i="2"/>
  <c r="M67" i="2"/>
  <c r="M49" i="2"/>
  <c r="M50" i="2"/>
  <c r="M45" i="2"/>
  <c r="M47" i="2"/>
  <c r="M39" i="2"/>
  <c r="M40" i="2"/>
  <c r="M36" i="2"/>
  <c r="M37" i="2"/>
  <c r="M34" i="2"/>
  <c r="M35" i="2"/>
  <c r="M32" i="2"/>
  <c r="M71" i="2"/>
  <c r="M48" i="2"/>
  <c r="M46" i="2"/>
  <c r="M43" i="2"/>
  <c r="M56" i="2"/>
  <c r="M44" i="2"/>
  <c r="M42" i="2"/>
  <c r="M18" i="2" l="1"/>
  <c r="M26" i="2"/>
  <c r="M22" i="2"/>
  <c r="M19" i="2"/>
  <c r="G14" i="3" l="1"/>
  <c r="G19" i="3" s="1"/>
  <c r="D22" i="4"/>
  <c r="D32" i="4" s="1"/>
  <c r="E24" i="4"/>
  <c r="G24" i="4"/>
  <c r="I24" i="4"/>
  <c r="E22" i="4" l="1"/>
  <c r="E32" i="4" s="1"/>
  <c r="I22" i="4"/>
  <c r="I32" i="4" s="1"/>
  <c r="D23" i="4"/>
  <c r="G22" i="4"/>
  <c r="G32" i="4" s="1"/>
  <c r="G33" i="4" l="1"/>
  <c r="D31" i="4"/>
  <c r="D27" i="4"/>
  <c r="D29" i="4"/>
  <c r="D25" i="4"/>
  <c r="I33" i="4"/>
  <c r="E33" i="4"/>
  <c r="F33" i="4" s="1"/>
  <c r="D33" i="4" l="1"/>
  <c r="H33" i="4"/>
  <c r="J33" i="4" s="1"/>
  <c r="M24" i="2" l="1"/>
  <c r="M77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F1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Ocultar Coluna antes da impressao ou geracao do PDF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F14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Ocultar Coluna antes da impressao ou geracao do PDF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<sst xmlns="http://schemas.openxmlformats.org/spreadsheetml/2006/main" count="571" uniqueCount="288">
  <si>
    <t>B.D.I.</t>
  </si>
  <si>
    <t>Planilha Orçamentária Sintética Com Valor do Material e da Mão de Obra</t>
  </si>
  <si>
    <t>Item</t>
  </si>
  <si>
    <t>Descrição</t>
  </si>
  <si>
    <t>Und</t>
  </si>
  <si>
    <t>Quant.</t>
  </si>
  <si>
    <t>Valor Unit com BDI</t>
  </si>
  <si>
    <t>Total</t>
  </si>
  <si>
    <t>Peso (%)</t>
  </si>
  <si>
    <t>M. O.</t>
  </si>
  <si>
    <t>MAT.</t>
  </si>
  <si>
    <t>Totais -&gt;</t>
  </si>
  <si>
    <t>EVERSON SERGIO KERBES</t>
  </si>
  <si>
    <t>Encargos Sociais sobre preco da M.O</t>
  </si>
  <si>
    <t>Valor Unit s/ BDI</t>
  </si>
  <si>
    <r>
      <t>m</t>
    </r>
    <r>
      <rPr>
        <sz val="10"/>
        <color rgb="FF000000"/>
        <rFont val="Calibri"/>
        <family val="2"/>
      </rPr>
      <t>²</t>
    </r>
  </si>
  <si>
    <t>Material</t>
  </si>
  <si>
    <t>M.O.</t>
  </si>
  <si>
    <t>1.1</t>
  </si>
  <si>
    <t>3.1</t>
  </si>
  <si>
    <t>CREA-RS 124.620</t>
  </si>
  <si>
    <t>m</t>
  </si>
  <si>
    <t>Planilha de Orçamento - Global</t>
  </si>
  <si>
    <r>
      <t>m</t>
    </r>
    <r>
      <rPr>
        <sz val="10"/>
        <color rgb="FF000000"/>
        <rFont val="Calibri"/>
        <family val="2"/>
      </rPr>
      <t>³</t>
    </r>
  </si>
  <si>
    <t>3.2</t>
  </si>
  <si>
    <t>3.3</t>
  </si>
  <si>
    <t>3.5</t>
  </si>
  <si>
    <t>3.6</t>
  </si>
  <si>
    <t>4.1</t>
  </si>
  <si>
    <t>4.2</t>
  </si>
  <si>
    <t xml:space="preserve">m </t>
  </si>
  <si>
    <t>5.1</t>
  </si>
  <si>
    <t>5.2</t>
  </si>
  <si>
    <t>UN</t>
  </si>
  <si>
    <t>2.1</t>
  </si>
  <si>
    <t>2.2</t>
  </si>
  <si>
    <t>2.3</t>
  </si>
  <si>
    <t>3.4</t>
  </si>
  <si>
    <t>5.4</t>
  </si>
  <si>
    <t>Valor</t>
  </si>
  <si>
    <t xml:space="preserve">TOTAL    </t>
  </si>
  <si>
    <t>CRONOGRAMA FÍSICO-FINANCEIRO</t>
  </si>
  <si>
    <t>ITEM</t>
  </si>
  <si>
    <t>DESCRIÇÃO</t>
  </si>
  <si>
    <t>Total Servico</t>
  </si>
  <si>
    <t>PARCELA 1</t>
  </si>
  <si>
    <t>% Acum</t>
  </si>
  <si>
    <t>PARCELA 2</t>
  </si>
  <si>
    <t>PARCELA 3</t>
  </si>
  <si>
    <t>1.</t>
  </si>
  <si>
    <t>2.</t>
  </si>
  <si>
    <t>3.</t>
  </si>
  <si>
    <t>4.</t>
  </si>
  <si>
    <t>5.</t>
  </si>
  <si>
    <t>TOTAL</t>
  </si>
  <si>
    <t>ENGENHEIRO CIVIL</t>
  </si>
  <si>
    <t>CREA/RS 124.620</t>
  </si>
  <si>
    <t>Estado do Rio Grande do Sul</t>
  </si>
  <si>
    <t>4.3</t>
  </si>
  <si>
    <t>2.1.1</t>
  </si>
  <si>
    <t>2.1.2</t>
  </si>
  <si>
    <t>2.1.3</t>
  </si>
  <si>
    <t>2.2.1</t>
  </si>
  <si>
    <t>2.2.2</t>
  </si>
  <si>
    <t>2.2.3</t>
  </si>
  <si>
    <t>2.2.4</t>
  </si>
  <si>
    <t>ATERRO DE GREIDE</t>
  </si>
  <si>
    <t>2.3.1</t>
  </si>
  <si>
    <t>m²</t>
  </si>
  <si>
    <t>CONCRETO BETUMINOSO USINADO A QUENTE (CBUQ), CAP 50/70, E=5cm, EXCLUSIVE TRSPORTE</t>
  </si>
  <si>
    <t>ESPALHAMENTO DE MATERIAL COM TRATOR ESTEIRA EM BOTA FORA</t>
  </si>
  <si>
    <r>
      <t>REATERRO MECANIZADO DE VALA COM SOLO DE 1</t>
    </r>
    <r>
      <rPr>
        <sz val="10"/>
        <color rgb="FF000000"/>
        <rFont val="Calibri"/>
        <family val="2"/>
      </rPr>
      <t>ª</t>
    </r>
    <r>
      <rPr>
        <sz val="10"/>
        <color rgb="FF000000"/>
        <rFont val="Arial"/>
        <family val="1"/>
      </rPr>
      <t xml:space="preserve"> CATEGORIA</t>
    </r>
  </si>
  <si>
    <t>4.4</t>
  </si>
  <si>
    <t>4.5</t>
  </si>
  <si>
    <t>4.6</t>
  </si>
  <si>
    <t>3.7</t>
  </si>
  <si>
    <t>3.8</t>
  </si>
  <si>
    <t>3.9</t>
  </si>
  <si>
    <t>2.3.2</t>
  </si>
  <si>
    <t>1.2</t>
  </si>
  <si>
    <t>Proprietario: Prefeitura Municipal de São Vendelino, CNPJ.: 91.984.492/0001-52</t>
  </si>
  <si>
    <t>MUNICÍPIO DE SÃO VENDELINO</t>
  </si>
  <si>
    <t>ESPALHAMENTO DE MATERIAL COM TRATOR ESTEIRA (30% Empolamento)</t>
  </si>
  <si>
    <t>TOPÓGRAFO COM ENCARGOS SOCIAIS</t>
  </si>
  <si>
    <t>H</t>
  </si>
  <si>
    <t>AUXILIAR DE TOPÓGRAFO COM ENCARGOS SOCIAIS</t>
  </si>
  <si>
    <t>Valores atualizados na data do orçamento</t>
  </si>
  <si>
    <t>SINALIZAÇÃO VIÁRIA</t>
  </si>
  <si>
    <t>SUPORTE METÁLICO GALVANIZADO PARA PLACA DE REGULAMENTAÇÃO</t>
  </si>
  <si>
    <t>DRENAGEM DE ÁGUAS PLUVIAIS E ENTRADAS MORADORES</t>
  </si>
  <si>
    <t>EXECUÇÃO DE PINTURA DE LIGAÇÃO</t>
  </si>
  <si>
    <t>EXECUÇÃO DE IMPRIMAÇÃO DE BASE DE BRITA GRADUADA COM MATERIAL ASFÁLTICO</t>
  </si>
  <si>
    <t>BASE DE BRITA GRADUADA, INCLISIVE COMPACTAÇÃO, E=15cm, EXCLUSIVE TRANSPORTE</t>
  </si>
  <si>
    <t>SUB BASE RACHÃO, EXECUÇÃO E COMPACTAÇÃO DE BASE OU SUB BASE PARA PAVIMENTAÇÃO, ENCHIMENTO DE BRITA E CAMADA DE BLOQUEIO - E=17cm</t>
  </si>
  <si>
    <t>REGULARIZAÇÃO E COMPACTAÇÃO DE SUBLEITO</t>
  </si>
  <si>
    <t>PAVIMENTAÇÃO</t>
  </si>
  <si>
    <t>REATERRO DE MATERIAL REMOVIDO, EXECUÇÃO E COMPACTAÇÃO DE BASE OU SUB BASE PARA PAVIMENTAÇÃO DE PEDRA RACHÃO - EXCLUSIVE CARGA E TRANSPORTE</t>
  </si>
  <si>
    <r>
      <t>ESCAVAÇÃO VERTICAL A CÉU ABERTO EM OBRAS DE INFRAESTRUTURA, INC. CARGA/DESCARGA E TRANSPORTE, EM SOLO DE 1</t>
    </r>
    <r>
      <rPr>
        <sz val="10"/>
        <color rgb="FF000000"/>
        <rFont val="Calibri"/>
        <family val="2"/>
      </rPr>
      <t>ª</t>
    </r>
    <r>
      <rPr>
        <sz val="10"/>
        <color rgb="FF000000"/>
        <rFont val="Arial"/>
        <family val="1"/>
      </rPr>
      <t xml:space="preserve"> CATEGORIA, C/ ESCAVADEIRA HIDRAULICA, DMT 1KM</t>
    </r>
  </si>
  <si>
    <t>REMOÇÃO DE SOLOS INADEQUADOS / REFORÇO DO SUBLEITO</t>
  </si>
  <si>
    <t>ESCAVAÇÃO DE GREIDE</t>
  </si>
  <si>
    <t>MOVIMENTAÇÃO DE TERRA</t>
  </si>
  <si>
    <t>SERVIÇOS PRELIMINARES</t>
  </si>
  <si>
    <t>1.3</t>
  </si>
  <si>
    <t>LIMPEZA DO TERRENO. REMOÇÃO MECANIZADA DA CAMADA DE VEGETAÇÃO, REMOÇÃO DE MATERIAL, NIVELAMENTO.</t>
  </si>
  <si>
    <t>Não Desonerado:  112,88% (hora) 69,79%(mês)</t>
  </si>
  <si>
    <t>SICRO 5213440</t>
  </si>
  <si>
    <t>SICRO 5213863</t>
  </si>
  <si>
    <t>Proprietario: Prefeitura Municipal de SÃO VENDELINO - RS</t>
  </si>
  <si>
    <t>4.7</t>
  </si>
  <si>
    <t>4.9</t>
  </si>
  <si>
    <t>CP1</t>
  </si>
  <si>
    <t>CP2</t>
  </si>
  <si>
    <t>EXECUÇÃO DE IMPRIMAÇÃO COM MATERIAL ASFÁLTICO</t>
  </si>
  <si>
    <t>Referência</t>
  </si>
  <si>
    <t>Seviços</t>
  </si>
  <si>
    <t>Quant</t>
  </si>
  <si>
    <t>Custo R$</t>
  </si>
  <si>
    <t>Unit.</t>
  </si>
  <si>
    <t>SINAPI 09/2023</t>
  </si>
  <si>
    <t>SINAPI</t>
  </si>
  <si>
    <t>VASSOURA MECÂNICA REBOCÁVEL COM ESCOVA CILÍNDRICA, LARGURA ÚTIL DE VARRIMENTO DE 2,44 M (PRODUTIVO)</t>
  </si>
  <si>
    <t>h</t>
  </si>
  <si>
    <t>ANP 08/2023</t>
  </si>
  <si>
    <t>VASSOURA MECÂNICA REBOCÁVEL COM ESCOVA CILÍNDRICA, LARGURA ÚTIL DE VARRIMENTO DE 2,44 M (IMPRODUTIVO)</t>
  </si>
  <si>
    <t>ANP - OUT/23</t>
  </si>
  <si>
    <t>ICMS</t>
  </si>
  <si>
    <t>PIS</t>
  </si>
  <si>
    <t>COFINS</t>
  </si>
  <si>
    <t>ANP</t>
  </si>
  <si>
    <t>ASFALTO DILUIDO DE PETROLEO CM-30 (ACRESCIDO DE ICMS, PIS E COFINS)</t>
  </si>
  <si>
    <t>kg</t>
  </si>
  <si>
    <t>ESPARGIDOR DE ASFALTO PRESSURIZADO, TANQUE 6 M3 COM ISOLAÇÃO TÉRMICA, AQUECIDO COM 2 MAÇARICOS, COM BARRA ESPARGIDORA 3,60 M, MONTADO SOBRE CAMINHÃO TOCO, PBT 14.300 KG, POTÊNCIA 185 CV (PRODUTIVO)</t>
  </si>
  <si>
    <t>18% ICMS + 2% Fundo de Erradicação da Pobreza</t>
  </si>
  <si>
    <t>SERVENTE COM ENCARGOS COMPLEMENTARES</t>
  </si>
  <si>
    <t>Nota nº 05/2021 nº 01 do SINAPI</t>
  </si>
  <si>
    <t>TRATOR DE PNEUS, POTÊNCIA 85 CV, TRAÇÃO 4X4, PESO COM LASTRO DE 4.675 KG (PRODUTIVO)</t>
  </si>
  <si>
    <t>TRATOR DE PNEUS, POTÊNCIA 85 CV, TRAÇÃO 4X4, PESO COM LASTRO DE 4.675 KG</t>
  </si>
  <si>
    <t>ESPARGIDOR DE ASFALTO PRESSURIZADO, TANQUE 6 M3 COM ISOLAÇÃO TÉRMICA, AQUECIDO COM 2 MAÇARICOS, COM BARRA ESPARGIDORA 3,60 M, MONTADO SOBRE CAMINHÃO TOCO, PBT 14.300 KG, POTÊNCIA 185 CV (IMPRODUTIVO)</t>
  </si>
  <si>
    <t>TOTAL DA COMPOSIÇÃO</t>
  </si>
  <si>
    <t>CHP</t>
  </si>
  <si>
    <t>CHI</t>
  </si>
  <si>
    <t>EMULSAO ASFALTICA CATIONICA RR-2C PARA USO EM PAVIMENTACAO ASFALTICA (COLETADO CAIXA NA ANP ACRESCIDO DE ICMS)</t>
  </si>
  <si>
    <t>ESPARGIDOR DE ASFALTO PRESSURIZADO, TANQUE 6 M3 COM ISOLAÇÃO TÉRMICA, AQUECIDO COM 2 MAÇARICOS, COM BARRA ESPARGIDORA 3,60 M, MONTADO SOBRE CAMINHÃO TOCO, PBT 14.300 KG, POTÊNCIA 185 CV</t>
  </si>
  <si>
    <t>Coposições</t>
  </si>
  <si>
    <r>
      <t>ESCAVAÇÃO VERTICAL A CÉU ABERTO EM OBRAS DE INFRAESTRUTURA, INC. CARGA/DESCARGA E TRANSPORTE, EM SOLO DE 1</t>
    </r>
    <r>
      <rPr>
        <sz val="10"/>
        <color rgb="FF000000"/>
        <rFont val="Calibri"/>
        <family val="2"/>
      </rPr>
      <t>ª</t>
    </r>
    <r>
      <rPr>
        <sz val="10"/>
        <color rgb="FF000000"/>
        <rFont val="Arial"/>
        <family val="1"/>
      </rPr>
      <t xml:space="preserve"> CATEGORIA, C/ ESCAVADEIRA HIDRAULICA, DMT 2KM</t>
    </r>
  </si>
  <si>
    <t>DESMONTE DE MATERIAL DE 3ª CATEGORIA (BLOCOS DE ROCHA OU MATACOS) COM MARTELETE PNEUMÁTICO - EXCLUSIVE CARGA E TRANSPORTE</t>
  </si>
  <si>
    <r>
      <t>TRASPORTE DO RACHÃO COM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DMT 26KM (PEDREIRA MAIS PRÓXIMA) - Volume multiplicado pela DMT</t>
    </r>
  </si>
  <si>
    <r>
      <t>TRASPORTE BRITA GRADUADA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DMT 26KM (PEDREIRA MAIS PRÓXIMA) - Volume multiplicado prela DMT</t>
    </r>
  </si>
  <si>
    <r>
      <t>TRASPORTE DO RACHÃO COM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DMT 26KM (PEDREIRA MAIS PRÁXIMA) - Volume multiplicado pela DMT</t>
    </r>
  </si>
  <si>
    <t>CARGA, MANOBRA E DESCARGA DE SOLOS E MATERIAIS GRaNULARES (3ª CATEGORIA) EM CMINHÃO BASCULANTE 14m³ - EMPOLMENTO 30%</t>
  </si>
  <si>
    <t>ESCAVAÇÃO MECANICA PAR ACERTO DE TALUDE, EM MATERIAL DE 2ª CATEGORIA, C/ ESCAVADEIRA HIDRAULICA, INC. CARGA, DESCARGA E TRANSPORTE, DTM ATÉ 200M</t>
  </si>
  <si>
    <r>
      <t>TRASPORTE COM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DTM 26KM (pedreira mais próxima) - Volume multiplicado pela DMT - Empolamento 30%</t>
    </r>
  </si>
  <si>
    <r>
      <t>TRASPORTE DO CBUQ COM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DTM 26KM (PEDREIRA MAIS PRÓXIMA) - Volume multiplicado pela DMT</t>
    </r>
  </si>
  <si>
    <r>
      <t>TRASPORTE DO MATERIAL ESCAVADO COM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DMT 2KM (BOTA FORA PRÓXIMO) - material de 2ª categoria - Volume multiplicado pela DMT</t>
    </r>
  </si>
  <si>
    <r>
      <t>TRASPORTE DO MATERIAL ESCAVADO COM CAMINHÃO BASCULANTE DE 14m</t>
    </r>
    <r>
      <rPr>
        <sz val="10"/>
        <color rgb="FF000000"/>
        <rFont val="Calibri"/>
        <family val="2"/>
      </rPr>
      <t>³</t>
    </r>
    <r>
      <rPr>
        <sz val="10"/>
        <color rgb="FF000000"/>
        <rFont val="Arial"/>
        <family val="1"/>
      </rPr>
      <t>, EM VIA URBANA PAVIMENTADA, DMT 2KM (BOTA FORA PRÓXIMO) - Volume multiplicado pela DMT - Material de 3ª Categoria</t>
    </r>
  </si>
  <si>
    <t>TUBO DE CONCRETO ARMADO - PA1 - PARA REDES COLETORAS DE ESGOTO PLUVIAL, DN 400mm, JUNTA ELÁSTICA, INSTALADO EM LOCAL COM BAIXO NÍVEL DE INTERFERÊNCIA - FORNECIMENTO E ASSENTAMENTO</t>
  </si>
  <si>
    <t>TUBO DE CONCRETO PARA REDE DE COLETA DE ÁGUAS PLUVIAIS, DIAMENTRO 800mm PA2, FORNECIMENTO E ASSENTAMENTO</t>
  </si>
  <si>
    <t>m³</t>
  </si>
  <si>
    <t>FORNECIMENTO E IPLANTAÇÃO DE PLACA DE REGULAMENTAÇÃO EM AÇO, d=60cm, R-7, PROIBIDO ULTRAPASSAR</t>
  </si>
  <si>
    <t>PINTURA DE EIXO VIÁRIO E BORDAS, COM TINTA RETROREFLETIVA, EIXO SIMPLES COM 15cm DE LARGURA E BORDAS COM 12cm DE LARGURA</t>
  </si>
  <si>
    <t>Proprietario: Prefeitura Municipal de São Vendelino - RS</t>
  </si>
  <si>
    <t>1.4</t>
  </si>
  <si>
    <t>2.1.4</t>
  </si>
  <si>
    <t>2.1.5</t>
  </si>
  <si>
    <t>2.1.6</t>
  </si>
  <si>
    <t>2.1.7</t>
  </si>
  <si>
    <t>4.12</t>
  </si>
  <si>
    <t>Obra: Pavimentação Asfáltica Morro Carrard - Vale Suíço</t>
  </si>
  <si>
    <t>End. Morro Carrard - Vale Suíço, Interior, São Vendelino - RS</t>
  </si>
  <si>
    <t>Obra: Pavimentação asfaltica MORRO CARRARD</t>
  </si>
  <si>
    <t xml:space="preserve">ATERRO DE GREIDE, EXECUÇÃO E COMPACTAÇÃO DE BASE OU SUB BASE DE PEDRA RACHÃO - EXCLUSIVE CARGA E TRASPORTE - Deslocamento de eixo para lado esquerdo </t>
  </si>
  <si>
    <r>
      <t xml:space="preserve">ALA PARA BOCA DE BUEIRO </t>
    </r>
    <r>
      <rPr>
        <sz val="10"/>
        <color rgb="FF000000"/>
        <rFont val="Arial"/>
        <family val="2"/>
      </rPr>
      <t>ø</t>
    </r>
    <r>
      <rPr>
        <sz val="10"/>
        <color rgb="FF000000"/>
        <rFont val="Arial"/>
        <family val="1"/>
      </rPr>
      <t xml:space="preserve"> 800 - ALVENARIA DE EMBASAMENTO COM BLOCOS ESTRUTURAIS DE CONCRETO MACIÇOS, ASSENTADO COM ARGAMASSA PROEPARO EM BETONEIRA - 220X100X25 - 2 UNIDADES</t>
    </r>
  </si>
  <si>
    <t>São Vendelino - RS, 03 de junho de 2025.</t>
  </si>
  <si>
    <t>FORNECIMENTO E IPLANTAÇÃO DE PLACA DE REGULAMENTAÇÃO EM AÇO, R-1, SEXTAVADA, LADOS 35cm - PARE</t>
  </si>
  <si>
    <t>FORNECIMENTO E INSTALAÇÃO DE PLACA DE OBRA COM CHAPA GALVANIZADA E ESTRUTURA DE MADEIRA - PADRÃO GOVERNO FEDERAL - 300X200</t>
  </si>
  <si>
    <t>End. Morro Carrard - Interior - RS</t>
  </si>
  <si>
    <t>Obra: Pavimentação Asfaltica Morro Carrard</t>
  </si>
  <si>
    <t>PLANILHA DE ORÇAMENTO RESUMO</t>
  </si>
  <si>
    <t>DESCRIÇÃO ATIVIDADE</t>
  </si>
  <si>
    <t>4.8</t>
  </si>
  <si>
    <t>4.10</t>
  </si>
  <si>
    <t>4.11</t>
  </si>
  <si>
    <t>5.3</t>
  </si>
  <si>
    <r>
      <t xml:space="preserve">TESTADA DE BUEIRO </t>
    </r>
    <r>
      <rPr>
        <sz val="10"/>
        <color rgb="FF000000"/>
        <rFont val="Arial"/>
        <family val="2"/>
      </rPr>
      <t>ø</t>
    </r>
    <r>
      <rPr>
        <sz val="10"/>
        <color rgb="FF000000"/>
        <rFont val="Arial"/>
        <family val="1"/>
      </rPr>
      <t xml:space="preserve"> 400 - ALVENARIA DE EMBASAMENTO COM BLOCOS ESTRUTURAIS DE CONCRETO MACIÇOS, ASSENTADO COM ARGAMASSA PROEPARO EM BETONEIRA - 60X60X25 - 4 UNIDADES</t>
    </r>
  </si>
  <si>
    <r>
      <t>Área a ser pavimentada:[m</t>
    </r>
    <r>
      <rPr>
        <sz val="11"/>
        <rFont val="Calibri"/>
        <family val="2"/>
      </rPr>
      <t>²</t>
    </r>
    <r>
      <rPr>
        <sz val="11"/>
        <rFont val="Arial"/>
        <family val="1"/>
      </rPr>
      <t>]</t>
    </r>
  </si>
  <si>
    <t>Extensão: [m]</t>
  </si>
  <si>
    <t>End. Interior, São Vendelino-RS</t>
  </si>
  <si>
    <t>Planilha DE MEMÓRIA DE CÁLCULO</t>
  </si>
  <si>
    <t>Marcação das larguras e estacas = 6h, Conformação das alturas da terraplenagem e inclinações trasversais = 4h</t>
  </si>
  <si>
    <t>FORNECIMENTO E INSTALAÇÃO DE PLACA DE OBRA COM CHAPA GALVANIZADA E ESTRUTURA DE MADEIRA - PADRÃO GOPVERNO FEDERAL - 300X200</t>
  </si>
  <si>
    <t>Placa de obra Padrão Governo Federal 3m de largura por 2m de altura, em chapa de aço galvanizada, fixa em estrutura de madeira, pilares de madeira</t>
  </si>
  <si>
    <t>COMPRIMENTO * 1,5m * 1,5m (LIMPEZA DE 1,5m DE LARGURA NOS 2 LADOS DA VIA)</t>
  </si>
  <si>
    <t>Retirado da Planta ST 01/01, Planilha de Corte e Aterro. Volume de Corte de Material de 1ª Categoria conforme levantamento técnico in loco. 70% do volume total a ser escavado</t>
  </si>
  <si>
    <t>Retirado da Planta ST 01/01, Planilha de Corte e Aterro. Volume de Corte de Material de 1ª Categoria conforme levantamento técnico in loco. 25% do volume total a ser escavado</t>
  </si>
  <si>
    <t>Retirado da Planta ST 01/01, Planilha de Corte e Aterro. Volume de Corte de Material de 1ª Categoria conforme levantamento técnico in loco. 5% do volume total a ser escavado</t>
  </si>
  <si>
    <t>Carga, Manobra e Descarga, esses itens não estão incluidos no desmonte de material de 3ª Categoria. Volume da célula acima + 30% de Empolamento</t>
  </si>
  <si>
    <t>Espalhamento, Volume dos itens 2.1.1 + 2.1.2 + 2.1.3</t>
  </si>
  <si>
    <t>REMOÇÃO DE SOLOS INADEQUADOS / REFORÇOO DO SUBLEITO</t>
  </si>
  <si>
    <t>Extensão da via * 1,5m * 0,50 * 2 - remoção de solos inadequados conforme Planta seção Tipo de Pavimentação STP 01/01</t>
  </si>
  <si>
    <t>Volume de escavação de solos inadequados + 30% Empolamento</t>
  </si>
  <si>
    <t>Reaterro do volume de material removido de solos inadequados, ítem 2.1.1</t>
  </si>
  <si>
    <t>Volume de aterro constante necessário para deslocamento do eixo para o lado esquerdo da via</t>
  </si>
  <si>
    <t>Extensão da via * 7,96 (Planta STP - Regularização) +  35,50 (Encaixe da rua)</t>
  </si>
  <si>
    <t>Extensão da Via * 0,17m (espessira do rachão) * 7,71 (largura da faixa do raçhão = 7,71) + 35,5 * 0,17 (Encaixe da Rua)</t>
  </si>
  <si>
    <t>Extensão da Via * 0,15m (espessura base de brita graduada) * 7,23 (largura da faixa da brita graduada = 7,23) + 35,5,00*0,15 (Encaixe Rua)</t>
  </si>
  <si>
    <t>Extensão da pavimentação * 7,m (imprimação, Planta STP 01/01) + 35,5m² (Encaixe Rua)</t>
  </si>
  <si>
    <t>Extensão da pavimentação * 6,5m (Pintura de ligação, Planta STP 01/01) + 35,65 (Encaixe Rua)</t>
  </si>
  <si>
    <t xml:space="preserve">Trasporte do material da linha acima. -  Volume do material multiplicado por 26 (DMT) </t>
  </si>
  <si>
    <t>Levantamento obtido do Projeto de Drenagem</t>
  </si>
  <si>
    <t>Volume do ítem 4.3, linha acima + 30% de empolamento</t>
  </si>
  <si>
    <t>Conforme Projeto Drenagem, Prancha DRE-01/01</t>
  </si>
  <si>
    <t>0,60 X 0,60 X 0,25 X 4- Comprimento * altura * espessura * 4 unidades</t>
  </si>
  <si>
    <t>[0,60X1,0 (aba 1) + 1,0X1,0 (central encaixe tubo) + 0,60X01,0 (aba 2)] * 0,25 (espessura da parede) * 2 unidades</t>
  </si>
  <si>
    <t>Somatório dos Volumes dos itens 4.1 + 4.2 + 4.3</t>
  </si>
  <si>
    <t>Levantamento obtido do Projeto de Sinalização - Prancha SIN - 01/01 - 1 Placa de PARE</t>
  </si>
  <si>
    <t>Levantamento obtido do Projeto de Sinalização - Prancha SIN - 01/01 - 1 Placa de PROIBIDO ULTRAPASSAR</t>
  </si>
  <si>
    <t>Levantamento obtido do Projeto de Sinalização - Prancha SIN - 01/01 - 2 Placas</t>
  </si>
  <si>
    <t>Planilha de Memória de Cálculo</t>
  </si>
  <si>
    <t>B.D.I Diferenciado</t>
  </si>
  <si>
    <t>End. Morro Carrard  - São Vendelino, Morro Carrard</t>
  </si>
  <si>
    <t>OBS.:</t>
  </si>
  <si>
    <t>B.D.I. DIFERENCIADO. De acordo com Isntrução Normativa 062/DNIT Art. 3º, §1º, deve ser aplicado B.D.I. Difertenciado</t>
  </si>
  <si>
    <t>nos produtos relacionados a aquisição e transporte de materiais betuminosos, com isso o B.D.I. diferenciado foi aplicado</t>
  </si>
  <si>
    <t>Cod. SICRO/SINAPI</t>
  </si>
  <si>
    <t>SINAPI 90781</t>
  </si>
  <si>
    <t>SINAPI 88253</t>
  </si>
  <si>
    <t>SICRO 5213424</t>
  </si>
  <si>
    <t>SICRO 5502985</t>
  </si>
  <si>
    <t>SICRO 5501875</t>
  </si>
  <si>
    <t>ESCAVAÇÃO, CARGA E TRASPORTE DE MATERIAL DE 1ª CATEGORIA. DMT DE 50 A 200m. CARRINHO DE SERVIÇO EM LEITO NATURAL - COM CARREGADEIRA E CAMINHÃO BASCULANTE DE 14m³</t>
  </si>
  <si>
    <t>SICRO 5502377</t>
  </si>
  <si>
    <t>ESCAVAÇÃO, CARGA E TRASPORTE DE MATERIAL DE 2ª CATEGORIA. DMT DE 50 A 200m. CARRINHO DE SERVIÇO EM LEITO NATURAL - COM CARREGADEIRA E CAMINHÃO BASCULANTE DE 14m³</t>
  </si>
  <si>
    <t>SICRO 5500991</t>
  </si>
  <si>
    <t>DESMONTE DE BLOCOS DE ROCHA COM MARTELETE PNEIMÁTICO</t>
  </si>
  <si>
    <t>SICRO 5915470</t>
  </si>
  <si>
    <t>CARGA, MANOBRA E DESCARGA DE AGREGADOS OU SOLOS EM CAMINHÃO DE 6m³ - CARGA COM ESCAVADEIRA DE 1,56m³ E DESCARGA LIVRE</t>
  </si>
  <si>
    <t>SICRO 5914374</t>
  </si>
  <si>
    <t>T * 2KM</t>
  </si>
  <si>
    <t>t * 2KM</t>
  </si>
  <si>
    <t>Ítem 2.1.2, está incluso trasporte até DMT de 200m, Estima-se que conseguiremos local para Bota Fora a uma DMT de no máximo 2km. Volume do material = Volume do ítem 2.1.2 + 30% de Empolamento * 2 (DMT) * 1,6 (massa específica material escavado)</t>
  </si>
  <si>
    <t>Ítem 2.1.3, não está incluso trasporte. Estima-se que conseguiremos local para Bota Fora a uma DMT de no máximo 2km. Volume do material = Volume do ítem 2.1.3 + 30% de Empolamento * 2 (DMT) * 1,6 (massa específica material escavado)</t>
  </si>
  <si>
    <t>Trasporte do material da linha acima + 30% de Empolamento. - Volume do material multiplicado por 26 (DMT) * 1,6 (massa específica material escavado)</t>
  </si>
  <si>
    <t>t * 26KM</t>
  </si>
  <si>
    <t>Volume do ítem 4.2,  + 30% de empolamento. Volume multiplicado por 2 (DMT) * 1,6 (massa específica material escavado)</t>
  </si>
  <si>
    <t>Volume do ítem 4.3,  + 30% de empolamento. Volume multiplicado por 2 (DMT) * 1,6 (massa específica material escavado)</t>
  </si>
  <si>
    <t>SICRO 4413942</t>
  </si>
  <si>
    <t>SICRO 4011279</t>
  </si>
  <si>
    <t>REATERRO DE MATERIAL REMOVIDO, BASE OU SUB-BASE DE MACADAME SECO COM BRITA COMERCIAL - COMPACTADO 100% PROCTOR NORMAL</t>
  </si>
  <si>
    <t xml:space="preserve">ATERRO DE GREIDE, BASE OU SUB-BASE DE MACADAME SECO COM BRITA COMERCIAL - COMPACTADO 100% PROCTOR NORMAL - Deslocamento de eixo para lado esquerdo </t>
  </si>
  <si>
    <t>SICRO 4011209</t>
  </si>
  <si>
    <t>REGULARIZAÇÃO DO SUB-LEITO - - 100% PROCTORINTERMEDIÁRIO</t>
  </si>
  <si>
    <t>SUB BASE RACHÃO, BASE OU SUB-BASE DE MACADAME SECO COM BRITA COMERCIAL - COMPACTADO 100% PROCTOR NORMAL - E=17cm</t>
  </si>
  <si>
    <t>BASE DE BRITA GRADUADA, COM BRITA COMERCIAL - 100% PROCTOR MODIFICADO, E=15cm, EXCLUSIVE TRANSPORTE</t>
  </si>
  <si>
    <t>SICRO 4011276</t>
  </si>
  <si>
    <t>SICRO 4011351</t>
  </si>
  <si>
    <t>SICRO 4011353</t>
  </si>
  <si>
    <t xml:space="preserve">t  </t>
  </si>
  <si>
    <t>CONCRETO BETUMINOSO USINADO A QUENTE (CBUQ), CAP 50/70, E=5cm, EXCLUSIVE TRSPORTE - DENSIDADE 2,6t/m³</t>
  </si>
  <si>
    <t>Extensão da pavimentação * 6,5m (Pintura de ligação, Planta STP 01/01) * 0,05 (espessura do CBUQ) + 35,50 * 0,05 (Encaixe Rua) * 2,6 (DENSIDADE)</t>
  </si>
  <si>
    <t>SICRO 4011463</t>
  </si>
  <si>
    <t>TUBO DE CONCRETO ARMADO - PA2 - PARA REDES COLETORAS DE ESGOTO PLUVIAL, DN 400mm, JUNTA ELÁSTICA, INSTALADO EM LOCAL COM BAIXO NÍVEL DE INTERFERÊNCIA - FORNECIMENTO E ASSENTAMENTO</t>
  </si>
  <si>
    <t>SICRO 804015</t>
  </si>
  <si>
    <t>SICRO 804031</t>
  </si>
  <si>
    <t>SICRO 804061</t>
  </si>
  <si>
    <r>
      <t xml:space="preserve">TESTADA DE BUEIRO </t>
    </r>
    <r>
      <rPr>
        <sz val="10"/>
        <color rgb="FF000000"/>
        <rFont val="Arial"/>
        <family val="2"/>
      </rPr>
      <t>ø</t>
    </r>
    <r>
      <rPr>
        <sz val="10"/>
        <color rgb="FF000000"/>
        <rFont val="Arial"/>
        <family val="1"/>
      </rPr>
      <t xml:space="preserve"> 400 - ALVENARIA DE EMBASAMENTO COM BLOCOS ESTRUTURAIS DE CONCRETO MACIÇOS, ASSENTADO COM ARGAMASSA PROEPARO EM BETONEIRA -  - 4 UNIDADES</t>
    </r>
  </si>
  <si>
    <t>UNID.</t>
  </si>
  <si>
    <t>SICRO 804385</t>
  </si>
  <si>
    <t>SICRO 4815671</t>
  </si>
  <si>
    <t>SICRO - OUTUBRO/2025</t>
  </si>
  <si>
    <t>São Vendelino - RS, 08 de JANEIRO de 2026.</t>
  </si>
  <si>
    <t>SICRO 5213401</t>
  </si>
  <si>
    <t>Extensão da via * 2 * 0,12 (2 BORDOS) + Extensão * 0,15</t>
  </si>
  <si>
    <t>São Vendelino-RS, 08 de janeiro de 2026.</t>
  </si>
  <si>
    <t>São Vendelino - RS, 08 de janeiro de 2026.</t>
  </si>
  <si>
    <t>RR-2C - SEM BDI - ACRESCIDO DE ICMS + PIS + COFINS + 26,25% - BDI 15%</t>
  </si>
  <si>
    <t>3.10</t>
  </si>
  <si>
    <t>3.11</t>
  </si>
  <si>
    <t>3.12</t>
  </si>
  <si>
    <t>CM-30 - SEM BDI - ACRESCIDO DE ICMS + PIS + COFINS + 26,25% - BDI 15%</t>
  </si>
  <si>
    <t>CAP 50/70 - SEM BDI - ACRESCIDO DE ICMS + PIS + COFINS + 26,25% - BDI 15%</t>
  </si>
  <si>
    <t>t</t>
  </si>
  <si>
    <t>ANP AGO/2025</t>
  </si>
  <si>
    <t>aos itens 3.6, 3.7, 3.8, 3.9, 3,10, 3,11 E 3,12.</t>
  </si>
  <si>
    <t xml:space="preserve">Área da Pintura de Ligação * Taxa de consumo 0,6 L/m² </t>
  </si>
  <si>
    <t xml:space="preserve">Área da Imprimação * Taxa de consumo 1,2 L/m² </t>
  </si>
  <si>
    <t>Peso do CBUQ (3.8) * Teor de Betume 6%</t>
  </si>
  <si>
    <t xml:space="preserve">Largura do C.B.U.Q. = 6,5m </t>
  </si>
  <si>
    <t>Encaixe = 35,5m²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</si>
</sst>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5" formatCode="&quot;R$&quot;\ #,##0.00"/>
    <numFmt numFmtId="166" formatCode="#,##0.000"/>
    <numFmt numFmtId="167" formatCode="&quot;Área:&quot;\ #,##0.00\ &quot;m²&quot;"/>
    <numFmt numFmtId="168" formatCode="#,##0.0000"/>
    <numFmt numFmtId="169" formatCode="dd/mm/yy;@"/>
    <numFmt numFmtId="170" formatCode="0.00000"/>
  </numFmts>
  <fonts count="46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name val="Wingdings"/>
      <charset val="2"/>
    </font>
    <font>
      <sz val="10.5"/>
      <name val="AvantGarde Bk BT"/>
    </font>
    <font>
      <b/>
      <sz val="11"/>
      <name val="Arial"/>
      <family val="2"/>
    </font>
    <font>
      <sz val="11"/>
      <name val="Calibri"/>
      <family val="2"/>
    </font>
    <font>
      <sz val="11"/>
      <name val="Arial"/>
      <family val="1"/>
    </font>
    <font>
      <sz val="9"/>
      <name val="Arial"/>
      <family val="2"/>
    </font>
    <font>
      <sz val="9"/>
      <name val="Arial"/>
      <family val="1"/>
    </font>
    <font>
      <sz val="8"/>
      <name val="Arial"/>
      <family val="2"/>
    </font>
    <font>
      <sz val="11"/>
      <name val="Arial"/>
      <family val="2"/>
    </font>
    <font>
      <b/>
      <sz val="12"/>
      <name val="Calibri"/>
      <family val="2"/>
    </font>
    <font>
      <sz val="10"/>
      <name val="MS Sans Serif"/>
      <family val="2"/>
    </font>
    <font>
      <b/>
      <sz val="12"/>
      <name val="Arial Narrow"/>
      <family val="2"/>
    </font>
    <font>
      <sz val="10"/>
      <name val="MS Sans Serif"/>
      <family val="2"/>
    </font>
    <font>
      <b/>
      <sz val="12"/>
      <color indexed="8"/>
      <name val="Arial Narrow"/>
      <family val="2"/>
    </font>
    <font>
      <sz val="16"/>
      <name val="Arial Narrow"/>
      <family val="2"/>
    </font>
    <font>
      <b/>
      <sz val="16"/>
      <name val="Arial Narrow"/>
      <family val="2"/>
    </font>
    <font>
      <sz val="12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sz val="14"/>
      <name val="Arial"/>
      <family val="1"/>
    </font>
    <font>
      <b/>
      <sz val="8"/>
      <name val="Arial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rgb="FFCCCCCC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7">
    <xf numFmtId="0" fontId="0" fillId="0" borderId="0"/>
    <xf numFmtId="43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40" fontId="35" fillId="0" borderId="0" applyFont="0" applyFill="0" applyBorder="0" applyAlignment="0" applyProtection="0"/>
    <xf numFmtId="0" fontId="37" fillId="0" borderId="0" applyFont="0"/>
    <xf numFmtId="9" fontId="35" fillId="0" borderId="0" applyFont="0" applyFill="0" applyBorder="0" applyAlignment="0" applyProtection="0"/>
  </cellStyleXfs>
  <cellXfs count="283">
    <xf numFmtId="0" fontId="0" fillId="0" borderId="0" xfId="0"/>
    <xf numFmtId="0" fontId="15" fillId="16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center" vertical="top" wrapText="1"/>
    </xf>
    <xf numFmtId="0" fontId="13" fillId="14" borderId="0" xfId="0" applyFont="1" applyFill="1" applyAlignment="1">
      <alignment horizontal="right" vertical="top" wrapText="1"/>
    </xf>
    <xf numFmtId="0" fontId="0" fillId="0" borderId="0" xfId="0"/>
    <xf numFmtId="0" fontId="0" fillId="0" borderId="0" xfId="0"/>
    <xf numFmtId="4" fontId="13" fillId="14" borderId="0" xfId="0" applyNumberFormat="1" applyFont="1" applyFill="1" applyAlignment="1">
      <alignment horizontal="right" vertical="top" wrapText="1"/>
    </xf>
    <xf numFmtId="0" fontId="15" fillId="17" borderId="0" xfId="0" applyFont="1" applyFill="1" applyAlignment="1">
      <alignment vertical="top" wrapText="1"/>
    </xf>
    <xf numFmtId="0" fontId="0" fillId="0" borderId="0" xfId="0" applyAlignment="1"/>
    <xf numFmtId="0" fontId="0" fillId="0" borderId="2" xfId="0" applyBorder="1" applyAlignment="1"/>
    <xf numFmtId="0" fontId="0" fillId="0" borderId="0" xfId="0" applyFill="1"/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vertical="top" wrapText="1"/>
    </xf>
    <xf numFmtId="0" fontId="1" fillId="0" borderId="0" xfId="0" applyFont="1" applyFill="1" applyAlignment="1">
      <alignment horizontal="center" vertical="top" wrapText="1"/>
    </xf>
    <xf numFmtId="0" fontId="12" fillId="0" borderId="0" xfId="0" applyFont="1" applyFill="1" applyAlignment="1">
      <alignment horizontal="left" vertical="top" wrapText="1"/>
    </xf>
    <xf numFmtId="0" fontId="12" fillId="0" borderId="0" xfId="0" applyFont="1" applyFill="1" applyAlignment="1">
      <alignment vertical="top" wrapText="1"/>
    </xf>
    <xf numFmtId="10" fontId="12" fillId="0" borderId="0" xfId="0" applyNumberFormat="1" applyFont="1" applyFill="1" applyAlignment="1">
      <alignment horizontal="center" vertical="top" wrapText="1"/>
    </xf>
    <xf numFmtId="10" fontId="12" fillId="0" borderId="0" xfId="0" applyNumberFormat="1" applyFont="1" applyFill="1" applyAlignment="1">
      <alignment vertical="top" wrapText="1"/>
    </xf>
    <xf numFmtId="0" fontId="9" fillId="9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4" fontId="8" fillId="7" borderId="1" xfId="0" applyNumberFormat="1" applyFont="1" applyFill="1" applyBorder="1" applyAlignment="1">
      <alignment horizontal="right" vertical="top" wrapText="1"/>
    </xf>
    <xf numFmtId="164" fontId="18" fillId="8" borderId="1" xfId="0" applyNumberFormat="1" applyFont="1" applyFill="1" applyBorder="1" applyAlignment="1">
      <alignment horizontal="right" vertical="top" wrapText="1"/>
    </xf>
    <xf numFmtId="0" fontId="15" fillId="17" borderId="0" xfId="0" applyFont="1" applyFill="1" applyAlignment="1">
      <alignment horizontal="center" vertical="top" wrapText="1"/>
    </xf>
    <xf numFmtId="0" fontId="9" fillId="10" borderId="1" xfId="0" applyFont="1" applyFill="1" applyBorder="1" applyAlignment="1">
      <alignment horizontal="center" vertical="top" wrapText="1"/>
    </xf>
    <xf numFmtId="4" fontId="11" fillId="12" borderId="1" xfId="0" applyNumberFormat="1" applyFont="1" applyFill="1" applyBorder="1" applyAlignment="1">
      <alignment horizontal="right" vertical="top" wrapText="1"/>
    </xf>
    <xf numFmtId="164" fontId="17" fillId="8" borderId="1" xfId="0" applyNumberFormat="1" applyFont="1" applyFill="1" applyBorder="1" applyAlignment="1">
      <alignment horizontal="right" vertical="top" wrapText="1"/>
    </xf>
    <xf numFmtId="0" fontId="5" fillId="4" borderId="1" xfId="0" applyFont="1" applyFill="1" applyBorder="1" applyAlignment="1">
      <alignment horizontal="center" vertical="top" wrapText="1"/>
    </xf>
    <xf numFmtId="0" fontId="0" fillId="19" borderId="1" xfId="0" applyFill="1" applyBorder="1" applyAlignment="1">
      <alignment horizontal="center" vertical="center"/>
    </xf>
    <xf numFmtId="0" fontId="23" fillId="0" borderId="0" xfId="0" applyFont="1"/>
    <xf numFmtId="10" fontId="13" fillId="14" borderId="0" xfId="0" applyNumberFormat="1" applyFont="1" applyFill="1" applyAlignment="1">
      <alignment horizontal="right" vertical="top" wrapText="1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right" vertical="top" wrapText="1"/>
    </xf>
    <xf numFmtId="164" fontId="17" fillId="0" borderId="1" xfId="0" applyNumberFormat="1" applyFont="1" applyFill="1" applyBorder="1" applyAlignment="1">
      <alignment horizontal="right" vertical="top" wrapText="1"/>
    </xf>
    <xf numFmtId="0" fontId="0" fillId="21" borderId="1" xfId="0" applyFill="1" applyBorder="1" applyAlignment="1">
      <alignment horizontal="center" vertical="center"/>
    </xf>
    <xf numFmtId="0" fontId="9" fillId="21" borderId="1" xfId="0" applyFont="1" applyFill="1" applyBorder="1" applyAlignment="1">
      <alignment horizontal="left" vertical="top" wrapText="1"/>
    </xf>
    <xf numFmtId="0" fontId="9" fillId="21" borderId="1" xfId="0" applyFont="1" applyFill="1" applyBorder="1" applyAlignment="1">
      <alignment horizontal="center" vertical="top" wrapText="1"/>
    </xf>
    <xf numFmtId="4" fontId="11" fillId="21" borderId="1" xfId="0" applyNumberFormat="1" applyFont="1" applyFill="1" applyBorder="1" applyAlignment="1">
      <alignment horizontal="right" vertical="top" wrapText="1"/>
    </xf>
    <xf numFmtId="164" fontId="17" fillId="21" borderId="1" xfId="0" applyNumberFormat="1" applyFont="1" applyFill="1" applyBorder="1" applyAlignment="1">
      <alignment horizontal="right" vertical="top" wrapText="1"/>
    </xf>
    <xf numFmtId="0" fontId="27" fillId="0" borderId="0" xfId="0" applyFont="1" applyFill="1"/>
    <xf numFmtId="0" fontId="0" fillId="0" borderId="0" xfId="0" applyFill="1" applyAlignment="1">
      <alignment horizontal="right"/>
    </xf>
    <xf numFmtId="0" fontId="2" fillId="0" borderId="4" xfId="0" applyFont="1" applyFill="1" applyBorder="1" applyAlignment="1">
      <alignment wrapText="1"/>
    </xf>
    <xf numFmtId="0" fontId="0" fillId="0" borderId="4" xfId="0" applyFill="1" applyBorder="1" applyAlignment="1"/>
    <xf numFmtId="0" fontId="0" fillId="0" borderId="0" xfId="0" applyAlignment="1">
      <alignment horizontal="center"/>
    </xf>
    <xf numFmtId="0" fontId="15" fillId="17" borderId="0" xfId="0" applyFont="1" applyFill="1" applyAlignment="1">
      <alignment horizontal="left" vertical="top" wrapText="1"/>
    </xf>
    <xf numFmtId="4" fontId="0" fillId="0" borderId="0" xfId="0" applyNumberFormat="1" applyFill="1"/>
    <xf numFmtId="0" fontId="0" fillId="0" borderId="5" xfId="0" applyBorder="1"/>
    <xf numFmtId="0" fontId="0" fillId="0" borderId="8" xfId="0" applyBorder="1"/>
    <xf numFmtId="0" fontId="0" fillId="23" borderId="9" xfId="0" applyFill="1" applyBorder="1" applyAlignment="1">
      <alignment horizontal="center"/>
    </xf>
    <xf numFmtId="4" fontId="0" fillId="23" borderId="9" xfId="0" applyNumberFormat="1" applyFill="1" applyBorder="1"/>
    <xf numFmtId="0" fontId="0" fillId="22" borderId="9" xfId="0" applyFill="1" applyBorder="1" applyAlignment="1">
      <alignment horizontal="center"/>
    </xf>
    <xf numFmtId="4" fontId="0" fillId="22" borderId="9" xfId="0" applyNumberFormat="1" applyFill="1" applyBorder="1"/>
    <xf numFmtId="0" fontId="0" fillId="23" borderId="5" xfId="0" applyFill="1" applyBorder="1"/>
    <xf numFmtId="165" fontId="0" fillId="23" borderId="12" xfId="0" applyNumberFormat="1" applyFill="1" applyBorder="1"/>
    <xf numFmtId="10" fontId="0" fillId="0" borderId="13" xfId="0" applyNumberFormat="1" applyBorder="1"/>
    <xf numFmtId="0" fontId="30" fillId="0" borderId="16" xfId="0" applyFont="1" applyFill="1" applyBorder="1" applyAlignment="1">
      <alignment horizontal="left"/>
    </xf>
    <xf numFmtId="0" fontId="30" fillId="0" borderId="0" xfId="0" applyFont="1" applyFill="1" applyBorder="1" applyAlignment="1">
      <alignment horizontal="left"/>
    </xf>
    <xf numFmtId="0" fontId="19" fillId="0" borderId="3" xfId="0" applyFont="1" applyFill="1" applyBorder="1" applyAlignment="1"/>
    <xf numFmtId="0" fontId="23" fillId="0" borderId="17" xfId="0" applyFont="1" applyBorder="1"/>
    <xf numFmtId="0" fontId="23" fillId="0" borderId="2" xfId="0" applyFont="1" applyFill="1" applyBorder="1" applyAlignment="1"/>
    <xf numFmtId="0" fontId="19" fillId="0" borderId="2" xfId="0" applyFont="1" applyFill="1" applyBorder="1" applyAlignment="1"/>
    <xf numFmtId="14" fontId="19" fillId="0" borderId="2" xfId="0" applyNumberFormat="1" applyFont="1" applyFill="1" applyBorder="1" applyAlignment="1"/>
    <xf numFmtId="0" fontId="24" fillId="0" borderId="18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24" fillId="0" borderId="14" xfId="0" applyFont="1" applyBorder="1" applyAlignment="1"/>
    <xf numFmtId="0" fontId="24" fillId="0" borderId="20" xfId="0" applyFont="1" applyBorder="1" applyAlignment="1">
      <alignment horizontal="center"/>
    </xf>
    <xf numFmtId="0" fontId="24" fillId="0" borderId="15" xfId="0" applyFont="1" applyBorder="1" applyAlignment="1">
      <alignment horizontal="center"/>
    </xf>
    <xf numFmtId="44" fontId="0" fillId="23" borderId="9" xfId="2" applyFont="1" applyFill="1" applyBorder="1"/>
    <xf numFmtId="43" fontId="31" fillId="23" borderId="23" xfId="1" applyFont="1" applyFill="1" applyBorder="1" applyAlignment="1">
      <alignment horizontal="center"/>
    </xf>
    <xf numFmtId="43" fontId="31" fillId="23" borderId="11" xfId="1" applyFont="1" applyFill="1" applyBorder="1" applyAlignment="1">
      <alignment horizontal="center"/>
    </xf>
    <xf numFmtId="10" fontId="0" fillId="23" borderId="13" xfId="0" applyNumberFormat="1" applyFill="1" applyBorder="1"/>
    <xf numFmtId="9" fontId="31" fillId="23" borderId="26" xfId="3" applyFont="1" applyFill="1" applyBorder="1" applyAlignment="1">
      <alignment horizontal="center"/>
    </xf>
    <xf numFmtId="9" fontId="31" fillId="23" borderId="25" xfId="3" applyFont="1" applyFill="1" applyBorder="1" applyAlignment="1">
      <alignment horizontal="center"/>
    </xf>
    <xf numFmtId="44" fontId="0" fillId="0" borderId="9" xfId="2" applyFont="1" applyBorder="1"/>
    <xf numFmtId="43" fontId="31" fillId="0" borderId="23" xfId="1" applyFont="1" applyBorder="1" applyAlignment="1">
      <alignment horizontal="center"/>
    </xf>
    <xf numFmtId="43" fontId="31" fillId="0" borderId="11" xfId="1" applyFont="1" applyBorder="1" applyAlignment="1">
      <alignment horizontal="center"/>
    </xf>
    <xf numFmtId="9" fontId="31" fillId="0" borderId="26" xfId="3" applyFont="1" applyBorder="1" applyAlignment="1">
      <alignment horizontal="center"/>
    </xf>
    <xf numFmtId="9" fontId="31" fillId="0" borderId="25" xfId="3" applyFont="1" applyBorder="1" applyAlignment="1">
      <alignment horizontal="center"/>
    </xf>
    <xf numFmtId="0" fontId="23" fillId="23" borderId="10" xfId="0" applyFont="1" applyFill="1" applyBorder="1"/>
    <xf numFmtId="0" fontId="0" fillId="23" borderId="0" xfId="0" applyFill="1" applyBorder="1"/>
    <xf numFmtId="44" fontId="0" fillId="23" borderId="27" xfId="2" applyFont="1" applyFill="1" applyBorder="1"/>
    <xf numFmtId="44" fontId="31" fillId="23" borderId="28" xfId="2" applyFont="1" applyFill="1" applyBorder="1"/>
    <xf numFmtId="0" fontId="0" fillId="23" borderId="17" xfId="0" applyFill="1" applyBorder="1"/>
    <xf numFmtId="0" fontId="0" fillId="23" borderId="2" xfId="0" applyFill="1" applyBorder="1"/>
    <xf numFmtId="10" fontId="0" fillId="23" borderId="8" xfId="0" applyNumberFormat="1" applyFill="1" applyBorder="1"/>
    <xf numFmtId="10" fontId="31" fillId="23" borderId="17" xfId="0" applyNumberFormat="1" applyFont="1" applyFill="1" applyBorder="1" applyAlignment="1">
      <alignment horizontal="center"/>
    </xf>
    <xf numFmtId="10" fontId="31" fillId="23" borderId="29" xfId="0" applyNumberFormat="1" applyFont="1" applyFill="1" applyBorder="1" applyAlignment="1">
      <alignment horizontal="center"/>
    </xf>
    <xf numFmtId="0" fontId="0" fillId="0" borderId="0" xfId="0" applyBorder="1"/>
    <xf numFmtId="0" fontId="32" fillId="0" borderId="0" xfId="0" applyFont="1"/>
    <xf numFmtId="0" fontId="3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5" fillId="0" borderId="0" xfId="0" applyFont="1" applyAlignment="1">
      <alignment vertical="center"/>
    </xf>
    <xf numFmtId="0" fontId="26" fillId="0" borderId="0" xfId="0" applyFont="1" applyAlignment="1"/>
    <xf numFmtId="0" fontId="34" fillId="0" borderId="0" xfId="0" applyFont="1" applyAlignment="1">
      <alignment vertical="center"/>
    </xf>
    <xf numFmtId="0" fontId="34" fillId="0" borderId="0" xfId="0" applyFont="1" applyBorder="1" applyAlignment="1">
      <alignment vertical="center"/>
    </xf>
    <xf numFmtId="0" fontId="26" fillId="0" borderId="0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9" fillId="19" borderId="1" xfId="0" applyFont="1" applyFill="1" applyBorder="1" applyAlignment="1">
      <alignment horizontal="center" vertical="top" wrapText="1"/>
    </xf>
    <xf numFmtId="4" fontId="11" fillId="19" borderId="1" xfId="0" applyNumberFormat="1" applyFont="1" applyFill="1" applyBorder="1" applyAlignment="1">
      <alignment horizontal="right" vertical="top" wrapText="1"/>
    </xf>
    <xf numFmtId="0" fontId="18" fillId="19" borderId="1" xfId="0" applyFont="1" applyFill="1" applyBorder="1" applyAlignment="1">
      <alignment horizontal="left" vertical="top" wrapText="1"/>
    </xf>
    <xf numFmtId="4" fontId="10" fillId="0" borderId="1" xfId="0" applyNumberFormat="1" applyFont="1" applyFill="1" applyBorder="1" applyAlignment="1">
      <alignment horizontal="right" vertical="top" wrapText="1"/>
    </xf>
    <xf numFmtId="4" fontId="18" fillId="19" borderId="1" xfId="0" applyNumberFormat="1" applyFont="1" applyFill="1" applyBorder="1" applyAlignment="1">
      <alignment horizontal="right" vertical="top" wrapText="1"/>
    </xf>
    <xf numFmtId="0" fontId="33" fillId="0" borderId="0" xfId="0" applyFont="1" applyBorder="1" applyAlignment="1"/>
    <xf numFmtId="0" fontId="33" fillId="0" borderId="0" xfId="0" applyFont="1" applyAlignme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6" fillId="0" borderId="0" xfId="0" applyFont="1" applyBorder="1" applyAlignment="1">
      <alignment horizontal="center"/>
    </xf>
    <xf numFmtId="166" fontId="0" fillId="0" borderId="0" xfId="0" applyNumberFormat="1" applyFill="1"/>
    <xf numFmtId="4" fontId="0" fillId="0" borderId="0" xfId="0" applyNumberFormat="1"/>
    <xf numFmtId="0" fontId="34" fillId="0" borderId="0" xfId="0" applyFont="1" applyBorder="1" applyAlignment="1">
      <alignment horizontal="center" vertical="center"/>
    </xf>
    <xf numFmtId="4" fontId="36" fillId="24" borderId="30" xfId="4" applyNumberFormat="1" applyFont="1" applyFill="1" applyBorder="1" applyAlignment="1">
      <alignment horizontal="left" vertical="center"/>
    </xf>
    <xf numFmtId="167" fontId="36" fillId="24" borderId="31" xfId="5" applyNumberFormat="1" applyFont="1" applyFill="1" applyBorder="1" applyAlignment="1">
      <alignment horizontal="left" vertical="center"/>
    </xf>
    <xf numFmtId="4" fontId="36" fillId="24" borderId="31" xfId="4" applyNumberFormat="1" applyFont="1" applyFill="1" applyBorder="1" applyAlignment="1">
      <alignment horizontal="center" vertical="center"/>
    </xf>
    <xf numFmtId="168" fontId="36" fillId="24" borderId="31" xfId="4" applyNumberFormat="1" applyFont="1" applyFill="1" applyBorder="1" applyAlignment="1">
      <alignment horizontal="center" vertical="center"/>
    </xf>
    <xf numFmtId="168" fontId="36" fillId="24" borderId="31" xfId="4" applyNumberFormat="1" applyFont="1" applyFill="1" applyBorder="1" applyAlignment="1">
      <alignment vertical="center"/>
    </xf>
    <xf numFmtId="169" fontId="38" fillId="24" borderId="32" xfId="5" applyNumberFormat="1" applyFont="1" applyFill="1" applyBorder="1" applyAlignment="1">
      <alignment horizontal="center" vertical="center"/>
    </xf>
    <xf numFmtId="0" fontId="39" fillId="0" borderId="0" xfId="5" applyFont="1" applyFill="1" applyAlignment="1">
      <alignment vertical="center"/>
    </xf>
    <xf numFmtId="0" fontId="37" fillId="0" borderId="0" xfId="5"/>
    <xf numFmtId="168" fontId="36" fillId="25" borderId="33" xfId="5" applyNumberFormat="1" applyFont="1" applyFill="1" applyBorder="1" applyAlignment="1">
      <alignment horizontal="center" vertical="center"/>
    </xf>
    <xf numFmtId="4" fontId="36" fillId="25" borderId="33" xfId="5" applyNumberFormat="1" applyFont="1" applyFill="1" applyBorder="1" applyAlignment="1">
      <alignment horizontal="center" vertical="center" wrapText="1"/>
    </xf>
    <xf numFmtId="169" fontId="40" fillId="0" borderId="0" xfId="5" applyNumberFormat="1" applyFont="1" applyFill="1" applyBorder="1" applyAlignment="1">
      <alignment vertical="center"/>
    </xf>
    <xf numFmtId="0" fontId="41" fillId="0" borderId="33" xfId="5" applyFont="1" applyBorder="1" applyAlignment="1">
      <alignment horizontal="center" vertical="center"/>
    </xf>
    <xf numFmtId="0" fontId="41" fillId="25" borderId="33" xfId="5" applyFont="1" applyFill="1" applyBorder="1" applyAlignment="1">
      <alignment horizontal="center" vertical="center"/>
    </xf>
    <xf numFmtId="0" fontId="41" fillId="25" borderId="33" xfId="5" applyFont="1" applyFill="1" applyBorder="1" applyAlignment="1">
      <alignment vertical="center" wrapText="1"/>
    </xf>
    <xf numFmtId="4" fontId="41" fillId="25" borderId="33" xfId="4" applyNumberFormat="1" applyFont="1" applyFill="1" applyBorder="1" applyAlignment="1">
      <alignment horizontal="center" vertical="center"/>
    </xf>
    <xf numFmtId="168" fontId="41" fillId="25" borderId="33" xfId="4" applyNumberFormat="1" applyFont="1" applyFill="1" applyBorder="1" applyAlignment="1">
      <alignment horizontal="center" vertical="center"/>
    </xf>
    <xf numFmtId="168" fontId="41" fillId="25" borderId="33" xfId="5" applyNumberFormat="1" applyFont="1" applyFill="1" applyBorder="1" applyAlignment="1">
      <alignment vertical="center"/>
    </xf>
    <xf numFmtId="4" fontId="41" fillId="0" borderId="33" xfId="5" applyNumberFormat="1" applyFont="1" applyBorder="1" applyAlignment="1">
      <alignment horizontal="right" vertical="center"/>
    </xf>
    <xf numFmtId="0" fontId="42" fillId="25" borderId="0" xfId="5" applyFont="1" applyFill="1" applyAlignment="1">
      <alignment horizontal="center" vertical="center" wrapText="1"/>
    </xf>
    <xf numFmtId="0" fontId="42" fillId="25" borderId="0" xfId="5" applyFont="1" applyFill="1" applyAlignment="1">
      <alignment horizontal="center" vertical="center"/>
    </xf>
    <xf numFmtId="0" fontId="41" fillId="0" borderId="33" xfId="5" applyFont="1" applyFill="1" applyBorder="1" applyAlignment="1">
      <alignment horizontal="center" vertical="center"/>
    </xf>
    <xf numFmtId="0" fontId="41" fillId="0" borderId="33" xfId="5" applyFont="1" applyFill="1" applyBorder="1" applyAlignment="1">
      <alignment vertical="center" wrapText="1"/>
    </xf>
    <xf numFmtId="4" fontId="41" fillId="0" borderId="33" xfId="4" applyNumberFormat="1" applyFont="1" applyFill="1" applyBorder="1" applyAlignment="1">
      <alignment horizontal="center" vertical="center"/>
    </xf>
    <xf numFmtId="168" fontId="41" fillId="0" borderId="33" xfId="4" applyNumberFormat="1" applyFont="1" applyFill="1" applyBorder="1" applyAlignment="1">
      <alignment horizontal="center" vertical="center"/>
    </xf>
    <xf numFmtId="168" fontId="41" fillId="0" borderId="33" xfId="5" applyNumberFormat="1" applyFont="1" applyFill="1" applyBorder="1" applyAlignment="1">
      <alignment vertical="center"/>
    </xf>
    <xf numFmtId="4" fontId="41" fillId="0" borderId="33" xfId="5" applyNumberFormat="1" applyFont="1" applyFill="1" applyBorder="1" applyAlignment="1">
      <alignment horizontal="right" vertical="center"/>
    </xf>
    <xf numFmtId="170" fontId="43" fillId="0" borderId="33" xfId="5" applyNumberFormat="1" applyFont="1" applyFill="1" applyBorder="1" applyAlignment="1">
      <alignment horizontal="center" vertical="center"/>
    </xf>
    <xf numFmtId="10" fontId="43" fillId="0" borderId="0" xfId="6" applyNumberFormat="1" applyFont="1" applyFill="1" applyAlignment="1">
      <alignment horizontal="center" vertical="center"/>
    </xf>
    <xf numFmtId="10" fontId="43" fillId="0" borderId="0" xfId="5" applyNumberFormat="1" applyFont="1" applyFill="1" applyAlignment="1">
      <alignment vertical="center"/>
    </xf>
    <xf numFmtId="0" fontId="43" fillId="0" borderId="0" xfId="5" applyFont="1" applyAlignment="1">
      <alignment vertical="center"/>
    </xf>
    <xf numFmtId="0" fontId="41" fillId="0" borderId="33" xfId="5" applyFont="1" applyBorder="1" applyAlignment="1">
      <alignment vertical="center" wrapText="1"/>
    </xf>
    <xf numFmtId="168" fontId="41" fillId="0" borderId="33" xfId="5" applyNumberFormat="1" applyFont="1" applyBorder="1" applyAlignment="1">
      <alignment vertical="center"/>
    </xf>
    <xf numFmtId="168" fontId="41" fillId="0" borderId="33" xfId="4" applyNumberFormat="1" applyFont="1" applyFill="1" applyBorder="1" applyAlignment="1">
      <alignment vertical="center"/>
    </xf>
    <xf numFmtId="0" fontId="36" fillId="0" borderId="30" xfId="5" applyFont="1" applyBorder="1" applyAlignment="1">
      <alignment vertical="center"/>
    </xf>
    <xf numFmtId="0" fontId="36" fillId="0" borderId="31" xfId="5" applyFont="1" applyBorder="1" applyAlignment="1">
      <alignment vertical="center"/>
    </xf>
    <xf numFmtId="0" fontId="36" fillId="0" borderId="31" xfId="5" applyFont="1" applyBorder="1" applyAlignment="1">
      <alignment horizontal="center" vertical="center"/>
    </xf>
    <xf numFmtId="168" fontId="36" fillId="0" borderId="31" xfId="5" applyNumberFormat="1" applyFont="1" applyBorder="1" applyAlignment="1">
      <alignment vertical="center"/>
    </xf>
    <xf numFmtId="4" fontId="36" fillId="0" borderId="33" xfId="5" applyNumberFormat="1" applyFont="1" applyBorder="1" applyAlignment="1">
      <alignment vertical="center"/>
    </xf>
    <xf numFmtId="0" fontId="36" fillId="0" borderId="0" xfId="5" applyFont="1" applyFill="1" applyBorder="1" applyAlignment="1">
      <alignment horizontal="left" vertical="center"/>
    </xf>
    <xf numFmtId="168" fontId="36" fillId="0" borderId="0" xfId="5" applyNumberFormat="1" applyFont="1" applyFill="1" applyBorder="1" applyAlignment="1">
      <alignment horizontal="left" vertical="center"/>
    </xf>
    <xf numFmtId="4" fontId="36" fillId="0" borderId="0" xfId="5" applyNumberFormat="1" applyFont="1" applyFill="1" applyBorder="1" applyAlignment="1">
      <alignment vertical="center"/>
    </xf>
    <xf numFmtId="4" fontId="36" fillId="26" borderId="34" xfId="4" applyNumberFormat="1" applyFont="1" applyFill="1" applyBorder="1" applyAlignment="1">
      <alignment horizontal="left" vertical="center"/>
    </xf>
    <xf numFmtId="167" fontId="36" fillId="26" borderId="35" xfId="5" applyNumberFormat="1" applyFont="1" applyFill="1" applyBorder="1" applyAlignment="1">
      <alignment horizontal="left" vertical="center"/>
    </xf>
    <xf numFmtId="4" fontId="36" fillId="26" borderId="35" xfId="4" applyNumberFormat="1" applyFont="1" applyFill="1" applyBorder="1" applyAlignment="1">
      <alignment horizontal="center" vertical="center"/>
    </xf>
    <xf numFmtId="168" fontId="36" fillId="26" borderId="35" xfId="4" applyNumberFormat="1" applyFont="1" applyFill="1" applyBorder="1" applyAlignment="1">
      <alignment horizontal="center" vertical="center"/>
    </xf>
    <xf numFmtId="168" fontId="36" fillId="26" borderId="35" xfId="4" applyNumberFormat="1" applyFont="1" applyFill="1" applyBorder="1" applyAlignment="1">
      <alignment vertical="center"/>
    </xf>
    <xf numFmtId="169" fontId="38" fillId="26" borderId="36" xfId="5" applyNumberFormat="1" applyFont="1" applyFill="1" applyBorder="1" applyAlignment="1">
      <alignment horizontal="center" vertical="center"/>
    </xf>
    <xf numFmtId="0" fontId="43" fillId="25" borderId="0" xfId="5" applyFont="1" applyFill="1" applyAlignment="1">
      <alignment vertical="center"/>
    </xf>
    <xf numFmtId="4" fontId="40" fillId="0" borderId="0" xfId="4" applyNumberFormat="1" applyFont="1" applyFill="1" applyBorder="1" applyAlignment="1">
      <alignment vertical="center"/>
    </xf>
    <xf numFmtId="4" fontId="41" fillId="0" borderId="33" xfId="5" applyNumberFormat="1" applyFont="1" applyBorder="1" applyAlignment="1">
      <alignment vertical="center"/>
    </xf>
    <xf numFmtId="4" fontId="41" fillId="0" borderId="33" xfId="5" applyNumberFormat="1" applyFont="1" applyFill="1" applyBorder="1" applyAlignment="1">
      <alignment vertical="center"/>
    </xf>
    <xf numFmtId="170" fontId="43" fillId="0" borderId="32" xfId="5" applyNumberFormat="1" applyFont="1" applyFill="1" applyBorder="1" applyAlignment="1">
      <alignment horizontal="center" vertical="center"/>
    </xf>
    <xf numFmtId="0" fontId="36" fillId="25" borderId="30" xfId="5" applyFont="1" applyFill="1" applyBorder="1" applyAlignment="1">
      <alignment vertical="center"/>
    </xf>
    <xf numFmtId="0" fontId="36" fillId="25" borderId="31" xfId="5" applyFont="1" applyFill="1" applyBorder="1" applyAlignment="1">
      <alignment vertical="center"/>
    </xf>
    <xf numFmtId="0" fontId="36" fillId="25" borderId="31" xfId="5" applyFont="1" applyFill="1" applyBorder="1" applyAlignment="1">
      <alignment horizontal="center" vertical="center"/>
    </xf>
    <xf numFmtId="168" fontId="36" fillId="25" borderId="31" xfId="5" applyNumberFormat="1" applyFont="1" applyFill="1" applyBorder="1" applyAlignment="1">
      <alignment vertical="center"/>
    </xf>
    <xf numFmtId="4" fontId="36" fillId="25" borderId="33" xfId="5" applyNumberFormat="1" applyFont="1" applyFill="1" applyBorder="1" applyAlignment="1">
      <alignment vertical="center"/>
    </xf>
    <xf numFmtId="0" fontId="0" fillId="0" borderId="0" xfId="0" applyBorder="1" applyAlignment="1"/>
    <xf numFmtId="0" fontId="15" fillId="0" borderId="0" xfId="0" applyFont="1"/>
    <xf numFmtId="0" fontId="13" fillId="14" borderId="0" xfId="0" applyFont="1" applyFill="1" applyAlignment="1">
      <alignment horizontal="right" vertical="top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" fontId="10" fillId="11" borderId="1" xfId="0" applyNumberFormat="1" applyFont="1" applyFill="1" applyBorder="1" applyAlignment="1">
      <alignment horizontal="right" vertical="top" wrapText="1"/>
    </xf>
    <xf numFmtId="4" fontId="12" fillId="0" borderId="0" xfId="0" applyNumberFormat="1" applyFont="1" applyFill="1" applyAlignment="1">
      <alignment vertical="top" wrapText="1"/>
    </xf>
    <xf numFmtId="4" fontId="7" fillId="6" borderId="1" xfId="0" applyNumberFormat="1" applyFont="1" applyFill="1" applyBorder="1" applyAlignment="1">
      <alignment horizontal="right" vertical="top" wrapText="1"/>
    </xf>
    <xf numFmtId="4" fontId="10" fillId="19" borderId="1" xfId="0" applyNumberFormat="1" applyFont="1" applyFill="1" applyBorder="1" applyAlignment="1">
      <alignment horizontal="right" vertical="top" wrapText="1"/>
    </xf>
    <xf numFmtId="4" fontId="9" fillId="11" borderId="1" xfId="0" applyNumberFormat="1" applyFont="1" applyFill="1" applyBorder="1" applyAlignment="1">
      <alignment horizontal="right" vertical="top" wrapText="1"/>
    </xf>
    <xf numFmtId="4" fontId="10" fillId="21" borderId="1" xfId="0" applyNumberFormat="1" applyFont="1" applyFill="1" applyBorder="1" applyAlignment="1">
      <alignment horizontal="right" vertical="top" wrapText="1"/>
    </xf>
    <xf numFmtId="4" fontId="15" fillId="17" borderId="0" xfId="0" applyNumberFormat="1" applyFont="1" applyFill="1" applyAlignment="1">
      <alignment horizontal="left" vertical="top" wrapText="1"/>
    </xf>
    <xf numFmtId="4" fontId="0" fillId="0" borderId="2" xfId="0" applyNumberFormat="1" applyBorder="1" applyAlignment="1"/>
    <xf numFmtId="0" fontId="15" fillId="17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0" xfId="0" applyFill="1" applyAlignment="1">
      <alignment horizontal="right"/>
    </xf>
    <xf numFmtId="0" fontId="12" fillId="0" borderId="0" xfId="0" applyFont="1" applyFill="1" applyAlignment="1">
      <alignment horizontal="left" vertical="top" wrapText="1"/>
    </xf>
    <xf numFmtId="0" fontId="1" fillId="0" borderId="4" xfId="0" applyFont="1" applyFill="1" applyBorder="1" applyAlignment="1">
      <alignment wrapText="1"/>
    </xf>
    <xf numFmtId="0" fontId="1" fillId="17" borderId="1" xfId="0" applyFont="1" applyFill="1" applyBorder="1" applyAlignment="1">
      <alignment horizontal="center" vertical="top" wrapText="1"/>
    </xf>
    <xf numFmtId="0" fontId="6" fillId="8" borderId="1" xfId="0" applyFont="1" applyFill="1" applyBorder="1" applyAlignment="1">
      <alignment horizontal="left" vertical="top" wrapText="1"/>
    </xf>
    <xf numFmtId="0" fontId="6" fillId="8" borderId="1" xfId="0" applyFont="1" applyFill="1" applyBorder="1" applyAlignment="1">
      <alignment horizontal="right" vertical="top" wrapText="1"/>
    </xf>
    <xf numFmtId="4" fontId="6" fillId="8" borderId="1" xfId="0" applyNumberFormat="1" applyFont="1" applyFill="1" applyBorder="1" applyAlignment="1">
      <alignment horizontal="right" vertical="top" wrapText="1"/>
    </xf>
    <xf numFmtId="0" fontId="9" fillId="12" borderId="1" xfId="0" applyFont="1" applyFill="1" applyBorder="1" applyAlignment="1">
      <alignment horizontal="left" vertical="top" wrapText="1"/>
    </xf>
    <xf numFmtId="0" fontId="9" fillId="12" borderId="1" xfId="0" applyFont="1" applyFill="1" applyBorder="1" applyAlignment="1">
      <alignment horizontal="center" vertical="top" wrapText="1"/>
    </xf>
    <xf numFmtId="2" fontId="9" fillId="12" borderId="1" xfId="0" applyNumberFormat="1" applyFont="1" applyFill="1" applyBorder="1" applyAlignment="1">
      <alignment horizontal="right" vertical="top" wrapText="1"/>
    </xf>
    <xf numFmtId="4" fontId="9" fillId="12" borderId="1" xfId="0" applyNumberFormat="1" applyFont="1" applyFill="1" applyBorder="1" applyAlignment="1">
      <alignment horizontal="right" vertical="top" wrapText="1"/>
    </xf>
    <xf numFmtId="0" fontId="9" fillId="0" borderId="1" xfId="0" applyFont="1" applyFill="1" applyBorder="1" applyAlignment="1">
      <alignment horizontal="right" vertical="top" wrapText="1"/>
    </xf>
    <xf numFmtId="4" fontId="9" fillId="0" borderId="1" xfId="0" applyNumberFormat="1" applyFont="1" applyFill="1" applyBorder="1" applyAlignment="1">
      <alignment horizontal="right" vertical="top" wrapText="1"/>
    </xf>
    <xf numFmtId="0" fontId="9" fillId="19" borderId="1" xfId="0" applyFont="1" applyFill="1" applyBorder="1" applyAlignment="1">
      <alignment horizontal="right" vertical="top" wrapText="1"/>
    </xf>
    <xf numFmtId="4" fontId="9" fillId="19" borderId="1" xfId="0" applyNumberFormat="1" applyFont="1" applyFill="1" applyBorder="1" applyAlignment="1">
      <alignment horizontal="right" vertical="top" wrapText="1"/>
    </xf>
    <xf numFmtId="0" fontId="12" fillId="17" borderId="0" xfId="0" applyFont="1" applyFill="1" applyAlignment="1">
      <alignment horizontal="right" vertical="top" wrapText="1"/>
    </xf>
    <xf numFmtId="0" fontId="24" fillId="0" borderId="0" xfId="0" applyFont="1" applyFill="1" applyBorder="1" applyAlignment="1"/>
    <xf numFmtId="0" fontId="0" fillId="0" borderId="0" xfId="0" applyAlignment="1">
      <alignment horizontal="center"/>
    </xf>
    <xf numFmtId="0" fontId="12" fillId="0" borderId="0" xfId="0" applyFont="1" applyFill="1" applyAlignment="1">
      <alignment horizontal="left" vertical="top" wrapText="1"/>
    </xf>
    <xf numFmtId="0" fontId="45" fillId="0" borderId="0" xfId="0" applyFont="1" applyFill="1" applyAlignment="1">
      <alignment horizontal="center" vertical="center" wrapText="1"/>
    </xf>
    <xf numFmtId="0" fontId="31" fillId="18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1" fillId="19" borderId="1" xfId="0" applyFont="1" applyFill="1" applyBorder="1" applyAlignment="1">
      <alignment horizontal="center" vertical="center"/>
    </xf>
    <xf numFmtId="0" fontId="31" fillId="18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4" borderId="1" xfId="0" applyFont="1" applyFill="1" applyBorder="1" applyAlignment="1">
      <alignment horizontal="right" vertical="top" wrapText="1"/>
    </xf>
    <xf numFmtId="0" fontId="12" fillId="13" borderId="0" xfId="0" applyFont="1" applyFill="1" applyAlignment="1">
      <alignment horizontal="left" vertical="top" wrapText="1"/>
    </xf>
    <xf numFmtId="0" fontId="13" fillId="14" borderId="0" xfId="0" applyFont="1" applyFill="1" applyAlignment="1">
      <alignment horizontal="right" vertical="top" wrapText="1"/>
    </xf>
    <xf numFmtId="4" fontId="14" fillId="15" borderId="0" xfId="0" applyNumberFormat="1" applyFont="1" applyFill="1" applyAlignment="1">
      <alignment horizontal="right" vertical="top" wrapText="1"/>
    </xf>
    <xf numFmtId="0" fontId="4" fillId="3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4" fontId="5" fillId="4" borderId="1" xfId="0" applyNumberFormat="1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5" fillId="17" borderId="0" xfId="0" applyFont="1" applyFill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4" fillId="0" borderId="0" xfId="0" applyFont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  <xf numFmtId="0" fontId="0" fillId="0" borderId="3" xfId="0" applyBorder="1" applyAlignment="1">
      <alignment horizontal="center"/>
    </xf>
    <xf numFmtId="0" fontId="24" fillId="20" borderId="0" xfId="0" applyFont="1" applyFill="1" applyBorder="1" applyAlignment="1">
      <alignment horizontal="center"/>
    </xf>
    <xf numFmtId="0" fontId="31" fillId="0" borderId="1" xfId="0" applyFont="1" applyBorder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0" fillId="0" borderId="0" xfId="0" applyFill="1" applyAlignment="1">
      <alignment horizontal="right"/>
    </xf>
    <xf numFmtId="0" fontId="12" fillId="0" borderId="0" xfId="0" applyFont="1" applyFill="1" applyAlignment="1">
      <alignment horizontal="center" vertical="top" wrapText="1"/>
    </xf>
    <xf numFmtId="0" fontId="0" fillId="0" borderId="0" xfId="0" applyAlignment="1">
      <alignment horizontal="right" vertical="center"/>
    </xf>
    <xf numFmtId="0" fontId="0" fillId="23" borderId="10" xfId="0" applyFill="1" applyBorder="1" applyAlignment="1">
      <alignment horizontal="left"/>
    </xf>
    <xf numFmtId="0" fontId="0" fillId="23" borderId="0" xfId="0" applyFill="1" applyBorder="1" applyAlignment="1">
      <alignment horizontal="left"/>
    </xf>
    <xf numFmtId="0" fontId="0" fillId="23" borderId="11" xfId="0" applyFill="1" applyBorder="1" applyAlignment="1">
      <alignment horizontal="left"/>
    </xf>
    <xf numFmtId="0" fontId="0" fillId="22" borderId="5" xfId="0" applyFill="1" applyBorder="1" applyAlignment="1">
      <alignment horizontal="center"/>
    </xf>
    <xf numFmtId="0" fontId="0" fillId="22" borderId="6" xfId="0" applyFill="1" applyBorder="1" applyAlignment="1">
      <alignment horizontal="center"/>
    </xf>
    <xf numFmtId="0" fontId="0" fillId="22" borderId="7" xfId="0" applyFill="1" applyBorder="1" applyAlignment="1">
      <alignment horizontal="center"/>
    </xf>
    <xf numFmtId="0" fontId="27" fillId="0" borderId="0" xfId="0" applyFont="1" applyFill="1" applyAlignment="1">
      <alignment horizontal="left" wrapText="1"/>
    </xf>
    <xf numFmtId="0" fontId="12" fillId="0" borderId="0" xfId="0" applyFont="1" applyFill="1" applyAlignment="1">
      <alignment horizontal="left" vertical="top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2" borderId="10" xfId="0" applyFill="1" applyBorder="1" applyAlignment="1">
      <alignment horizontal="left"/>
    </xf>
    <xf numFmtId="0" fontId="0" fillId="22" borderId="0" xfId="0" applyFill="1" applyBorder="1" applyAlignment="1">
      <alignment horizontal="left"/>
    </xf>
    <xf numFmtId="0" fontId="0" fillId="22" borderId="11" xfId="0" applyFill="1" applyBorder="1" applyAlignment="1">
      <alignment horizontal="left"/>
    </xf>
    <xf numFmtId="0" fontId="0" fillId="0" borderId="0" xfId="0" applyBorder="1" applyAlignment="1">
      <alignment horizontal="center"/>
    </xf>
    <xf numFmtId="0" fontId="33" fillId="0" borderId="0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23" borderId="6" xfId="0" applyFill="1" applyBorder="1" applyAlignment="1">
      <alignment horizontal="right"/>
    </xf>
    <xf numFmtId="0" fontId="0" fillId="23" borderId="7" xfId="0" applyFill="1" applyBorder="1" applyAlignment="1">
      <alignment horizontal="right"/>
    </xf>
    <xf numFmtId="0" fontId="26" fillId="0" borderId="0" xfId="0" applyFont="1" applyBorder="1" applyAlignment="1">
      <alignment horizontal="center"/>
    </xf>
    <xf numFmtId="0" fontId="24" fillId="23" borderId="21" xfId="0" applyFont="1" applyFill="1" applyBorder="1" applyAlignment="1">
      <alignment horizontal="center" vertical="center" wrapText="1"/>
    </xf>
    <xf numFmtId="0" fontId="24" fillId="23" borderId="24" xfId="0" applyFont="1" applyFill="1" applyBorder="1" applyAlignment="1">
      <alignment horizontal="center" vertical="center" wrapText="1"/>
    </xf>
    <xf numFmtId="0" fontId="24" fillId="23" borderId="22" xfId="0" applyFont="1" applyFill="1" applyBorder="1" applyAlignment="1">
      <alignment horizontal="center" vertical="center" wrapText="1"/>
    </xf>
    <xf numFmtId="0" fontId="24" fillId="23" borderId="25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12" fillId="0" borderId="2" xfId="0" applyFont="1" applyFill="1" applyBorder="1" applyAlignment="1">
      <alignment horizontal="left" vertical="top" wrapText="1"/>
    </xf>
    <xf numFmtId="0" fontId="19" fillId="20" borderId="5" xfId="0" applyFont="1" applyFill="1" applyBorder="1" applyAlignment="1">
      <alignment horizontal="center"/>
    </xf>
    <xf numFmtId="0" fontId="19" fillId="20" borderId="6" xfId="0" applyFont="1" applyFill="1" applyBorder="1" applyAlignment="1">
      <alignment horizontal="center"/>
    </xf>
    <xf numFmtId="0" fontId="19" fillId="20" borderId="7" xfId="0" applyFont="1" applyFill="1" applyBorder="1" applyAlignment="1">
      <alignment horizontal="center"/>
    </xf>
    <xf numFmtId="0" fontId="24" fillId="0" borderId="21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44" fillId="0" borderId="0" xfId="0" applyFont="1" applyAlignment="1">
      <alignment horizontal="center"/>
    </xf>
    <xf numFmtId="0" fontId="36" fillId="25" borderId="33" xfId="5" applyFont="1" applyFill="1" applyBorder="1" applyAlignment="1">
      <alignment horizontal="center" vertical="center"/>
    </xf>
    <xf numFmtId="0" fontId="36" fillId="25" borderId="33" xfId="5" applyFont="1" applyFill="1" applyBorder="1" applyAlignment="1">
      <alignment horizontal="center" vertical="center" wrapText="1"/>
    </xf>
    <xf numFmtId="4" fontId="36" fillId="25" borderId="33" xfId="5" applyNumberFormat="1" applyFont="1" applyFill="1" applyBorder="1" applyAlignment="1">
      <alignment horizontal="center" vertical="center"/>
    </xf>
    <xf numFmtId="168" fontId="36" fillId="25" borderId="33" xfId="5" applyNumberFormat="1" applyFont="1" applyFill="1" applyBorder="1" applyAlignment="1">
      <alignment horizontal="center" vertical="center" wrapText="1"/>
    </xf>
    <xf numFmtId="0" fontId="15" fillId="16" borderId="0" xfId="0" applyFont="1" applyFill="1" applyAlignment="1">
      <alignment horizontal="center" vertical="top" wrapText="1"/>
    </xf>
    <xf numFmtId="0" fontId="12" fillId="17" borderId="0" xfId="0" applyFont="1" applyFill="1" applyAlignment="1">
      <alignment horizontal="left" vertical="top" wrapText="1"/>
    </xf>
    <xf numFmtId="0" fontId="12" fillId="17" borderId="0" xfId="0" applyFont="1" applyFill="1" applyAlignment="1">
      <alignment horizontal="right" vertical="top" wrapText="1"/>
    </xf>
    <xf numFmtId="4" fontId="12" fillId="17" borderId="0" xfId="0" applyNumberFormat="1" applyFont="1" applyFill="1" applyAlignment="1">
      <alignment horizontal="right" vertical="top" wrapText="1"/>
    </xf>
    <xf numFmtId="4" fontId="9" fillId="12" borderId="37" xfId="0" applyNumberFormat="1" applyFont="1" applyFill="1" applyBorder="1" applyAlignment="1">
      <alignment horizontal="center" vertical="top" wrapText="1"/>
    </xf>
    <xf numFmtId="4" fontId="9" fillId="12" borderId="38" xfId="0" applyNumberFormat="1" applyFont="1" applyFill="1" applyBorder="1" applyAlignment="1">
      <alignment horizontal="center" vertical="top" wrapText="1"/>
    </xf>
    <xf numFmtId="4" fontId="9" fillId="12" borderId="39" xfId="0" applyNumberFormat="1" applyFont="1" applyFill="1" applyBorder="1" applyAlignment="1">
      <alignment horizontal="center" vertical="top" wrapText="1"/>
    </xf>
    <xf numFmtId="0" fontId="1" fillId="17" borderId="1" xfId="0" applyFont="1" applyFill="1" applyBorder="1" applyAlignment="1">
      <alignment horizontal="center" vertical="top" wrapText="1"/>
    </xf>
    <xf numFmtId="0" fontId="1" fillId="17" borderId="1" xfId="0" applyFont="1" applyFill="1" applyBorder="1" applyAlignment="1">
      <alignment horizontal="right" vertical="top" wrapText="1"/>
    </xf>
    <xf numFmtId="0" fontId="1" fillId="0" borderId="0" xfId="0" applyFont="1" applyFill="1" applyAlignment="1">
      <alignment horizontal="center" vertical="top" wrapText="1"/>
    </xf>
    <xf numFmtId="0" fontId="1" fillId="0" borderId="4" xfId="0" applyFont="1" applyFill="1" applyBorder="1" applyAlignment="1">
      <alignment horizontal="center" wrapText="1"/>
    </xf>
    <xf numFmtId="0" fontId="1" fillId="17" borderId="1" xfId="0" applyFont="1" applyFill="1" applyBorder="1" applyAlignment="1">
      <alignment horizontal="left" vertical="top" wrapText="1"/>
    </xf>
    <xf numFmtId="0" fontId="12" fillId="17" borderId="1" xfId="0" applyFont="1" applyFill="1" applyBorder="1" applyAlignment="1">
      <alignment horizontal="center" vertical="top" wrapText="1"/>
    </xf>
    <xf numFmtId="0" fontId="31" fillId="0" borderId="0" xfId="0" applyFont="1" applyAlignment="1">
      <alignment wrapText="1"/>
    </xf>
  </cellXfs>
  <cellStyles count="7">
    <cellStyle name="Comma" xfId="1" builtinId="3"/>
    <cellStyle name="Currency" xfId="2" builtinId="4"/>
    <cellStyle name="Normal" xfId="0" builtinId="0"/>
    <cellStyle name="Normal 2" xfId="5" xr:uid="{00000000-0005-0000-0000-000002000000}"/>
    <cellStyle name="Percent" xfId="3" builtinId="5"/>
    <cellStyle name="Porcentagem 2 2" xfId="6" xr:uid="{00000000-0005-0000-0000-000004000000}"/>
    <cellStyle name="Vírgula 2 2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525780</xdr:colOff>
      <xdr:row>81</xdr:row>
      <xdr:rowOff>76200</xdr:rowOff>
    </xdr:from>
    <xdr:to>
      <xdr:col>6</xdr:col>
      <xdr:colOff>101600</xdr:colOff>
      <xdr:row>84</xdr:row>
      <xdr:rowOff>129540</xdr:rowOff>
    </xdr:to>
    <xdr:pic>
      <xdr:nvPicPr>
        <xdr:cNvPr id="3" name="Imagem 2" descr="VEVÉ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9860" y="6446520"/>
          <a:ext cx="1351280" cy="579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4602480</xdr:colOff>
      <xdr:row>0</xdr:row>
      <xdr:rowOff>60960</xdr:rowOff>
    </xdr:from>
    <xdr:to>
      <xdr:col>4</xdr:col>
      <xdr:colOff>630555</xdr:colOff>
      <xdr:row>6</xdr:row>
      <xdr:rowOff>114300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4675"/>
        <a:stretch/>
      </xdr:blipFill>
      <xdr:spPr bwMode="auto">
        <a:xfrm>
          <a:off x="6035040" y="60960"/>
          <a:ext cx="1263015" cy="11049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2004060</xdr:colOff>
      <xdr:row>0</xdr:row>
      <xdr:rowOff>0</xdr:rowOff>
    </xdr:from>
    <xdr:to>
      <xdr:col>4</xdr:col>
      <xdr:colOff>150495</xdr:colOff>
      <xdr:row>6</xdr:row>
      <xdr:rowOff>53340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4675"/>
        <a:stretch/>
      </xdr:blipFill>
      <xdr:spPr bwMode="auto">
        <a:xfrm>
          <a:off x="3345180" y="0"/>
          <a:ext cx="1263015" cy="11049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762000</xdr:colOff>
      <xdr:row>5</xdr:row>
      <xdr:rowOff>68580</xdr:rowOff>
    </xdr:from>
    <xdr:to>
      <xdr:col>4</xdr:col>
      <xdr:colOff>790575</xdr:colOff>
      <xdr:row>11</xdr:row>
      <xdr:rowOff>121920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4675"/>
        <a:stretch/>
      </xdr:blipFill>
      <xdr:spPr bwMode="auto">
        <a:xfrm>
          <a:off x="4663440" y="944880"/>
          <a:ext cx="1263015" cy="11049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1562100</xdr:colOff>
      <xdr:row>42</xdr:row>
      <xdr:rowOff>510540</xdr:rowOff>
    </xdr:from>
    <xdr:to>
      <xdr:col>3</xdr:col>
      <xdr:colOff>2895600</xdr:colOff>
      <xdr:row>44</xdr:row>
      <xdr:rowOff>22703</xdr:rowOff>
    </xdr:to>
    <xdr:pic>
      <xdr:nvPicPr>
        <xdr:cNvPr id="2" name="Imagem 1" descr="VEVÉ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9890740"/>
          <a:ext cx="1333500" cy="5281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1849120</xdr:colOff>
      <xdr:row>2</xdr:row>
      <xdr:rowOff>142240</xdr:rowOff>
    </xdr:from>
    <xdr:to>
      <xdr:col>3</xdr:col>
      <xdr:colOff>3112135</xdr:colOff>
      <xdr:row>9</xdr:row>
      <xdr:rowOff>38100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4675"/>
        <a:stretch/>
      </xdr:blipFill>
      <xdr:spPr bwMode="auto">
        <a:xfrm>
          <a:off x="3860800" y="487680"/>
          <a:ext cx="1263015" cy="11049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525780</xdr:colOff>
      <xdr:row>74</xdr:row>
      <xdr:rowOff>76200</xdr:rowOff>
    </xdr:from>
    <xdr:to>
      <xdr:col>6</xdr:col>
      <xdr:colOff>101600</xdr:colOff>
      <xdr:row>77</xdr:row>
      <xdr:rowOff>129540</xdr:rowOff>
    </xdr:to>
    <xdr:pic>
      <xdr:nvPicPr>
        <xdr:cNvPr id="2" name="Imagem 1" descr="VEVÉ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4757380"/>
          <a:ext cx="1473200" cy="579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4541520</xdr:colOff>
      <xdr:row>0</xdr:row>
      <xdr:rowOff>0</xdr:rowOff>
    </xdr:from>
    <xdr:to>
      <xdr:col>4</xdr:col>
      <xdr:colOff>561975</xdr:colOff>
      <xdr:row>6</xdr:row>
      <xdr:rowOff>53340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4675"/>
        <a:stretch/>
      </xdr:blipFill>
      <xdr:spPr bwMode="auto">
        <a:xfrm>
          <a:off x="5486400" y="0"/>
          <a:ext cx="1263015" cy="11049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up%20Veve/1%20PROJETOS/Prefeitura%20de%20S&#227;o%20Vendelino/Pavimenta&#231;&#227;o%20Morro%20da%20Canastra/Orcamento%20Construcao%20Predio%20Hidraulica%20-%20VERS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"/>
      <sheetName val="Orcamento Resumo"/>
      <sheetName val="Cronograma"/>
    </sheetNames>
    <sheetDataSet>
      <sheetData sheetId="0" refreshError="1">
        <row r="15">
          <cell r="B15">
            <v>1</v>
          </cell>
        </row>
        <row r="22">
          <cell r="B22">
            <v>2</v>
          </cell>
        </row>
        <row r="32">
          <cell r="B32">
            <v>3</v>
          </cell>
        </row>
        <row r="47">
          <cell r="B47">
            <v>4</v>
          </cell>
        </row>
        <row r="51">
          <cell r="B51">
            <v>5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6"/>
  <sheetViews>
    <sheetView tabSelected="1" workbookViewId="0">
      <selection activeCell="M96" sqref="A1:M96"/>
    </sheetView>
  </sheetViews>
  <sheetFormatPr defaultRowHeight="13.8"/>
  <cols>
    <col min="1" max="1" width="11.296875" style="30" customWidth="1"/>
    <col min="3" max="3" width="60.69921875" customWidth="1"/>
    <col min="4" max="4" width="8.09765625" customWidth="1"/>
    <col min="5" max="5" width="11.19921875" style="110" customWidth="1"/>
    <col min="8" max="8" width="10.296875" customWidth="1"/>
    <col min="10" max="10" width="11.59765625" customWidth="1"/>
    <col min="11" max="11" width="10.69921875" customWidth="1"/>
    <col min="12" max="12" width="12.3984375" customWidth="1"/>
  </cols>
  <sheetData>
    <row r="1" spans="1:13" s="5" customFormat="1">
      <c r="A1" s="30"/>
      <c r="E1" s="110"/>
    </row>
    <row r="2" spans="1:13" s="5" customFormat="1">
      <c r="A2" s="30"/>
      <c r="E2" s="110"/>
    </row>
    <row r="3" spans="1:13" s="5" customFormat="1">
      <c r="A3" s="30"/>
      <c r="E3" s="110"/>
    </row>
    <row r="4" spans="1:13" s="5" customFormat="1">
      <c r="A4" s="107"/>
      <c r="E4" s="110"/>
    </row>
    <row r="5" spans="1:13" s="5" customFormat="1">
      <c r="A5" s="107"/>
      <c r="E5" s="110"/>
    </row>
    <row r="6" spans="1:13" s="5" customFormat="1">
      <c r="A6" s="92"/>
      <c r="E6" s="110"/>
    </row>
    <row r="7" spans="1:13" s="5" customFormat="1">
      <c r="A7" s="30"/>
      <c r="E7" s="110"/>
    </row>
    <row r="8" spans="1:13" s="5" customFormat="1" ht="15" customHeight="1">
      <c r="A8" s="93"/>
      <c r="B8" s="221" t="s">
        <v>57</v>
      </c>
      <c r="C8" s="221"/>
      <c r="D8" s="221"/>
      <c r="E8" s="221"/>
      <c r="F8" s="221"/>
      <c r="G8" s="221"/>
      <c r="H8" s="221"/>
      <c r="I8" s="221"/>
      <c r="J8" s="221"/>
      <c r="K8" s="221"/>
      <c r="L8" s="221"/>
      <c r="M8" s="95"/>
    </row>
    <row r="9" spans="1:13" s="5" customFormat="1" ht="15.6">
      <c r="A9" s="94"/>
      <c r="B9" s="222" t="s">
        <v>81</v>
      </c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96"/>
    </row>
    <row r="10" spans="1:13" s="5" customFormat="1">
      <c r="A10" s="225" t="s">
        <v>22</v>
      </c>
      <c r="B10" s="225"/>
      <c r="C10" s="225"/>
      <c r="D10" s="225"/>
      <c r="E10" s="225"/>
      <c r="F10" s="225"/>
      <c r="G10" s="225"/>
      <c r="H10" s="225"/>
      <c r="I10" s="225"/>
      <c r="J10" s="225"/>
      <c r="K10" s="225"/>
      <c r="L10" s="225"/>
      <c r="M10" s="225"/>
    </row>
    <row r="11" spans="1:13" s="4" customFormat="1" ht="14.4">
      <c r="A11" s="30"/>
      <c r="B11" s="10"/>
      <c r="C11" s="41" t="s">
        <v>80</v>
      </c>
      <c r="D11" s="10"/>
      <c r="E11" s="47"/>
      <c r="F11" s="10"/>
      <c r="G11" s="10"/>
      <c r="H11" s="42" t="s">
        <v>184</v>
      </c>
      <c r="I11" s="47">
        <f>(L11*6.5)+35.5</f>
        <v>1205.5</v>
      </c>
      <c r="J11" s="229" t="s">
        <v>185</v>
      </c>
      <c r="K11" s="229"/>
      <c r="L11" s="109">
        <v>180</v>
      </c>
      <c r="M11" s="10"/>
    </row>
    <row r="12" spans="1:13" ht="33" customHeight="1">
      <c r="B12" s="11"/>
      <c r="C12" s="223" t="s">
        <v>169</v>
      </c>
      <c r="D12" s="223"/>
      <c r="E12" s="223"/>
      <c r="F12" s="223"/>
      <c r="G12" s="13" t="s">
        <v>0</v>
      </c>
      <c r="H12" s="204" t="s">
        <v>218</v>
      </c>
      <c r="I12" s="282" t="s">
        <v>287</v>
      </c>
      <c r="J12" s="231" t="s">
        <v>286</v>
      </c>
      <c r="K12" s="231"/>
      <c r="L12" s="231"/>
    </row>
    <row r="13" spans="1:13" ht="13.95" customHeight="1">
      <c r="B13" s="14"/>
      <c r="C13" s="14" t="s">
        <v>219</v>
      </c>
      <c r="D13" s="15"/>
      <c r="E13" s="175"/>
      <c r="F13" s="15"/>
      <c r="G13" s="16">
        <v>0.2195</v>
      </c>
      <c r="H13" s="16">
        <v>0.15</v>
      </c>
      <c r="I13" s="227" t="s">
        <v>13</v>
      </c>
      <c r="J13" s="227"/>
      <c r="K13" s="227"/>
      <c r="L13" s="227"/>
      <c r="M13" s="227"/>
    </row>
    <row r="14" spans="1:13" s="5" customFormat="1" ht="13.95" customHeight="1">
      <c r="A14" s="202"/>
      <c r="B14" s="203"/>
      <c r="C14" s="203"/>
      <c r="D14" s="15"/>
      <c r="E14" s="175"/>
      <c r="F14" s="15"/>
      <c r="G14" s="16"/>
      <c r="H14" s="16"/>
      <c r="I14" s="230" t="s">
        <v>104</v>
      </c>
      <c r="J14" s="230"/>
      <c r="K14" s="230"/>
      <c r="L14" s="230"/>
      <c r="M14" s="230"/>
    </row>
    <row r="15" spans="1:13" ht="13.95" customHeight="1">
      <c r="B15" s="43"/>
      <c r="C15" s="228" t="s">
        <v>1</v>
      </c>
      <c r="D15" s="228"/>
      <c r="E15" s="228"/>
      <c r="F15" s="228"/>
      <c r="G15" s="228"/>
      <c r="H15" s="228"/>
      <c r="I15" s="228"/>
      <c r="J15" s="228"/>
      <c r="K15" s="228"/>
      <c r="L15" s="44"/>
      <c r="M15" s="44"/>
    </row>
    <row r="16" spans="1:13" ht="13.95" customHeight="1">
      <c r="A16" s="226" t="s">
        <v>223</v>
      </c>
      <c r="B16" s="220" t="s">
        <v>2</v>
      </c>
      <c r="C16" s="220" t="s">
        <v>3</v>
      </c>
      <c r="D16" s="214" t="s">
        <v>4</v>
      </c>
      <c r="E16" s="216" t="s">
        <v>5</v>
      </c>
      <c r="F16" s="217" t="s">
        <v>14</v>
      </c>
      <c r="G16" s="214" t="s">
        <v>6</v>
      </c>
      <c r="H16" s="219"/>
      <c r="I16" s="219"/>
      <c r="J16" s="214" t="s">
        <v>7</v>
      </c>
      <c r="K16" s="219"/>
      <c r="L16" s="219"/>
      <c r="M16" s="210" t="s">
        <v>8</v>
      </c>
    </row>
    <row r="17" spans="1:13" ht="18.600000000000001" customHeight="1">
      <c r="A17" s="226"/>
      <c r="B17" s="220"/>
      <c r="C17" s="210"/>
      <c r="D17" s="215"/>
      <c r="E17" s="216"/>
      <c r="F17" s="217"/>
      <c r="G17" s="26" t="s">
        <v>9</v>
      </c>
      <c r="H17" s="26" t="s">
        <v>10</v>
      </c>
      <c r="I17" s="26" t="s">
        <v>7</v>
      </c>
      <c r="J17" s="26" t="s">
        <v>9</v>
      </c>
      <c r="K17" s="26" t="s">
        <v>10</v>
      </c>
      <c r="L17" s="26" t="s">
        <v>7</v>
      </c>
      <c r="M17" s="210"/>
    </row>
    <row r="18" spans="1:13" s="4" customFormat="1" ht="15" customHeight="1">
      <c r="A18" s="27"/>
      <c r="B18" s="19">
        <v>1</v>
      </c>
      <c r="C18" s="19" t="s">
        <v>101</v>
      </c>
      <c r="D18" s="19"/>
      <c r="E18" s="176"/>
      <c r="F18" s="19"/>
      <c r="G18" s="19"/>
      <c r="H18" s="19"/>
      <c r="I18" s="19"/>
      <c r="J18" s="19"/>
      <c r="K18" s="19"/>
      <c r="L18" s="20">
        <f>SUM(L19:L22)</f>
        <v>5963.7696299999989</v>
      </c>
      <c r="M18" s="21">
        <f>L18/$L$77</f>
        <v>1.2021686871545314E-2</v>
      </c>
    </row>
    <row r="19" spans="1:13" s="4" customFormat="1" ht="15" customHeight="1">
      <c r="A19" s="205" t="s">
        <v>224</v>
      </c>
      <c r="B19" s="18" t="s">
        <v>18</v>
      </c>
      <c r="C19" s="18" t="s">
        <v>83</v>
      </c>
      <c r="D19" s="23" t="s">
        <v>84</v>
      </c>
      <c r="E19" s="174">
        <v>10</v>
      </c>
      <c r="F19" s="24">
        <v>37.159999999999997</v>
      </c>
      <c r="G19" s="24">
        <f>I19*0.3</f>
        <v>13.594986</v>
      </c>
      <c r="H19" s="24">
        <f>I19*0.7</f>
        <v>31.721633999999998</v>
      </c>
      <c r="I19" s="24">
        <f>F19*(1+$G$13)</f>
        <v>45.31662</v>
      </c>
      <c r="J19" s="24">
        <f>G19*E19</f>
        <v>135.94986</v>
      </c>
      <c r="K19" s="24">
        <f>H19*E19</f>
        <v>317.21634</v>
      </c>
      <c r="L19" s="24">
        <f>K19+J19</f>
        <v>453.1662</v>
      </c>
      <c r="M19" s="25">
        <f>L19/$L$77</f>
        <v>9.1348635094211025E-4</v>
      </c>
    </row>
    <row r="20" spans="1:13" s="5" customFormat="1" ht="15" customHeight="1">
      <c r="A20" s="205" t="s">
        <v>225</v>
      </c>
      <c r="B20" s="18" t="s">
        <v>79</v>
      </c>
      <c r="C20" s="18" t="s">
        <v>85</v>
      </c>
      <c r="D20" s="23" t="s">
        <v>84</v>
      </c>
      <c r="E20" s="174">
        <v>10</v>
      </c>
      <c r="F20" s="24">
        <v>17.899999999999999</v>
      </c>
      <c r="G20" s="24">
        <f>I20*0.3</f>
        <v>6.5487149999999996</v>
      </c>
      <c r="H20" s="24">
        <f>I20*0.7</f>
        <v>15.280334999999997</v>
      </c>
      <c r="I20" s="24">
        <f>F20*(1+$G$13)</f>
        <v>21.829049999999999</v>
      </c>
      <c r="J20" s="24">
        <f>G20*E20</f>
        <v>65.48715</v>
      </c>
      <c r="K20" s="24">
        <f>H20*E20</f>
        <v>152.80334999999997</v>
      </c>
      <c r="L20" s="24">
        <f>K20+J20</f>
        <v>218.29049999999995</v>
      </c>
      <c r="M20" s="25">
        <f>L20/$L$77</f>
        <v>4.4002706355930485E-4</v>
      </c>
    </row>
    <row r="21" spans="1:13" s="5" customFormat="1" ht="41.4" customHeight="1">
      <c r="A21" s="205" t="s">
        <v>226</v>
      </c>
      <c r="B21" s="18" t="s">
        <v>102</v>
      </c>
      <c r="C21" s="18" t="s">
        <v>174</v>
      </c>
      <c r="D21" s="23" t="s">
        <v>15</v>
      </c>
      <c r="E21" s="174">
        <f>2*3</f>
        <v>6</v>
      </c>
      <c r="F21" s="24">
        <v>648.59</v>
      </c>
      <c r="G21" s="24">
        <f>I21*0.3</f>
        <v>237.2866515</v>
      </c>
      <c r="H21" s="24">
        <f>I21*0.7</f>
        <v>553.66885349999995</v>
      </c>
      <c r="I21" s="24">
        <f>F21*(1+$G$13)</f>
        <v>790.95550500000002</v>
      </c>
      <c r="J21" s="24">
        <f>G21*E21</f>
        <v>1423.7199089999999</v>
      </c>
      <c r="K21" s="24">
        <f>H21*E21</f>
        <v>3322.013121</v>
      </c>
      <c r="L21" s="24">
        <f>K21+J21</f>
        <v>4745.7330299999994</v>
      </c>
      <c r="M21" s="25">
        <f>L21/$L$77</f>
        <v>9.5663850219194265E-3</v>
      </c>
    </row>
    <row r="22" spans="1:13" s="5" customFormat="1" ht="30" customHeight="1">
      <c r="A22" s="205" t="s">
        <v>227</v>
      </c>
      <c r="B22" s="18" t="s">
        <v>161</v>
      </c>
      <c r="C22" s="18" t="s">
        <v>103</v>
      </c>
      <c r="D22" s="23" t="s">
        <v>15</v>
      </c>
      <c r="E22" s="174">
        <f>L11*2*1.5</f>
        <v>540</v>
      </c>
      <c r="F22" s="24">
        <v>0.83</v>
      </c>
      <c r="G22" s="24">
        <f t="shared" ref="G22" si="0">I22*0.3</f>
        <v>0.30365549999999997</v>
      </c>
      <c r="H22" s="24">
        <f t="shared" ref="H22" si="1">I22*0.7</f>
        <v>0.70852949999999992</v>
      </c>
      <c r="I22" s="24">
        <f t="shared" ref="I22" si="2">F22*(1+$G$13)</f>
        <v>1.0121849999999999</v>
      </c>
      <c r="J22" s="24">
        <f t="shared" ref="J22" si="3">G22*E22</f>
        <v>163.97396999999998</v>
      </c>
      <c r="K22" s="24">
        <f t="shared" ref="K22" si="4">H22*E22</f>
        <v>382.60592999999994</v>
      </c>
      <c r="L22" s="24">
        <f t="shared" ref="L22" si="5">K22+J22</f>
        <v>546.57989999999995</v>
      </c>
      <c r="M22" s="25">
        <f>L22/$L$77</f>
        <v>1.1017884351244719E-3</v>
      </c>
    </row>
    <row r="23" spans="1:13" s="5" customFormat="1" ht="15" customHeight="1">
      <c r="A23" s="206"/>
      <c r="B23" s="32"/>
      <c r="C23" s="32"/>
      <c r="D23" s="33"/>
      <c r="E23" s="102"/>
      <c r="F23" s="34"/>
      <c r="G23" s="34"/>
      <c r="H23" s="34"/>
      <c r="I23" s="34"/>
      <c r="J23" s="34"/>
      <c r="K23" s="34"/>
      <c r="L23" s="34"/>
      <c r="M23" s="35"/>
    </row>
    <row r="24" spans="1:13" s="5" customFormat="1" ht="15" customHeight="1">
      <c r="A24" s="207"/>
      <c r="B24" s="101">
        <v>2</v>
      </c>
      <c r="C24" s="101" t="s">
        <v>100</v>
      </c>
      <c r="D24" s="99"/>
      <c r="E24" s="177"/>
      <c r="F24" s="100"/>
      <c r="G24" s="100"/>
      <c r="H24" s="100"/>
      <c r="I24" s="100"/>
      <c r="J24" s="100"/>
      <c r="K24" s="100"/>
      <c r="L24" s="103">
        <f>SUM(L26:L40)</f>
        <v>193823.39498447248</v>
      </c>
      <c r="M24" s="21">
        <f>L24/$L$77</f>
        <v>0.39070660126809342</v>
      </c>
    </row>
    <row r="25" spans="1:13" s="5" customFormat="1" ht="15" customHeight="1">
      <c r="A25" s="207"/>
      <c r="B25" s="101" t="s">
        <v>34</v>
      </c>
      <c r="C25" s="101" t="s">
        <v>99</v>
      </c>
      <c r="D25" s="99"/>
      <c r="E25" s="177"/>
      <c r="F25" s="100"/>
      <c r="G25" s="100"/>
      <c r="H25" s="100"/>
      <c r="I25" s="100"/>
      <c r="J25" s="100"/>
      <c r="K25" s="100"/>
      <c r="L25" s="100"/>
      <c r="M25" s="21"/>
    </row>
    <row r="26" spans="1:13" s="5" customFormat="1" ht="42" customHeight="1">
      <c r="A26" s="205" t="s">
        <v>228</v>
      </c>
      <c r="B26" s="18" t="s">
        <v>59</v>
      </c>
      <c r="C26" s="18" t="s">
        <v>229</v>
      </c>
      <c r="D26" s="23" t="s">
        <v>23</v>
      </c>
      <c r="E26" s="174">
        <f>1244.7*0.7</f>
        <v>871.29</v>
      </c>
      <c r="F26" s="24">
        <v>11.58</v>
      </c>
      <c r="G26" s="24">
        <f t="shared" ref="G26:G32" si="6">I26*0.3</f>
        <v>4.2365430000000002</v>
      </c>
      <c r="H26" s="24">
        <f t="shared" ref="H26:H32" si="7">I26*0.7</f>
        <v>9.8852669999999989</v>
      </c>
      <c r="I26" s="24">
        <f t="shared" ref="I26:I32" si="8">F26*(1+$G$13)</f>
        <v>14.12181</v>
      </c>
      <c r="J26" s="24">
        <f t="shared" ref="J26:J32" si="9">G26*E26</f>
        <v>3691.2575504699998</v>
      </c>
      <c r="K26" s="24">
        <f t="shared" ref="K26:K32" si="10">H26*E26</f>
        <v>8612.934284429999</v>
      </c>
      <c r="L26" s="24">
        <f t="shared" ref="L26:L32" si="11">K26+J26</f>
        <v>12304.191834899999</v>
      </c>
      <c r="M26" s="25">
        <f t="shared" ref="M26:M32" si="12">L26/$L$77</f>
        <v>2.4802624954276174E-2</v>
      </c>
    </row>
    <row r="27" spans="1:13" s="5" customFormat="1" ht="42" customHeight="1">
      <c r="A27" s="205" t="s">
        <v>230</v>
      </c>
      <c r="B27" s="18" t="s">
        <v>60</v>
      </c>
      <c r="C27" s="18" t="s">
        <v>231</v>
      </c>
      <c r="D27" s="23" t="s">
        <v>23</v>
      </c>
      <c r="E27" s="174">
        <f>1244.7*0.25</f>
        <v>311.17500000000001</v>
      </c>
      <c r="F27" s="24">
        <v>19.600000000000001</v>
      </c>
      <c r="G27" s="24">
        <f t="shared" si="6"/>
        <v>7.1706599999999998</v>
      </c>
      <c r="H27" s="24">
        <f t="shared" si="7"/>
        <v>16.731539999999999</v>
      </c>
      <c r="I27" s="24">
        <f t="shared" si="8"/>
        <v>23.902200000000001</v>
      </c>
      <c r="J27" s="24">
        <f t="shared" si="9"/>
        <v>2231.3301255000001</v>
      </c>
      <c r="K27" s="24">
        <f t="shared" si="10"/>
        <v>5206.4369594999998</v>
      </c>
      <c r="L27" s="24">
        <f t="shared" si="11"/>
        <v>7437.7670849999995</v>
      </c>
      <c r="M27" s="25">
        <f t="shared" si="12"/>
        <v>1.4992951181341384E-2</v>
      </c>
    </row>
    <row r="28" spans="1:13" s="5" customFormat="1" ht="24" customHeight="1">
      <c r="A28" s="205" t="s">
        <v>232</v>
      </c>
      <c r="B28" s="18" t="s">
        <v>61</v>
      </c>
      <c r="C28" s="18" t="s">
        <v>233</v>
      </c>
      <c r="D28" s="23" t="s">
        <v>23</v>
      </c>
      <c r="E28" s="174">
        <f>1244.7*0.05</f>
        <v>62.235000000000007</v>
      </c>
      <c r="F28" s="24">
        <v>184.02</v>
      </c>
      <c r="G28" s="24">
        <f t="shared" ref="G28:G30" si="13">I28*0.3</f>
        <v>67.323717000000002</v>
      </c>
      <c r="H28" s="24">
        <f t="shared" ref="H28:H30" si="14">I28*0.7</f>
        <v>157.088673</v>
      </c>
      <c r="I28" s="24">
        <f t="shared" ref="I28:I30" si="15">F28*(1+$G$13)</f>
        <v>224.41239000000002</v>
      </c>
      <c r="J28" s="24">
        <f t="shared" ref="J28:J30" si="16">G28*E28</f>
        <v>4189.8915274950004</v>
      </c>
      <c r="K28" s="24">
        <f t="shared" ref="K28:K30" si="17">H28*E28</f>
        <v>9776.4135641550001</v>
      </c>
      <c r="L28" s="24">
        <f t="shared" ref="L28:L30" si="18">K28+J28</f>
        <v>13966.30509165</v>
      </c>
      <c r="M28" s="25">
        <f t="shared" si="12"/>
        <v>2.8153090575412668E-2</v>
      </c>
    </row>
    <row r="29" spans="1:13" s="5" customFormat="1" ht="42.6" customHeight="1">
      <c r="A29" s="205" t="s">
        <v>234</v>
      </c>
      <c r="B29" s="18" t="s">
        <v>162</v>
      </c>
      <c r="C29" s="18" t="s">
        <v>235</v>
      </c>
      <c r="D29" s="23" t="s">
        <v>23</v>
      </c>
      <c r="E29" s="174">
        <f>E28*1.3</f>
        <v>80.905500000000018</v>
      </c>
      <c r="F29" s="24">
        <v>2.41</v>
      </c>
      <c r="G29" s="24">
        <f t="shared" si="13"/>
        <v>0.88169850000000005</v>
      </c>
      <c r="H29" s="24">
        <f t="shared" si="14"/>
        <v>2.0572965000000001</v>
      </c>
      <c r="I29" s="24">
        <f t="shared" si="15"/>
        <v>2.9389950000000002</v>
      </c>
      <c r="J29" s="24">
        <f t="shared" si="16"/>
        <v>71.334257991750022</v>
      </c>
      <c r="K29" s="24">
        <f t="shared" si="17"/>
        <v>166.44660198075005</v>
      </c>
      <c r="L29" s="24">
        <f t="shared" si="18"/>
        <v>237.78085997250008</v>
      </c>
      <c r="M29" s="25">
        <f t="shared" si="12"/>
        <v>4.7931546990961807E-4</v>
      </c>
    </row>
    <row r="30" spans="1:13" s="5" customFormat="1" ht="44.4" customHeight="1">
      <c r="A30" s="205" t="s">
        <v>236</v>
      </c>
      <c r="B30" s="18" t="s">
        <v>163</v>
      </c>
      <c r="C30" s="18" t="s">
        <v>153</v>
      </c>
      <c r="D30" s="23" t="s">
        <v>238</v>
      </c>
      <c r="E30" s="174">
        <f>E27*1.3*2*1.6</f>
        <v>1294.4880000000003</v>
      </c>
      <c r="F30" s="24">
        <v>1</v>
      </c>
      <c r="G30" s="24">
        <f t="shared" si="13"/>
        <v>0.36585000000000001</v>
      </c>
      <c r="H30" s="24">
        <f t="shared" si="14"/>
        <v>0.85365000000000002</v>
      </c>
      <c r="I30" s="24">
        <f t="shared" si="15"/>
        <v>1.2195</v>
      </c>
      <c r="J30" s="24">
        <f t="shared" si="16"/>
        <v>473.58843480000013</v>
      </c>
      <c r="K30" s="24">
        <f t="shared" si="17"/>
        <v>1105.0396812000004</v>
      </c>
      <c r="L30" s="24">
        <f t="shared" si="18"/>
        <v>1578.6281160000005</v>
      </c>
      <c r="M30" s="25">
        <f t="shared" si="12"/>
        <v>3.1821773935908253E-3</v>
      </c>
    </row>
    <row r="31" spans="1:13" s="5" customFormat="1" ht="42" customHeight="1">
      <c r="A31" s="205" t="s">
        <v>236</v>
      </c>
      <c r="B31" s="18" t="s">
        <v>164</v>
      </c>
      <c r="C31" s="18" t="s">
        <v>154</v>
      </c>
      <c r="D31" s="23" t="s">
        <v>238</v>
      </c>
      <c r="E31" s="174">
        <f>E28*1.3*2*1.6</f>
        <v>258.89760000000007</v>
      </c>
      <c r="F31" s="24">
        <v>1</v>
      </c>
      <c r="G31" s="24">
        <f t="shared" ref="G31" si="19">I31*0.3</f>
        <v>0.36585000000000001</v>
      </c>
      <c r="H31" s="24">
        <f t="shared" ref="H31" si="20">I31*0.7</f>
        <v>0.85365000000000002</v>
      </c>
      <c r="I31" s="24">
        <f t="shared" ref="I31" si="21">F31*(1+$G$13)</f>
        <v>1.2195</v>
      </c>
      <c r="J31" s="24">
        <f t="shared" ref="J31" si="22">G31*E31</f>
        <v>94.717686960000023</v>
      </c>
      <c r="K31" s="24">
        <f t="shared" ref="K31" si="23">H31*E31</f>
        <v>221.00793624000005</v>
      </c>
      <c r="L31" s="24">
        <f t="shared" ref="L31" si="24">K31+J31</f>
        <v>315.72562320000009</v>
      </c>
      <c r="M31" s="25">
        <f t="shared" si="12"/>
        <v>6.3643547871816502E-4</v>
      </c>
    </row>
    <row r="32" spans="1:13" s="5" customFormat="1" ht="15" customHeight="1">
      <c r="A32" s="205" t="s">
        <v>245</v>
      </c>
      <c r="B32" s="18" t="s">
        <v>165</v>
      </c>
      <c r="C32" s="18" t="s">
        <v>82</v>
      </c>
      <c r="D32" s="23" t="s">
        <v>23</v>
      </c>
      <c r="E32" s="174">
        <f>(E26+E27+E28)*1.3</f>
        <v>1618.11</v>
      </c>
      <c r="F32" s="24">
        <v>2.75</v>
      </c>
      <c r="G32" s="24">
        <f t="shared" si="6"/>
        <v>1.0060875</v>
      </c>
      <c r="H32" s="24">
        <f t="shared" si="7"/>
        <v>2.3475375000000001</v>
      </c>
      <c r="I32" s="24">
        <f t="shared" si="8"/>
        <v>3.3536250000000001</v>
      </c>
      <c r="J32" s="24">
        <f t="shared" si="9"/>
        <v>1627.9602446249999</v>
      </c>
      <c r="K32" s="24">
        <f t="shared" si="10"/>
        <v>3798.5739041249999</v>
      </c>
      <c r="L32" s="24">
        <f t="shared" si="11"/>
        <v>5426.53414875</v>
      </c>
      <c r="M32" s="25">
        <f t="shared" si="12"/>
        <v>1.0938734790468458E-2</v>
      </c>
    </row>
    <row r="33" spans="1:13" s="5" customFormat="1" ht="15" customHeight="1">
      <c r="A33" s="207"/>
      <c r="B33" s="101" t="s">
        <v>35</v>
      </c>
      <c r="C33" s="101" t="s">
        <v>98</v>
      </c>
      <c r="D33" s="99"/>
      <c r="E33" s="177"/>
      <c r="F33" s="100"/>
      <c r="G33" s="100"/>
      <c r="H33" s="100"/>
      <c r="I33" s="100"/>
      <c r="J33" s="100"/>
      <c r="K33" s="100"/>
      <c r="L33" s="100"/>
      <c r="M33" s="21"/>
    </row>
    <row r="34" spans="1:13" s="5" customFormat="1" ht="42" customHeight="1">
      <c r="A34" s="205" t="s">
        <v>228</v>
      </c>
      <c r="B34" s="18" t="s">
        <v>62</v>
      </c>
      <c r="C34" s="18" t="s">
        <v>229</v>
      </c>
      <c r="D34" s="23" t="s">
        <v>23</v>
      </c>
      <c r="E34" s="174">
        <f>(1.5+1.5)*0.5*L11</f>
        <v>270</v>
      </c>
      <c r="F34" s="24">
        <v>11.58</v>
      </c>
      <c r="G34" s="24">
        <f t="shared" ref="G34:G37" si="25">I34*0.3</f>
        <v>4.2365430000000002</v>
      </c>
      <c r="H34" s="24">
        <f t="shared" ref="H34:H37" si="26">I34*0.7</f>
        <v>9.8852669999999989</v>
      </c>
      <c r="I34" s="24">
        <f t="shared" ref="I34:I37" si="27">F34*(1+$G$13)</f>
        <v>14.12181</v>
      </c>
      <c r="J34" s="24">
        <f t="shared" ref="J34:J37" si="28">G34*E34</f>
        <v>1143.86661</v>
      </c>
      <c r="K34" s="24">
        <f t="shared" ref="K34:K37" si="29">H34*E34</f>
        <v>2669.0220899999995</v>
      </c>
      <c r="L34" s="24">
        <f t="shared" ref="L34:L37" si="30">K34+J34</f>
        <v>3812.8886999999995</v>
      </c>
      <c r="M34" s="25">
        <f>L34/$L$77</f>
        <v>7.6859699269526413E-3</v>
      </c>
    </row>
    <row r="35" spans="1:13" s="5" customFormat="1" ht="15" customHeight="1">
      <c r="A35" s="205" t="s">
        <v>245</v>
      </c>
      <c r="B35" s="18" t="s">
        <v>63</v>
      </c>
      <c r="C35" s="18" t="s">
        <v>82</v>
      </c>
      <c r="D35" s="23" t="s">
        <v>23</v>
      </c>
      <c r="E35" s="174">
        <f>E34*1.3</f>
        <v>351</v>
      </c>
      <c r="F35" s="24">
        <v>2.75</v>
      </c>
      <c r="G35" s="24">
        <f t="shared" si="25"/>
        <v>1.0060875</v>
      </c>
      <c r="H35" s="24">
        <f t="shared" si="26"/>
        <v>2.3475375000000001</v>
      </c>
      <c r="I35" s="24">
        <f t="shared" si="27"/>
        <v>3.3536250000000001</v>
      </c>
      <c r="J35" s="24">
        <f t="shared" si="28"/>
        <v>353.13671249999999</v>
      </c>
      <c r="K35" s="24">
        <f t="shared" si="29"/>
        <v>823.98566249999999</v>
      </c>
      <c r="L35" s="24">
        <f t="shared" si="30"/>
        <v>1177.1223749999999</v>
      </c>
      <c r="M35" s="25">
        <f>L35/$L$77</f>
        <v>2.3728275033554139E-3</v>
      </c>
    </row>
    <row r="36" spans="1:13" s="5" customFormat="1" ht="42" customHeight="1">
      <c r="A36" s="205" t="s">
        <v>246</v>
      </c>
      <c r="B36" s="18" t="s">
        <v>64</v>
      </c>
      <c r="C36" s="18" t="s">
        <v>247</v>
      </c>
      <c r="D36" s="23" t="s">
        <v>23</v>
      </c>
      <c r="E36" s="174">
        <f>E34</f>
        <v>270</v>
      </c>
      <c r="F36" s="24">
        <v>199.07</v>
      </c>
      <c r="G36" s="24">
        <f t="shared" si="25"/>
        <v>72.829759499999994</v>
      </c>
      <c r="H36" s="24">
        <f t="shared" si="26"/>
        <v>169.9361055</v>
      </c>
      <c r="I36" s="24">
        <f t="shared" si="27"/>
        <v>242.76586499999999</v>
      </c>
      <c r="J36" s="24">
        <f t="shared" si="28"/>
        <v>19664.035065</v>
      </c>
      <c r="K36" s="24">
        <f t="shared" si="29"/>
        <v>45882.748484999996</v>
      </c>
      <c r="L36" s="24">
        <f t="shared" si="30"/>
        <v>65546.783549999993</v>
      </c>
      <c r="M36" s="25">
        <f>L36/$L$77</f>
        <v>0.13212832757845097</v>
      </c>
    </row>
    <row r="37" spans="1:13" s="5" customFormat="1" ht="43.8" customHeight="1">
      <c r="A37" s="205" t="s">
        <v>236</v>
      </c>
      <c r="B37" s="18" t="s">
        <v>65</v>
      </c>
      <c r="C37" s="18" t="s">
        <v>148</v>
      </c>
      <c r="D37" s="23" t="s">
        <v>242</v>
      </c>
      <c r="E37" s="174">
        <f>E36*1.3*26*1.6</f>
        <v>14601.6</v>
      </c>
      <c r="F37" s="24">
        <v>1</v>
      </c>
      <c r="G37" s="24">
        <f t="shared" si="25"/>
        <v>0.36585000000000001</v>
      </c>
      <c r="H37" s="24">
        <f t="shared" si="26"/>
        <v>0.85365000000000002</v>
      </c>
      <c r="I37" s="24">
        <f t="shared" si="27"/>
        <v>1.2195</v>
      </c>
      <c r="J37" s="24">
        <f t="shared" si="28"/>
        <v>5341.9953599999999</v>
      </c>
      <c r="K37" s="24">
        <f t="shared" si="29"/>
        <v>12464.655840000001</v>
      </c>
      <c r="L37" s="24">
        <f t="shared" si="30"/>
        <v>17806.6512</v>
      </c>
      <c r="M37" s="25">
        <f>L37/$L$77</f>
        <v>3.589440877803099E-2</v>
      </c>
    </row>
    <row r="38" spans="1:13" s="5" customFormat="1" ht="15" customHeight="1">
      <c r="A38" s="207"/>
      <c r="B38" s="101" t="s">
        <v>36</v>
      </c>
      <c r="C38" s="101" t="s">
        <v>66</v>
      </c>
      <c r="D38" s="99"/>
      <c r="E38" s="177"/>
      <c r="F38" s="100"/>
      <c r="G38" s="100"/>
      <c r="H38" s="100"/>
      <c r="I38" s="100"/>
      <c r="J38" s="100"/>
      <c r="K38" s="100"/>
      <c r="L38" s="100"/>
      <c r="M38" s="21"/>
    </row>
    <row r="39" spans="1:13" s="5" customFormat="1" ht="40.799999999999997" customHeight="1">
      <c r="A39" s="205" t="s">
        <v>246</v>
      </c>
      <c r="B39" s="18" t="s">
        <v>67</v>
      </c>
      <c r="C39" s="18" t="s">
        <v>248</v>
      </c>
      <c r="D39" s="23" t="s">
        <v>23</v>
      </c>
      <c r="E39" s="174">
        <v>208</v>
      </c>
      <c r="F39" s="24">
        <v>199.07</v>
      </c>
      <c r="G39" s="24">
        <f t="shared" ref="G39:G40" si="31">I39*0.3</f>
        <v>72.829759499999994</v>
      </c>
      <c r="H39" s="24">
        <f t="shared" ref="H39:H40" si="32">I39*0.7</f>
        <v>169.9361055</v>
      </c>
      <c r="I39" s="24">
        <f t="shared" ref="I39:I40" si="33">F39*(1+$G$13)</f>
        <v>242.76586499999999</v>
      </c>
      <c r="J39" s="24">
        <f t="shared" ref="J39:J40" si="34">G39*E39</f>
        <v>15148.589975999999</v>
      </c>
      <c r="K39" s="24">
        <f t="shared" ref="K39:K40" si="35">H39*E39</f>
        <v>35346.709944000002</v>
      </c>
      <c r="L39" s="24">
        <f t="shared" ref="L39:L40" si="36">K39+J39</f>
        <v>50495.299920000005</v>
      </c>
      <c r="M39" s="25">
        <f>L39/$L$77</f>
        <v>0.10178774865302892</v>
      </c>
    </row>
    <row r="40" spans="1:13" s="5" customFormat="1" ht="42" customHeight="1">
      <c r="A40" s="205" t="s">
        <v>236</v>
      </c>
      <c r="B40" s="18" t="s">
        <v>78</v>
      </c>
      <c r="C40" s="18" t="s">
        <v>151</v>
      </c>
      <c r="D40" s="23" t="s">
        <v>242</v>
      </c>
      <c r="E40" s="174">
        <f>E39*1.3*26*1.6</f>
        <v>11248.640000000001</v>
      </c>
      <c r="F40" s="24">
        <v>1</v>
      </c>
      <c r="G40" s="24">
        <f t="shared" si="31"/>
        <v>0.36585000000000001</v>
      </c>
      <c r="H40" s="24">
        <f t="shared" si="32"/>
        <v>0.85365000000000002</v>
      </c>
      <c r="I40" s="24">
        <f t="shared" si="33"/>
        <v>1.2195</v>
      </c>
      <c r="J40" s="24">
        <f t="shared" si="34"/>
        <v>4115.3149440000007</v>
      </c>
      <c r="K40" s="24">
        <f t="shared" si="35"/>
        <v>9602.4015360000012</v>
      </c>
      <c r="L40" s="24">
        <f t="shared" si="36"/>
        <v>13717.716480000003</v>
      </c>
      <c r="M40" s="25">
        <f>L40/$L$77</f>
        <v>2.7651988984557212E-2</v>
      </c>
    </row>
    <row r="41" spans="1:13" s="10" customFormat="1" ht="15" customHeight="1">
      <c r="A41" s="206"/>
      <c r="B41" s="32"/>
      <c r="C41" s="32"/>
      <c r="D41" s="33"/>
      <c r="E41" s="102"/>
      <c r="F41" s="34"/>
      <c r="G41" s="34"/>
      <c r="H41" s="34"/>
      <c r="I41" s="34"/>
      <c r="J41" s="34"/>
      <c r="K41" s="34"/>
      <c r="L41" s="34"/>
      <c r="M41" s="35"/>
    </row>
    <row r="42" spans="1:13" s="5" customFormat="1" ht="15" customHeight="1">
      <c r="A42" s="207"/>
      <c r="B42" s="19">
        <v>3</v>
      </c>
      <c r="C42" s="19" t="s">
        <v>95</v>
      </c>
      <c r="D42" s="19"/>
      <c r="E42" s="176"/>
      <c r="F42" s="19"/>
      <c r="G42" s="19"/>
      <c r="H42" s="19"/>
      <c r="I42" s="19"/>
      <c r="J42" s="19"/>
      <c r="K42" s="19"/>
      <c r="L42" s="20">
        <f>SUM(L43:L54)</f>
        <v>260897.94135195002</v>
      </c>
      <c r="M42" s="21">
        <f t="shared" ref="M42:M51" si="37">L42/$L$77</f>
        <v>0.52591457265325947</v>
      </c>
    </row>
    <row r="43" spans="1:13" s="5" customFormat="1" ht="15" customHeight="1">
      <c r="A43" s="205" t="s">
        <v>249</v>
      </c>
      <c r="B43" s="18" t="s">
        <v>19</v>
      </c>
      <c r="C43" s="18" t="s">
        <v>250</v>
      </c>
      <c r="D43" s="23" t="s">
        <v>68</v>
      </c>
      <c r="E43" s="174">
        <f>(L11*7.96)+35.5</f>
        <v>1468.3</v>
      </c>
      <c r="F43" s="24">
        <v>1.91</v>
      </c>
      <c r="G43" s="24">
        <f t="shared" ref="G43:G51" si="38">I43*0.3</f>
        <v>0.69877349999999994</v>
      </c>
      <c r="H43" s="24">
        <f t="shared" ref="H43:H51" si="39">I43*0.7</f>
        <v>1.6304714999999999</v>
      </c>
      <c r="I43" s="24">
        <f t="shared" ref="I43:I48" si="40">F43*(1+$G$13)</f>
        <v>2.3292449999999998</v>
      </c>
      <c r="J43" s="24">
        <f t="shared" ref="J43:J51" si="41">G43*E43</f>
        <v>1026.0091300499998</v>
      </c>
      <c r="K43" s="24">
        <f t="shared" ref="K43:K51" si="42">H43*E43</f>
        <v>2394.0213034499998</v>
      </c>
      <c r="L43" s="24">
        <f t="shared" ref="L43:L51" si="43">K43+J43</f>
        <v>3420.0304334999996</v>
      </c>
      <c r="M43" s="25">
        <f t="shared" si="37"/>
        <v>6.8940514998887337E-3</v>
      </c>
    </row>
    <row r="44" spans="1:13" s="5" customFormat="1" ht="42" customHeight="1">
      <c r="A44" s="205" t="s">
        <v>246</v>
      </c>
      <c r="B44" s="18" t="s">
        <v>24</v>
      </c>
      <c r="C44" s="18" t="s">
        <v>251</v>
      </c>
      <c r="D44" s="23" t="s">
        <v>23</v>
      </c>
      <c r="E44" s="174">
        <f>(L11*0.17*7.71)+(35.5*0.17)</f>
        <v>241.96100000000001</v>
      </c>
      <c r="F44" s="24">
        <v>199.07</v>
      </c>
      <c r="G44" s="24">
        <f t="shared" si="38"/>
        <v>72.829759499999994</v>
      </c>
      <c r="H44" s="24">
        <f t="shared" si="39"/>
        <v>169.9361055</v>
      </c>
      <c r="I44" s="24">
        <f t="shared" si="40"/>
        <v>242.76586499999999</v>
      </c>
      <c r="J44" s="24">
        <f t="shared" si="41"/>
        <v>17621.961438379498</v>
      </c>
      <c r="K44" s="24">
        <f t="shared" si="42"/>
        <v>41117.910022885502</v>
      </c>
      <c r="L44" s="24">
        <f t="shared" si="43"/>
        <v>58739.871461265</v>
      </c>
      <c r="M44" s="25">
        <f t="shared" si="37"/>
        <v>0.11840704544151696</v>
      </c>
    </row>
    <row r="45" spans="1:13" s="5" customFormat="1" ht="43.8" customHeight="1">
      <c r="A45" s="205" t="s">
        <v>236</v>
      </c>
      <c r="B45" s="18" t="s">
        <v>25</v>
      </c>
      <c r="C45" s="18" t="s">
        <v>146</v>
      </c>
      <c r="D45" s="23" t="s">
        <v>242</v>
      </c>
      <c r="E45" s="174">
        <f>E44*1.3*26*1.6</f>
        <v>13085.250880000001</v>
      </c>
      <c r="F45" s="24">
        <v>1</v>
      </c>
      <c r="G45" s="24">
        <f t="shared" si="38"/>
        <v>0.36585000000000001</v>
      </c>
      <c r="H45" s="24">
        <f t="shared" si="39"/>
        <v>0.85365000000000002</v>
      </c>
      <c r="I45" s="24">
        <f t="shared" si="40"/>
        <v>1.2195</v>
      </c>
      <c r="J45" s="24">
        <f t="shared" si="41"/>
        <v>4787.2390344480009</v>
      </c>
      <c r="K45" s="24">
        <f t="shared" si="42"/>
        <v>11170.224413712001</v>
      </c>
      <c r="L45" s="24">
        <f t="shared" si="43"/>
        <v>15957.463448160002</v>
      </c>
      <c r="M45" s="25">
        <f t="shared" si="37"/>
        <v>3.2166840897559841E-2</v>
      </c>
    </row>
    <row r="46" spans="1:13" s="5" customFormat="1" ht="28.2" customHeight="1">
      <c r="A46" s="205" t="s">
        <v>253</v>
      </c>
      <c r="B46" s="18" t="s">
        <v>37</v>
      </c>
      <c r="C46" s="18" t="s">
        <v>252</v>
      </c>
      <c r="D46" s="23" t="s">
        <v>23</v>
      </c>
      <c r="E46" s="178">
        <f>(L11*0.15*7.23)+(35.5*0.15)</f>
        <v>200.535</v>
      </c>
      <c r="F46" s="24">
        <v>237.49</v>
      </c>
      <c r="G46" s="24">
        <f t="shared" si="38"/>
        <v>86.885716500000001</v>
      </c>
      <c r="H46" s="24">
        <f t="shared" si="39"/>
        <v>202.7333385</v>
      </c>
      <c r="I46" s="24">
        <f t="shared" si="40"/>
        <v>289.619055</v>
      </c>
      <c r="J46" s="24">
        <f t="shared" si="41"/>
        <v>17423.627158327501</v>
      </c>
      <c r="K46" s="24">
        <f t="shared" si="42"/>
        <v>40655.1300360975</v>
      </c>
      <c r="L46" s="24">
        <f t="shared" si="43"/>
        <v>58078.757194425001</v>
      </c>
      <c r="M46" s="25">
        <f t="shared" si="37"/>
        <v>0.11707438016513175</v>
      </c>
    </row>
    <row r="47" spans="1:13" s="5" customFormat="1" ht="40.799999999999997" customHeight="1">
      <c r="A47" s="205" t="s">
        <v>236</v>
      </c>
      <c r="B47" s="18" t="s">
        <v>26</v>
      </c>
      <c r="C47" s="18" t="s">
        <v>147</v>
      </c>
      <c r="D47" s="23" t="s">
        <v>242</v>
      </c>
      <c r="E47" s="174">
        <f>E46*1.3*26*1.6</f>
        <v>10844.9328</v>
      </c>
      <c r="F47" s="24">
        <v>1</v>
      </c>
      <c r="G47" s="24">
        <f t="shared" si="38"/>
        <v>0.36585000000000001</v>
      </c>
      <c r="H47" s="24">
        <f t="shared" si="39"/>
        <v>0.85365000000000002</v>
      </c>
      <c r="I47" s="24">
        <f t="shared" si="40"/>
        <v>1.2195</v>
      </c>
      <c r="J47" s="24">
        <f t="shared" si="41"/>
        <v>3967.6186648800003</v>
      </c>
      <c r="K47" s="24">
        <f t="shared" si="42"/>
        <v>9257.7768847200005</v>
      </c>
      <c r="L47" s="24">
        <f t="shared" si="43"/>
        <v>13225.395549600002</v>
      </c>
      <c r="M47" s="25">
        <f t="shared" si="37"/>
        <v>2.665957505297202E-2</v>
      </c>
    </row>
    <row r="48" spans="1:13" s="5" customFormat="1" ht="28.2" customHeight="1">
      <c r="A48" s="205" t="s">
        <v>254</v>
      </c>
      <c r="B48" s="18" t="s">
        <v>27</v>
      </c>
      <c r="C48" s="18" t="s">
        <v>91</v>
      </c>
      <c r="D48" s="23" t="s">
        <v>68</v>
      </c>
      <c r="E48" s="174">
        <f>(L11*7)+35.5</f>
        <v>1295.5</v>
      </c>
      <c r="F48" s="24">
        <v>0.61</v>
      </c>
      <c r="G48" s="24">
        <f t="shared" si="38"/>
        <v>0.22316849999999999</v>
      </c>
      <c r="H48" s="24">
        <f t="shared" si="39"/>
        <v>0.52072649999999998</v>
      </c>
      <c r="I48" s="24">
        <f t="shared" si="40"/>
        <v>0.74389499999999997</v>
      </c>
      <c r="J48" s="24">
        <f t="shared" si="41"/>
        <v>289.11479174999999</v>
      </c>
      <c r="K48" s="24">
        <f t="shared" si="42"/>
        <v>674.60118075000003</v>
      </c>
      <c r="L48" s="24">
        <f t="shared" si="43"/>
        <v>963.71597250000002</v>
      </c>
      <c r="M48" s="25">
        <f t="shared" si="37"/>
        <v>1.9426457380617797E-3</v>
      </c>
    </row>
    <row r="49" spans="1:13" s="5" customFormat="1" ht="15" customHeight="1">
      <c r="A49" s="205" t="s">
        <v>255</v>
      </c>
      <c r="B49" s="18" t="s">
        <v>75</v>
      </c>
      <c r="C49" s="18" t="s">
        <v>90</v>
      </c>
      <c r="D49" s="23" t="s">
        <v>68</v>
      </c>
      <c r="E49" s="174">
        <f>E48</f>
        <v>1295.5</v>
      </c>
      <c r="F49" s="24">
        <v>0.46</v>
      </c>
      <c r="G49" s="24">
        <f t="shared" si="38"/>
        <v>0.15870000000000001</v>
      </c>
      <c r="H49" s="24">
        <f t="shared" si="39"/>
        <v>0.37030000000000002</v>
      </c>
      <c r="I49" s="24">
        <f>F49*(1+$H$13)</f>
        <v>0.52900000000000003</v>
      </c>
      <c r="J49" s="24">
        <f t="shared" si="41"/>
        <v>205.59585000000001</v>
      </c>
      <c r="K49" s="24">
        <f t="shared" si="42"/>
        <v>479.72365000000002</v>
      </c>
      <c r="L49" s="24">
        <f t="shared" si="43"/>
        <v>685.31950000000006</v>
      </c>
      <c r="M49" s="25">
        <f t="shared" si="37"/>
        <v>1.3814578609006398E-3</v>
      </c>
    </row>
    <row r="50" spans="1:13" s="5" customFormat="1" ht="28.2" customHeight="1">
      <c r="A50" s="205" t="s">
        <v>259</v>
      </c>
      <c r="B50" s="18" t="s">
        <v>76</v>
      </c>
      <c r="C50" s="18" t="s">
        <v>257</v>
      </c>
      <c r="D50" s="23" t="s">
        <v>256</v>
      </c>
      <c r="E50" s="174">
        <f>(I11)*0.05*2.6</f>
        <v>156.71500000000003</v>
      </c>
      <c r="F50" s="24">
        <v>190.43</v>
      </c>
      <c r="G50" s="24">
        <f t="shared" si="38"/>
        <v>65.698349999999991</v>
      </c>
      <c r="H50" s="24">
        <f t="shared" si="39"/>
        <v>153.29614999999998</v>
      </c>
      <c r="I50" s="24">
        <f>F50*(1+$H$13)</f>
        <v>218.99449999999999</v>
      </c>
      <c r="J50" s="24">
        <f>G50*E50+0.25</f>
        <v>10296.16692025</v>
      </c>
      <c r="K50" s="24">
        <f t="shared" si="42"/>
        <v>24023.806147250001</v>
      </c>
      <c r="L50" s="24">
        <f t="shared" si="43"/>
        <v>34319.973067500003</v>
      </c>
      <c r="M50" s="25">
        <f t="shared" si="37"/>
        <v>6.9181741625615675E-2</v>
      </c>
    </row>
    <row r="51" spans="1:13" s="5" customFormat="1" ht="40.799999999999997" customHeight="1">
      <c r="A51" s="205" t="s">
        <v>236</v>
      </c>
      <c r="B51" s="18" t="s">
        <v>77</v>
      </c>
      <c r="C51" s="18" t="s">
        <v>152</v>
      </c>
      <c r="D51" s="23" t="s">
        <v>242</v>
      </c>
      <c r="E51" s="174">
        <f>E50*26</f>
        <v>4074.5900000000011</v>
      </c>
      <c r="F51" s="24">
        <v>1</v>
      </c>
      <c r="G51" s="24">
        <f t="shared" si="38"/>
        <v>0.34499999999999997</v>
      </c>
      <c r="H51" s="24">
        <f t="shared" si="39"/>
        <v>0.80499999999999994</v>
      </c>
      <c r="I51" s="24">
        <f>F51*(1+$H$13)</f>
        <v>1.1499999999999999</v>
      </c>
      <c r="J51" s="24">
        <f t="shared" si="41"/>
        <v>1405.7335500000002</v>
      </c>
      <c r="K51" s="24">
        <f t="shared" si="42"/>
        <v>3280.0449500000004</v>
      </c>
      <c r="L51" s="24">
        <f t="shared" si="43"/>
        <v>4685.7785000000003</v>
      </c>
      <c r="M51" s="25">
        <f t="shared" si="37"/>
        <v>9.4455294840788996E-3</v>
      </c>
    </row>
    <row r="52" spans="1:13" s="5" customFormat="1" ht="40.799999999999997" customHeight="1">
      <c r="A52" s="205" t="s">
        <v>281</v>
      </c>
      <c r="B52" s="18" t="s">
        <v>275</v>
      </c>
      <c r="C52" s="18" t="s">
        <v>274</v>
      </c>
      <c r="D52" s="23" t="s">
        <v>280</v>
      </c>
      <c r="E52" s="174">
        <f>ROUND(E49*0.6/1000,2)</f>
        <v>0.78</v>
      </c>
      <c r="F52" s="24">
        <v>4118.95</v>
      </c>
      <c r="G52" s="24"/>
      <c r="H52" s="24">
        <f>I52*1</f>
        <v>4736.7924999999996</v>
      </c>
      <c r="I52" s="24">
        <f>F52*(1+$H$13)</f>
        <v>4736.7924999999996</v>
      </c>
      <c r="J52" s="24">
        <f t="shared" ref="J52" si="44">G52*E52</f>
        <v>0</v>
      </c>
      <c r="K52" s="24">
        <f t="shared" ref="K52" si="45">H52*E52</f>
        <v>3694.6981499999997</v>
      </c>
      <c r="L52" s="24">
        <f t="shared" ref="L52" si="46">K52+J52</f>
        <v>3694.6981499999997</v>
      </c>
      <c r="M52" s="25">
        <f t="shared" ref="M52" si="47">L52/$L$77</f>
        <v>7.4477230006917217E-3</v>
      </c>
    </row>
    <row r="53" spans="1:13" s="5" customFormat="1" ht="40.799999999999997" customHeight="1">
      <c r="A53" s="205" t="s">
        <v>281</v>
      </c>
      <c r="B53" s="18" t="s">
        <v>276</v>
      </c>
      <c r="C53" s="18" t="s">
        <v>278</v>
      </c>
      <c r="D53" s="23" t="s">
        <v>280</v>
      </c>
      <c r="E53" s="174">
        <f>ROUND(E48*1.2/1000,2)</f>
        <v>1.55</v>
      </c>
      <c r="F53" s="24">
        <v>6586.11</v>
      </c>
      <c r="G53" s="24"/>
      <c r="H53" s="24">
        <f>I53*1</f>
        <v>7574.026499999999</v>
      </c>
      <c r="I53" s="24">
        <f>F53*(1+$H$13)</f>
        <v>7574.026499999999</v>
      </c>
      <c r="J53" s="24">
        <f t="shared" ref="J53" si="48">G53*E53</f>
        <v>0</v>
      </c>
      <c r="K53" s="24">
        <f t="shared" ref="K53" si="49">H53*E53</f>
        <v>11739.741074999998</v>
      </c>
      <c r="L53" s="24">
        <f t="shared" ref="L53" si="50">K53+J53</f>
        <v>11739.741074999998</v>
      </c>
      <c r="M53" s="25">
        <f t="shared" ref="M53" si="51">L53/$L$77</f>
        <v>2.3664812679336972E-2</v>
      </c>
    </row>
    <row r="54" spans="1:13" s="5" customFormat="1" ht="40.799999999999997" customHeight="1">
      <c r="A54" s="205" t="s">
        <v>281</v>
      </c>
      <c r="B54" s="18" t="s">
        <v>277</v>
      </c>
      <c r="C54" s="18" t="s">
        <v>279</v>
      </c>
      <c r="D54" s="23" t="s">
        <v>280</v>
      </c>
      <c r="E54" s="174">
        <f>ROUND(E50*0.06,2)</f>
        <v>9.4</v>
      </c>
      <c r="F54" s="24">
        <v>5123.7</v>
      </c>
      <c r="G54" s="24"/>
      <c r="H54" s="24">
        <f>I54*1</f>
        <v>5892.2549999999992</v>
      </c>
      <c r="I54" s="24">
        <f>F54*(1+$H$13)</f>
        <v>5892.2549999999992</v>
      </c>
      <c r="J54" s="24">
        <f t="shared" ref="J54" si="52">G54*E54</f>
        <v>0</v>
      </c>
      <c r="K54" s="24">
        <f t="shared" ref="K54" si="53">H54*E54</f>
        <v>55387.196999999993</v>
      </c>
      <c r="L54" s="24">
        <f t="shared" ref="L54" si="54">K54+J54</f>
        <v>55387.196999999993</v>
      </c>
      <c r="M54" s="25">
        <f t="shared" ref="M54" si="55">L54/$L$77</f>
        <v>0.11164876920750441</v>
      </c>
    </row>
    <row r="55" spans="1:13" s="5" customFormat="1" ht="15" customHeight="1">
      <c r="A55" s="206"/>
      <c r="B55" s="32"/>
      <c r="C55" s="32"/>
      <c r="D55" s="33"/>
      <c r="E55" s="102"/>
      <c r="F55" s="34"/>
      <c r="G55" s="34"/>
      <c r="H55" s="34"/>
      <c r="I55" s="34"/>
      <c r="J55" s="34"/>
      <c r="K55" s="34"/>
      <c r="L55" s="34"/>
      <c r="M55" s="35"/>
    </row>
    <row r="56" spans="1:13" s="5" customFormat="1" ht="15" customHeight="1">
      <c r="A56" s="207"/>
      <c r="B56" s="19">
        <v>4</v>
      </c>
      <c r="C56" s="19" t="s">
        <v>89</v>
      </c>
      <c r="D56" s="19"/>
      <c r="E56" s="176"/>
      <c r="F56" s="19"/>
      <c r="G56" s="19"/>
      <c r="H56" s="19"/>
      <c r="I56" s="19"/>
      <c r="J56" s="19"/>
      <c r="K56" s="19"/>
      <c r="L56" s="20">
        <f>SUM(L57:L68)</f>
        <v>32950.556100900001</v>
      </c>
      <c r="M56" s="21">
        <f t="shared" ref="M56:M68" si="56">L56/$L$77</f>
        <v>6.6421289262359878E-2</v>
      </c>
    </row>
    <row r="57" spans="1:13" s="5" customFormat="1" ht="42" customHeight="1">
      <c r="A57" s="205" t="s">
        <v>228</v>
      </c>
      <c r="B57" s="18" t="s">
        <v>28</v>
      </c>
      <c r="C57" s="18" t="s">
        <v>229</v>
      </c>
      <c r="D57" s="23" t="s">
        <v>23</v>
      </c>
      <c r="E57" s="178">
        <f>61*0.15</f>
        <v>9.15</v>
      </c>
      <c r="F57" s="24">
        <v>11.58</v>
      </c>
      <c r="G57" s="24">
        <f t="shared" ref="G57:G62" si="57">I57*0.3</f>
        <v>4.2365430000000002</v>
      </c>
      <c r="H57" s="24">
        <f t="shared" ref="H57:H62" si="58">I57*0.7</f>
        <v>9.8852669999999989</v>
      </c>
      <c r="I57" s="24">
        <f t="shared" ref="I57:I62" si="59">F57*(1+$G$13)</f>
        <v>14.12181</v>
      </c>
      <c r="J57" s="24">
        <f t="shared" ref="J57:J62" si="60">G57*E57</f>
        <v>38.764368450000006</v>
      </c>
      <c r="K57" s="24">
        <f t="shared" ref="K57:K62" si="61">H57*E57</f>
        <v>90.450193049999996</v>
      </c>
      <c r="L57" s="24">
        <f t="shared" ref="L57:L62" si="62">K57+J57</f>
        <v>129.2145615</v>
      </c>
      <c r="M57" s="25">
        <f t="shared" si="56"/>
        <v>2.6046898085783953E-4</v>
      </c>
    </row>
    <row r="58" spans="1:13" s="5" customFormat="1" ht="42" customHeight="1">
      <c r="A58" s="205" t="s">
        <v>230</v>
      </c>
      <c r="B58" s="18" t="s">
        <v>29</v>
      </c>
      <c r="C58" s="18" t="s">
        <v>231</v>
      </c>
      <c r="D58" s="23" t="s">
        <v>23</v>
      </c>
      <c r="E58" s="174">
        <f>61*0.1</f>
        <v>6.1000000000000005</v>
      </c>
      <c r="F58" s="24">
        <v>19.600000000000001</v>
      </c>
      <c r="G58" s="24">
        <f t="shared" si="57"/>
        <v>7.1706599999999998</v>
      </c>
      <c r="H58" s="24">
        <f t="shared" si="58"/>
        <v>16.731539999999999</v>
      </c>
      <c r="I58" s="24">
        <f t="shared" si="59"/>
        <v>23.902200000000001</v>
      </c>
      <c r="J58" s="24">
        <f t="shared" si="60"/>
        <v>43.741026000000005</v>
      </c>
      <c r="K58" s="24">
        <f t="shared" si="61"/>
        <v>102.062394</v>
      </c>
      <c r="L58" s="24">
        <f t="shared" si="62"/>
        <v>145.80342000000002</v>
      </c>
      <c r="M58" s="25">
        <f t="shared" si="56"/>
        <v>2.9390857943659501E-4</v>
      </c>
    </row>
    <row r="59" spans="1:13" s="5" customFormat="1" ht="40.799999999999997" customHeight="1">
      <c r="A59" s="205" t="s">
        <v>232</v>
      </c>
      <c r="B59" s="18" t="s">
        <v>58</v>
      </c>
      <c r="C59" s="18" t="s">
        <v>233</v>
      </c>
      <c r="D59" s="23" t="s">
        <v>23</v>
      </c>
      <c r="E59" s="174">
        <f>61*0.4</f>
        <v>24.400000000000002</v>
      </c>
      <c r="F59" s="24">
        <v>184.02</v>
      </c>
      <c r="G59" s="24">
        <f t="shared" si="57"/>
        <v>67.323717000000002</v>
      </c>
      <c r="H59" s="24">
        <f t="shared" si="58"/>
        <v>157.088673</v>
      </c>
      <c r="I59" s="24">
        <f t="shared" si="59"/>
        <v>224.41239000000002</v>
      </c>
      <c r="J59" s="24">
        <f t="shared" si="60"/>
        <v>1642.6986948000001</v>
      </c>
      <c r="K59" s="24">
        <f t="shared" si="61"/>
        <v>3832.9636212000005</v>
      </c>
      <c r="L59" s="24">
        <f t="shared" si="62"/>
        <v>5475.6623160000008</v>
      </c>
      <c r="M59" s="25">
        <f t="shared" si="56"/>
        <v>1.1037766691412697E-2</v>
      </c>
    </row>
    <row r="60" spans="1:13" s="5" customFormat="1" ht="43.2" customHeight="1">
      <c r="A60" s="205" t="s">
        <v>234</v>
      </c>
      <c r="B60" s="18" t="s">
        <v>72</v>
      </c>
      <c r="C60" s="18" t="s">
        <v>235</v>
      </c>
      <c r="D60" s="23" t="s">
        <v>23</v>
      </c>
      <c r="E60" s="174">
        <f>E59*1.3</f>
        <v>31.720000000000002</v>
      </c>
      <c r="F60" s="24">
        <v>2.41</v>
      </c>
      <c r="G60" s="24">
        <f t="shared" si="57"/>
        <v>0.88169850000000005</v>
      </c>
      <c r="H60" s="24">
        <f t="shared" si="58"/>
        <v>2.0572965000000001</v>
      </c>
      <c r="I60" s="24">
        <f t="shared" si="59"/>
        <v>2.9389950000000002</v>
      </c>
      <c r="J60" s="24">
        <f t="shared" si="60"/>
        <v>27.967476420000004</v>
      </c>
      <c r="K60" s="24">
        <f t="shared" si="61"/>
        <v>65.257444980000002</v>
      </c>
      <c r="L60" s="24">
        <f t="shared" si="62"/>
        <v>93.224921399999999</v>
      </c>
      <c r="M60" s="25">
        <f t="shared" si="56"/>
        <v>1.879215468111943E-4</v>
      </c>
    </row>
    <row r="61" spans="1:13" s="5" customFormat="1" ht="44.4" customHeight="1">
      <c r="A61" s="205" t="s">
        <v>236</v>
      </c>
      <c r="B61" s="18" t="s">
        <v>73</v>
      </c>
      <c r="C61" s="18" t="s">
        <v>153</v>
      </c>
      <c r="D61" s="23" t="s">
        <v>238</v>
      </c>
      <c r="E61" s="174">
        <f>E58*1.3*2*1.6</f>
        <v>25.376000000000005</v>
      </c>
      <c r="F61" s="24">
        <v>1</v>
      </c>
      <c r="G61" s="24">
        <f t="shared" si="57"/>
        <v>0.36585000000000001</v>
      </c>
      <c r="H61" s="24">
        <f t="shared" si="58"/>
        <v>0.85365000000000002</v>
      </c>
      <c r="I61" s="24">
        <f t="shared" si="59"/>
        <v>1.2195</v>
      </c>
      <c r="J61" s="24">
        <f t="shared" si="60"/>
        <v>9.2838096000000014</v>
      </c>
      <c r="K61" s="24">
        <f t="shared" si="61"/>
        <v>21.662222400000005</v>
      </c>
      <c r="L61" s="24">
        <f t="shared" si="62"/>
        <v>30.946032000000006</v>
      </c>
      <c r="M61" s="25">
        <f t="shared" si="56"/>
        <v>6.2380596451848749E-5</v>
      </c>
    </row>
    <row r="62" spans="1:13" s="5" customFormat="1" ht="42" customHeight="1">
      <c r="A62" s="205" t="s">
        <v>236</v>
      </c>
      <c r="B62" s="18" t="s">
        <v>74</v>
      </c>
      <c r="C62" s="18" t="s">
        <v>154</v>
      </c>
      <c r="D62" s="23" t="s">
        <v>237</v>
      </c>
      <c r="E62" s="174">
        <f>E59*1.3*2*1.6</f>
        <v>101.50400000000002</v>
      </c>
      <c r="F62" s="24">
        <v>1</v>
      </c>
      <c r="G62" s="24">
        <f t="shared" si="57"/>
        <v>0.36585000000000001</v>
      </c>
      <c r="H62" s="24">
        <f t="shared" si="58"/>
        <v>0.85365000000000002</v>
      </c>
      <c r="I62" s="24">
        <f t="shared" si="59"/>
        <v>1.2195</v>
      </c>
      <c r="J62" s="24">
        <f t="shared" si="60"/>
        <v>37.135238400000006</v>
      </c>
      <c r="K62" s="24">
        <f t="shared" si="61"/>
        <v>86.648889600000018</v>
      </c>
      <c r="L62" s="24">
        <f t="shared" si="62"/>
        <v>123.78412800000002</v>
      </c>
      <c r="M62" s="25">
        <f t="shared" si="56"/>
        <v>2.49522385807395E-4</v>
      </c>
    </row>
    <row r="63" spans="1:13" s="5" customFormat="1" ht="40.799999999999997" customHeight="1">
      <c r="A63" s="205" t="s">
        <v>261</v>
      </c>
      <c r="B63" s="18" t="s">
        <v>108</v>
      </c>
      <c r="C63" s="18" t="s">
        <v>260</v>
      </c>
      <c r="D63" s="23" t="s">
        <v>21</v>
      </c>
      <c r="E63" s="174">
        <f>11+16</f>
        <v>27</v>
      </c>
      <c r="F63" s="24">
        <v>320.52999999999997</v>
      </c>
      <c r="G63" s="24">
        <f t="shared" ref="G63" si="63">I63*0.3</f>
        <v>117.26590049999999</v>
      </c>
      <c r="H63" s="24">
        <f t="shared" ref="H63" si="64">I63*0.7</f>
        <v>273.62043449999999</v>
      </c>
      <c r="I63" s="24">
        <f t="shared" ref="I63" si="65">F63*(1+$G$13)</f>
        <v>390.88633499999997</v>
      </c>
      <c r="J63" s="24">
        <f t="shared" ref="J63" si="66">G63*E63</f>
        <v>3166.1793134999998</v>
      </c>
      <c r="K63" s="24">
        <f t="shared" ref="K63" si="67">H63*E63</f>
        <v>7387.7517314999996</v>
      </c>
      <c r="L63" s="24">
        <f t="shared" ref="L63" si="68">K63+J63</f>
        <v>10553.931044999999</v>
      </c>
      <c r="M63" s="25">
        <f t="shared" si="56"/>
        <v>2.1274472717496808E-2</v>
      </c>
    </row>
    <row r="64" spans="1:13" s="5" customFormat="1" ht="28.2" customHeight="1">
      <c r="A64" s="205" t="s">
        <v>262</v>
      </c>
      <c r="B64" s="18" t="s">
        <v>179</v>
      </c>
      <c r="C64" s="18" t="s">
        <v>156</v>
      </c>
      <c r="D64" s="23" t="s">
        <v>30</v>
      </c>
      <c r="E64" s="174">
        <v>10</v>
      </c>
      <c r="F64" s="24">
        <v>710.38</v>
      </c>
      <c r="G64" s="24">
        <f t="shared" ref="G64" si="69">I64*0.3</f>
        <v>259.89252299999998</v>
      </c>
      <c r="H64" s="24">
        <f t="shared" ref="H64" si="70">I64*0.7</f>
        <v>606.415887</v>
      </c>
      <c r="I64" s="24">
        <f t="shared" ref="I64" si="71">F64*(1+$G$13)</f>
        <v>866.30840999999998</v>
      </c>
      <c r="J64" s="24">
        <f t="shared" ref="J64" si="72">G64*E64</f>
        <v>2598.9252299999998</v>
      </c>
      <c r="K64" s="24">
        <f t="shared" ref="K64" si="73">H64*E64</f>
        <v>6064.1588700000002</v>
      </c>
      <c r="L64" s="24">
        <f t="shared" ref="L64" si="74">K64+J64</f>
        <v>8663.0841</v>
      </c>
      <c r="M64" s="25">
        <f t="shared" si="56"/>
        <v>1.7462928793925088E-2</v>
      </c>
    </row>
    <row r="65" spans="1:13" s="5" customFormat="1" ht="45" customHeight="1">
      <c r="A65" s="205" t="s">
        <v>263</v>
      </c>
      <c r="B65" s="18" t="s">
        <v>109</v>
      </c>
      <c r="C65" s="18" t="s">
        <v>264</v>
      </c>
      <c r="D65" s="23" t="s">
        <v>265</v>
      </c>
      <c r="E65" s="174">
        <v>4</v>
      </c>
      <c r="F65" s="24">
        <v>389.45</v>
      </c>
      <c r="G65" s="24">
        <f t="shared" ref="G65:G66" si="75">I65*0.3</f>
        <v>142.48028249999999</v>
      </c>
      <c r="H65" s="24">
        <f t="shared" ref="H65:H66" si="76">I65*0.7</f>
        <v>332.45399249999997</v>
      </c>
      <c r="I65" s="24">
        <f t="shared" ref="I65:I66" si="77">F65*(1+$G$13)</f>
        <v>474.93427500000001</v>
      </c>
      <c r="J65" s="24">
        <f t="shared" ref="J65:J66" si="78">G65*E65</f>
        <v>569.92112999999995</v>
      </c>
      <c r="K65" s="24">
        <f t="shared" ref="K65:K66" si="79">H65*E65</f>
        <v>1329.8159699999999</v>
      </c>
      <c r="L65" s="24">
        <f t="shared" ref="L65:L66" si="80">K65+J65</f>
        <v>1899.7370999999998</v>
      </c>
      <c r="M65" s="25">
        <f t="shared" si="56"/>
        <v>3.8294645788418168E-3</v>
      </c>
    </row>
    <row r="66" spans="1:13" s="5" customFormat="1" ht="45" customHeight="1">
      <c r="A66" s="205" t="s">
        <v>266</v>
      </c>
      <c r="B66" s="18" t="s">
        <v>180</v>
      </c>
      <c r="C66" s="18" t="s">
        <v>171</v>
      </c>
      <c r="D66" s="23" t="s">
        <v>265</v>
      </c>
      <c r="E66" s="174">
        <v>2</v>
      </c>
      <c r="F66" s="24">
        <v>1939.64</v>
      </c>
      <c r="G66" s="24">
        <f t="shared" si="75"/>
        <v>709.61729400000002</v>
      </c>
      <c r="H66" s="24">
        <f t="shared" si="76"/>
        <v>1655.773686</v>
      </c>
      <c r="I66" s="24">
        <f t="shared" si="77"/>
        <v>2365.3909800000001</v>
      </c>
      <c r="J66" s="24">
        <f t="shared" si="78"/>
        <v>1419.234588</v>
      </c>
      <c r="K66" s="24">
        <f t="shared" si="79"/>
        <v>3311.547372</v>
      </c>
      <c r="L66" s="24">
        <f t="shared" si="80"/>
        <v>4730.7819600000003</v>
      </c>
      <c r="M66" s="25">
        <f t="shared" si="56"/>
        <v>9.536246855443244E-3</v>
      </c>
    </row>
    <row r="67" spans="1:13" s="5" customFormat="1" ht="28.2" customHeight="1">
      <c r="A67" s="205" t="s">
        <v>245</v>
      </c>
      <c r="B67" s="18" t="s">
        <v>181</v>
      </c>
      <c r="C67" s="18" t="s">
        <v>70</v>
      </c>
      <c r="D67" s="23" t="s">
        <v>23</v>
      </c>
      <c r="E67" s="174">
        <f>E57+E58+E59</f>
        <v>39.650000000000006</v>
      </c>
      <c r="F67" s="24">
        <v>2.75</v>
      </c>
      <c r="G67" s="24">
        <f t="shared" ref="G67:G68" si="81">I67*0.3</f>
        <v>1.0060875</v>
      </c>
      <c r="H67" s="24">
        <f t="shared" ref="H67:H68" si="82">I67*0.7</f>
        <v>2.3475375000000001</v>
      </c>
      <c r="I67" s="24">
        <f t="shared" ref="I67:I68" si="83">F67*(1+$G$13)</f>
        <v>3.3536250000000001</v>
      </c>
      <c r="J67" s="24">
        <f t="shared" ref="J67:J68" si="84">G67*E67</f>
        <v>39.891369375000004</v>
      </c>
      <c r="K67" s="24">
        <f t="shared" ref="K67:K68" si="85">H67*E67</f>
        <v>93.07986187500002</v>
      </c>
      <c r="L67" s="24">
        <f t="shared" ref="L67:L68" si="86">K67+J67</f>
        <v>132.97123125000002</v>
      </c>
      <c r="M67" s="25">
        <f t="shared" si="56"/>
        <v>2.6804162537903757E-4</v>
      </c>
    </row>
    <row r="68" spans="1:13" s="5" customFormat="1" ht="28.2" customHeight="1">
      <c r="A68" s="205" t="s">
        <v>267</v>
      </c>
      <c r="B68" s="18" t="s">
        <v>166</v>
      </c>
      <c r="C68" s="18" t="s">
        <v>71</v>
      </c>
      <c r="D68" s="23" t="s">
        <v>23</v>
      </c>
      <c r="E68" s="174">
        <f>E57+E58+E59</f>
        <v>39.650000000000006</v>
      </c>
      <c r="F68" s="24">
        <v>20.09</v>
      </c>
      <c r="G68" s="24">
        <f t="shared" si="81"/>
        <v>7.3499264999999996</v>
      </c>
      <c r="H68" s="24">
        <f t="shared" si="82"/>
        <v>17.149828499999998</v>
      </c>
      <c r="I68" s="24">
        <f t="shared" si="83"/>
        <v>24.499755</v>
      </c>
      <c r="J68" s="24">
        <f t="shared" si="84"/>
        <v>291.42458572500004</v>
      </c>
      <c r="K68" s="24">
        <f t="shared" si="85"/>
        <v>679.99070002500002</v>
      </c>
      <c r="L68" s="24">
        <f t="shared" si="86"/>
        <v>971.41528575000007</v>
      </c>
      <c r="M68" s="25">
        <f t="shared" si="56"/>
        <v>1.9581659104963142E-3</v>
      </c>
    </row>
    <row r="69" spans="1:13" s="5" customFormat="1" ht="15" customHeight="1">
      <c r="A69" s="206"/>
      <c r="B69" s="32"/>
      <c r="C69" s="32"/>
      <c r="D69" s="33"/>
      <c r="E69" s="102"/>
      <c r="F69" s="34"/>
      <c r="G69" s="34"/>
      <c r="H69" s="34"/>
      <c r="I69" s="34"/>
      <c r="J69" s="34"/>
      <c r="K69" s="34"/>
      <c r="L69" s="34"/>
      <c r="M69" s="35"/>
    </row>
    <row r="70" spans="1:13" s="5" customFormat="1" ht="15" customHeight="1">
      <c r="A70" s="207"/>
      <c r="B70" s="19">
        <v>5</v>
      </c>
      <c r="C70" s="19" t="s">
        <v>87</v>
      </c>
      <c r="D70" s="19"/>
      <c r="E70" s="176"/>
      <c r="F70" s="19"/>
      <c r="G70" s="19"/>
      <c r="H70" s="19"/>
      <c r="I70" s="19"/>
      <c r="J70" s="19"/>
      <c r="K70" s="19"/>
      <c r="L70" s="20">
        <f>SUM(L71:L74)</f>
        <v>2448.5974649999998</v>
      </c>
      <c r="M70" s="21">
        <f>L70/$L$77</f>
        <v>4.9358499447420198E-3</v>
      </c>
    </row>
    <row r="71" spans="1:13" s="5" customFormat="1" ht="28.2" customHeight="1">
      <c r="A71" s="205" t="s">
        <v>270</v>
      </c>
      <c r="B71" s="18" t="s">
        <v>31</v>
      </c>
      <c r="C71" s="18" t="s">
        <v>159</v>
      </c>
      <c r="D71" s="23" t="s">
        <v>68</v>
      </c>
      <c r="E71" s="174">
        <f>(2*L11*0.12)+(L11*0.15)</f>
        <v>70.199999999999989</v>
      </c>
      <c r="F71" s="24">
        <v>6.25</v>
      </c>
      <c r="G71" s="24">
        <f t="shared" ref="G71:G74" si="87">I71*0.3</f>
        <v>2.2865625000000001</v>
      </c>
      <c r="H71" s="24">
        <f t="shared" ref="H71:H74" si="88">I71*0.7</f>
        <v>5.3353124999999997</v>
      </c>
      <c r="I71" s="24">
        <f t="shared" ref="I71:I74" si="89">F71*(1+$G$13)</f>
        <v>7.6218750000000002</v>
      </c>
      <c r="J71" s="24">
        <f t="shared" ref="J71:J74" si="90">G71*E71</f>
        <v>160.51668749999999</v>
      </c>
      <c r="K71" s="24">
        <f t="shared" ref="K71:K74" si="91">H71*E71</f>
        <v>374.53893749999992</v>
      </c>
      <c r="L71" s="24">
        <f t="shared" ref="L71:L74" si="92">K71+J71</f>
        <v>535.05562499999996</v>
      </c>
      <c r="M71" s="25">
        <f>L71/$L$77</f>
        <v>1.0785579560706427E-3</v>
      </c>
    </row>
    <row r="72" spans="1:13" s="5" customFormat="1" ht="43.95" customHeight="1">
      <c r="A72" s="208" t="s">
        <v>105</v>
      </c>
      <c r="B72" s="18" t="s">
        <v>32</v>
      </c>
      <c r="C72" s="18" t="s">
        <v>173</v>
      </c>
      <c r="D72" s="23" t="s">
        <v>33</v>
      </c>
      <c r="E72" s="174">
        <v>1</v>
      </c>
      <c r="F72" s="24">
        <v>287.31</v>
      </c>
      <c r="G72" s="24">
        <f t="shared" ref="G72" si="93">I72*0.3</f>
        <v>105.1123635</v>
      </c>
      <c r="H72" s="24">
        <f t="shared" ref="H72" si="94">I72*0.7</f>
        <v>245.2621815</v>
      </c>
      <c r="I72" s="24">
        <f t="shared" ref="I72" si="95">F72*(1+$G$13)</f>
        <v>350.37454500000001</v>
      </c>
      <c r="J72" s="24">
        <f t="shared" ref="J72" si="96">G72*E72</f>
        <v>105.1123635</v>
      </c>
      <c r="K72" s="24">
        <f t="shared" ref="K72" si="97">H72*E72</f>
        <v>245.2621815</v>
      </c>
      <c r="L72" s="24">
        <f t="shared" ref="L72" si="98">K72+J72</f>
        <v>350.37454500000001</v>
      </c>
      <c r="M72" s="25">
        <f>L72/$L$77</f>
        <v>7.0628031078896042E-4</v>
      </c>
    </row>
    <row r="73" spans="1:13" s="5" customFormat="1" ht="43.95" customHeight="1">
      <c r="A73" s="208" t="s">
        <v>105</v>
      </c>
      <c r="B73" s="18" t="s">
        <v>182</v>
      </c>
      <c r="C73" s="18" t="s">
        <v>158</v>
      </c>
      <c r="D73" s="23" t="s">
        <v>33</v>
      </c>
      <c r="E73" s="174">
        <v>1</v>
      </c>
      <c r="F73" s="24">
        <v>287.31</v>
      </c>
      <c r="G73" s="24">
        <f t="shared" ref="G73" si="99">I73*0.3</f>
        <v>105.1123635</v>
      </c>
      <c r="H73" s="24">
        <f t="shared" ref="H73" si="100">I73*0.7</f>
        <v>245.2621815</v>
      </c>
      <c r="I73" s="24">
        <f t="shared" ref="I73" si="101">F73*(1+$G$13)</f>
        <v>350.37454500000001</v>
      </c>
      <c r="J73" s="24">
        <f t="shared" ref="J73" si="102">G73*E73</f>
        <v>105.1123635</v>
      </c>
      <c r="K73" s="24">
        <f t="shared" ref="K73" si="103">H73*E73</f>
        <v>245.2621815</v>
      </c>
      <c r="L73" s="24">
        <f t="shared" ref="L73" si="104">K73+J73</f>
        <v>350.37454500000001</v>
      </c>
      <c r="M73" s="25">
        <f>L73/$L$77</f>
        <v>7.0628031078896042E-4</v>
      </c>
    </row>
    <row r="74" spans="1:13" s="5" customFormat="1" ht="43.95" customHeight="1">
      <c r="A74" s="208" t="s">
        <v>106</v>
      </c>
      <c r="B74" s="18" t="s">
        <v>38</v>
      </c>
      <c r="C74" s="18" t="s">
        <v>88</v>
      </c>
      <c r="D74" s="23" t="s">
        <v>33</v>
      </c>
      <c r="E74" s="174">
        <f>E72+E73</f>
        <v>2</v>
      </c>
      <c r="F74" s="24">
        <v>497.25</v>
      </c>
      <c r="G74" s="24">
        <f t="shared" si="87"/>
        <v>181.9189125</v>
      </c>
      <c r="H74" s="24">
        <f t="shared" si="88"/>
        <v>424.4774625</v>
      </c>
      <c r="I74" s="24">
        <f t="shared" si="89"/>
        <v>606.39637500000003</v>
      </c>
      <c r="J74" s="24">
        <f t="shared" si="90"/>
        <v>363.83782500000001</v>
      </c>
      <c r="K74" s="24">
        <f t="shared" si="91"/>
        <v>848.954925</v>
      </c>
      <c r="L74" s="24">
        <f t="shared" si="92"/>
        <v>1212.7927500000001</v>
      </c>
      <c r="M74" s="25">
        <f>L74/$L$77</f>
        <v>2.4447313670934571E-3</v>
      </c>
    </row>
    <row r="75" spans="1:13" s="5" customFormat="1" ht="15" customHeight="1">
      <c r="A75" s="31"/>
      <c r="B75" s="32"/>
      <c r="C75" s="32"/>
      <c r="D75" s="33"/>
      <c r="E75" s="102"/>
      <c r="F75" s="34"/>
      <c r="G75" s="34"/>
      <c r="H75" s="34"/>
      <c r="I75" s="34"/>
      <c r="J75" s="34"/>
      <c r="K75" s="34"/>
      <c r="L75" s="34"/>
      <c r="M75" s="35"/>
    </row>
    <row r="76" spans="1:13" s="5" customFormat="1" ht="15.6" customHeight="1">
      <c r="A76" s="36"/>
      <c r="B76" s="37"/>
      <c r="C76" s="37"/>
      <c r="D76" s="38"/>
      <c r="E76" s="179"/>
      <c r="F76" s="39"/>
      <c r="G76" s="39"/>
      <c r="H76" s="39"/>
      <c r="I76" s="39"/>
      <c r="J76" s="39"/>
      <c r="K76" s="39"/>
      <c r="L76" s="39"/>
      <c r="M76" s="40"/>
    </row>
    <row r="77" spans="1:13">
      <c r="B77" s="3"/>
      <c r="C77" s="3"/>
      <c r="D77" s="3"/>
      <c r="E77" s="6"/>
      <c r="F77" s="3"/>
      <c r="G77" s="3"/>
      <c r="H77" s="3"/>
      <c r="I77" s="3" t="s">
        <v>11</v>
      </c>
      <c r="J77" s="6">
        <f>SUM(J19:J76)</f>
        <v>127578.96199219678</v>
      </c>
      <c r="K77" s="6">
        <f>SUM(K19:K76)</f>
        <v>368505.29754012567</v>
      </c>
      <c r="L77" s="6">
        <f>J77+K77</f>
        <v>496084.25953232247</v>
      </c>
      <c r="M77" s="29">
        <f>M18+M24+M42+M56+M70</f>
        <v>1.0000000000000002</v>
      </c>
    </row>
    <row r="78" spans="1:13">
      <c r="I78" s="2"/>
      <c r="J78" s="22" t="s">
        <v>17</v>
      </c>
      <c r="K78" s="22" t="s">
        <v>16</v>
      </c>
      <c r="L78" s="22" t="s">
        <v>7</v>
      </c>
      <c r="M78" s="2"/>
    </row>
    <row r="79" spans="1:13" s="5" customFormat="1">
      <c r="A79" s="45"/>
      <c r="B79" s="46"/>
      <c r="C79" s="46"/>
      <c r="D79" s="46"/>
      <c r="E79" s="180"/>
      <c r="F79" s="46"/>
      <c r="G79" s="46"/>
      <c r="H79" s="46"/>
      <c r="I79" s="2"/>
      <c r="J79" s="22"/>
      <c r="K79" s="22"/>
      <c r="L79" s="22"/>
      <c r="M79" s="2"/>
    </row>
    <row r="80" spans="1:13" s="5" customFormat="1">
      <c r="A80" s="30"/>
      <c r="B80" s="218" t="s">
        <v>86</v>
      </c>
      <c r="C80" s="218"/>
      <c r="D80" s="218"/>
      <c r="E80" s="218"/>
      <c r="F80" s="218"/>
      <c r="G80" s="218"/>
      <c r="H80" s="218"/>
      <c r="I80" s="2"/>
      <c r="J80" s="22"/>
      <c r="K80" s="22"/>
      <c r="L80" s="22"/>
      <c r="M80" s="2"/>
    </row>
    <row r="81" spans="1:13" s="5" customFormat="1" ht="28.2" customHeight="1">
      <c r="A81" s="30"/>
      <c r="B81" s="218"/>
      <c r="C81" s="218"/>
      <c r="D81" s="218"/>
      <c r="E81" s="218"/>
      <c r="F81" s="218"/>
      <c r="G81" s="218"/>
      <c r="H81" s="218"/>
      <c r="I81" s="218"/>
      <c r="J81" s="22"/>
      <c r="K81" s="22"/>
      <c r="L81" s="22"/>
      <c r="M81" s="2"/>
    </row>
    <row r="82" spans="1:13">
      <c r="B82" s="3"/>
      <c r="C82" s="1"/>
      <c r="D82" s="3"/>
      <c r="E82" s="6"/>
      <c r="F82" s="3"/>
      <c r="G82" s="3"/>
      <c r="H82" s="3"/>
      <c r="I82" s="211"/>
      <c r="J82" s="212"/>
      <c r="K82" s="213"/>
      <c r="L82" s="212"/>
      <c r="M82" s="212"/>
    </row>
    <row r="83" spans="1:13">
      <c r="B83" s="3"/>
      <c r="C83" s="1" t="s">
        <v>269</v>
      </c>
      <c r="D83" s="3"/>
      <c r="E83" s="6"/>
      <c r="F83" s="3"/>
      <c r="G83" s="3"/>
      <c r="H83" s="3"/>
      <c r="I83" s="211"/>
      <c r="J83" s="212"/>
      <c r="K83" s="213"/>
      <c r="L83" s="212"/>
      <c r="M83" s="212"/>
    </row>
    <row r="84" spans="1:13">
      <c r="B84" s="3"/>
      <c r="C84" s="1"/>
      <c r="D84" s="3"/>
      <c r="E84" s="6"/>
      <c r="F84" s="3"/>
      <c r="G84" s="3"/>
      <c r="H84" s="3"/>
      <c r="I84" s="211"/>
      <c r="J84" s="212"/>
      <c r="K84" s="213"/>
      <c r="L84" s="212"/>
      <c r="M84" s="212"/>
    </row>
    <row r="85" spans="1:13" ht="13.95" customHeight="1" thickBot="1">
      <c r="B85" s="7"/>
      <c r="C85" s="8"/>
      <c r="D85" s="9"/>
      <c r="E85" s="181"/>
      <c r="F85" s="9"/>
      <c r="G85" s="9"/>
      <c r="H85" s="8"/>
      <c r="I85" s="8"/>
      <c r="J85" s="8"/>
      <c r="K85" s="8"/>
      <c r="L85" s="8"/>
      <c r="M85" s="8"/>
    </row>
    <row r="86" spans="1:13">
      <c r="D86" s="224" t="s">
        <v>12</v>
      </c>
      <c r="E86" s="224"/>
      <c r="F86" s="224"/>
      <c r="G86" s="224"/>
    </row>
    <row r="87" spans="1:13">
      <c r="D87" s="209" t="s">
        <v>20</v>
      </c>
      <c r="E87" s="209"/>
      <c r="F87" s="209"/>
      <c r="G87" s="209"/>
    </row>
    <row r="89" spans="1:13">
      <c r="B89" s="28"/>
    </row>
    <row r="90" spans="1:13">
      <c r="B90" s="170" t="s">
        <v>268</v>
      </c>
      <c r="K90" s="106"/>
    </row>
    <row r="91" spans="1:13">
      <c r="K91" s="106"/>
    </row>
    <row r="92" spans="1:13">
      <c r="K92" s="106"/>
    </row>
    <row r="93" spans="1:13">
      <c r="B93" s="5" t="s">
        <v>220</v>
      </c>
    </row>
    <row r="94" spans="1:13">
      <c r="B94" s="5" t="s">
        <v>221</v>
      </c>
    </row>
    <row r="95" spans="1:13">
      <c r="B95" s="5" t="s">
        <v>222</v>
      </c>
    </row>
    <row r="96" spans="1:13">
      <c r="B96" s="5" t="s">
        <v>282</v>
      </c>
    </row>
  </sheetData>
  <mergeCells count="28">
    <mergeCell ref="B8:L8"/>
    <mergeCell ref="B9:L9"/>
    <mergeCell ref="C12:F12"/>
    <mergeCell ref="D86:G86"/>
    <mergeCell ref="A10:M10"/>
    <mergeCell ref="A16:A17"/>
    <mergeCell ref="I13:M13"/>
    <mergeCell ref="C15:K15"/>
    <mergeCell ref="J11:K11"/>
    <mergeCell ref="I84:J84"/>
    <mergeCell ref="K84:M84"/>
    <mergeCell ref="I14:M14"/>
    <mergeCell ref="J12:L12"/>
    <mergeCell ref="D87:G87"/>
    <mergeCell ref="M16:M17"/>
    <mergeCell ref="I82:J82"/>
    <mergeCell ref="K82:M82"/>
    <mergeCell ref="I83:J83"/>
    <mergeCell ref="K83:M83"/>
    <mergeCell ref="D16:D17"/>
    <mergeCell ref="E16:E17"/>
    <mergeCell ref="F16:F17"/>
    <mergeCell ref="B80:H80"/>
    <mergeCell ref="B81:I81"/>
    <mergeCell ref="G16:I16"/>
    <mergeCell ref="J16:L16"/>
    <mergeCell ref="B16:B17"/>
    <mergeCell ref="C16:C17"/>
  </mergeCells>
  <pageMargins left="0.31496062992125984" right="0.31496062992125984" top="0.39370078740157483" bottom="0.39370078740157483" header="0.11811023622047245" footer="0.11811023622047245"/>
  <pageSetup paperSize="9" scale="49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8"/>
  <sheetViews>
    <sheetView topLeftCell="A4" workbookViewId="0">
      <selection activeCell="B24" sqref="B24"/>
    </sheetView>
  </sheetViews>
  <sheetFormatPr defaultRowHeight="13.8"/>
  <cols>
    <col min="3" max="3" width="29.19921875" customWidth="1"/>
    <col min="4" max="4" width="11.69921875" customWidth="1"/>
    <col min="6" max="6" width="16.59765625" customWidth="1"/>
    <col min="7" max="7" width="15" customWidth="1"/>
  </cols>
  <sheetData>
    <row r="1" spans="1:12" s="5" customFormat="1"/>
    <row r="2" spans="1:12" s="5" customFormat="1"/>
    <row r="3" spans="1:12">
      <c r="A3" s="5"/>
      <c r="B3" s="5"/>
      <c r="C3" s="5"/>
      <c r="D3" s="5"/>
      <c r="E3" s="5"/>
      <c r="F3" s="5"/>
      <c r="G3" s="5"/>
    </row>
    <row r="4" spans="1:12">
      <c r="A4" s="5"/>
      <c r="B4" s="5"/>
      <c r="C4" s="5"/>
      <c r="D4" s="5"/>
      <c r="E4" s="5"/>
      <c r="F4" s="5"/>
      <c r="G4" s="5"/>
    </row>
    <row r="5" spans="1:12">
      <c r="A5" s="5"/>
      <c r="B5" s="5"/>
      <c r="C5" s="5"/>
      <c r="D5" s="5"/>
      <c r="E5" s="5"/>
      <c r="F5" s="5"/>
      <c r="G5" s="5"/>
    </row>
    <row r="6" spans="1:12">
      <c r="A6" s="5"/>
      <c r="B6" s="5"/>
      <c r="C6" s="5"/>
      <c r="D6" s="5"/>
      <c r="E6" s="5"/>
      <c r="F6" s="5"/>
      <c r="G6" s="5"/>
    </row>
    <row r="7" spans="1:12" ht="15.6">
      <c r="A7" s="5"/>
      <c r="B7" s="221" t="s">
        <v>57</v>
      </c>
      <c r="C7" s="221"/>
      <c r="D7" s="221"/>
      <c r="E7" s="221"/>
      <c r="F7" s="221"/>
      <c r="G7" s="221"/>
      <c r="H7" s="95"/>
      <c r="I7" s="95"/>
      <c r="J7" s="95"/>
      <c r="K7" s="95"/>
      <c r="L7" s="95"/>
    </row>
    <row r="8" spans="1:12" ht="15.6">
      <c r="A8" s="5"/>
      <c r="B8" s="222" t="s">
        <v>81</v>
      </c>
      <c r="C8" s="222"/>
      <c r="D8" s="222"/>
      <c r="E8" s="222"/>
      <c r="F8" s="222"/>
      <c r="G8" s="222"/>
      <c r="H8" s="96"/>
      <c r="I8" s="96"/>
      <c r="J8" s="96"/>
      <c r="K8" s="96"/>
      <c r="L8" s="96"/>
    </row>
    <row r="9" spans="1:12">
      <c r="A9" s="5"/>
      <c r="B9" s="238" t="s">
        <v>160</v>
      </c>
      <c r="C9" s="238"/>
      <c r="D9" s="238"/>
      <c r="E9" s="238"/>
      <c r="F9" s="238"/>
      <c r="G9" s="238"/>
    </row>
    <row r="10" spans="1:12">
      <c r="A10" s="5"/>
      <c r="B10" s="223" t="s">
        <v>176</v>
      </c>
      <c r="C10" s="223"/>
      <c r="D10" s="223"/>
      <c r="E10" s="223"/>
      <c r="F10" s="223"/>
      <c r="G10" s="223"/>
    </row>
    <row r="11" spans="1:12" ht="14.4" thickBot="1">
      <c r="A11" s="5"/>
      <c r="B11" s="239" t="s">
        <v>175</v>
      </c>
      <c r="C11" s="239"/>
      <c r="D11" s="239"/>
      <c r="E11" s="239"/>
      <c r="F11" s="239"/>
      <c r="G11" s="239"/>
    </row>
    <row r="12" spans="1:12" ht="14.4" thickBot="1">
      <c r="A12" s="5"/>
      <c r="B12" s="235" t="s">
        <v>177</v>
      </c>
      <c r="C12" s="236"/>
      <c r="D12" s="236"/>
      <c r="E12" s="236"/>
      <c r="F12" s="236"/>
      <c r="G12" s="237"/>
    </row>
    <row r="13" spans="1:12" ht="14.4" thickBot="1">
      <c r="A13" s="5"/>
      <c r="B13" s="48"/>
      <c r="C13" s="240" t="s">
        <v>178</v>
      </c>
      <c r="D13" s="240"/>
      <c r="E13" s="240"/>
      <c r="F13" s="241"/>
      <c r="G13" s="49" t="s">
        <v>39</v>
      </c>
    </row>
    <row r="14" spans="1:12">
      <c r="A14" s="5"/>
      <c r="B14" s="50">
        <f>[1]Orcamento!B15</f>
        <v>1</v>
      </c>
      <c r="C14" s="232" t="str">
        <f>Orcamento!C18</f>
        <v>SERVIÇOS PRELIMINARES</v>
      </c>
      <c r="D14" s="233"/>
      <c r="E14" s="233"/>
      <c r="F14" s="234"/>
      <c r="G14" s="51">
        <f>Orcamento!L18</f>
        <v>5963.7696299999989</v>
      </c>
    </row>
    <row r="15" spans="1:12">
      <c r="A15" s="5"/>
      <c r="B15" s="52">
        <f>[1]Orcamento!B22</f>
        <v>2</v>
      </c>
      <c r="C15" s="242" t="str">
        <f>Orcamento!C24</f>
        <v>MOVIMENTAÇÃO DE TERRA</v>
      </c>
      <c r="D15" s="243"/>
      <c r="E15" s="243"/>
      <c r="F15" s="244"/>
      <c r="G15" s="53">
        <f>Orcamento!L24</f>
        <v>193823.39498447248</v>
      </c>
    </row>
    <row r="16" spans="1:12">
      <c r="A16" s="5"/>
      <c r="B16" s="50">
        <f>[1]Orcamento!B32</f>
        <v>3</v>
      </c>
      <c r="C16" s="232" t="str">
        <f>Orcamento!C42</f>
        <v>PAVIMENTAÇÃO</v>
      </c>
      <c r="D16" s="233"/>
      <c r="E16" s="233"/>
      <c r="F16" s="234"/>
      <c r="G16" s="51">
        <f>Orcamento!L42</f>
        <v>260897.94135195002</v>
      </c>
    </row>
    <row r="17" spans="1:9">
      <c r="A17" s="5"/>
      <c r="B17" s="52">
        <f>[1]Orcamento!B47</f>
        <v>4</v>
      </c>
      <c r="C17" s="242" t="str">
        <f>Orcamento!C56</f>
        <v>DRENAGEM DE ÁGUAS PLUVIAIS E ENTRADAS MORADORES</v>
      </c>
      <c r="D17" s="243"/>
      <c r="E17" s="243"/>
      <c r="F17" s="244"/>
      <c r="G17" s="53">
        <f>Orcamento!L56</f>
        <v>32950.556100900001</v>
      </c>
    </row>
    <row r="18" spans="1:9" ht="14.4" thickBot="1">
      <c r="A18" s="5"/>
      <c r="B18" s="50">
        <f>[1]Orcamento!B51</f>
        <v>5</v>
      </c>
      <c r="C18" s="232" t="str">
        <f>Orcamento!C70</f>
        <v>SINALIZAÇÃO VIÁRIA</v>
      </c>
      <c r="D18" s="233"/>
      <c r="E18" s="233"/>
      <c r="F18" s="234"/>
      <c r="G18" s="51">
        <f>Orcamento!L70</f>
        <v>2448.5974649999998</v>
      </c>
    </row>
    <row r="19" spans="1:9" ht="14.4" thickBot="1">
      <c r="A19" s="5"/>
      <c r="B19" s="54"/>
      <c r="C19" s="248" t="s">
        <v>40</v>
      </c>
      <c r="D19" s="248"/>
      <c r="E19" s="248"/>
      <c r="F19" s="249"/>
      <c r="G19" s="55">
        <f>SUM(G14:G18)</f>
        <v>496084.25953232247</v>
      </c>
    </row>
    <row r="20" spans="1:9">
      <c r="A20" s="5"/>
      <c r="B20" s="5"/>
      <c r="C20" s="5"/>
      <c r="D20" s="5"/>
      <c r="E20" s="5"/>
      <c r="F20" s="5"/>
      <c r="G20" s="5"/>
    </row>
    <row r="21" spans="1:9">
      <c r="A21" s="5"/>
      <c r="B21" s="5"/>
      <c r="C21" s="5"/>
      <c r="D21" s="5"/>
      <c r="E21" s="5"/>
      <c r="F21" s="5"/>
      <c r="G21" s="5"/>
    </row>
    <row r="22" spans="1:9">
      <c r="A22" s="5"/>
      <c r="B22" s="5"/>
      <c r="C22" s="5"/>
      <c r="D22" s="5"/>
      <c r="E22" s="5"/>
      <c r="F22" s="5"/>
      <c r="G22" s="5"/>
    </row>
    <row r="23" spans="1:9">
      <c r="B23" s="28" t="s">
        <v>272</v>
      </c>
      <c r="C23" s="5"/>
      <c r="D23" s="5"/>
      <c r="E23" s="5"/>
      <c r="F23" s="5"/>
      <c r="G23" s="5"/>
      <c r="H23" s="5"/>
      <c r="I23" s="5"/>
    </row>
    <row r="24" spans="1:9">
      <c r="B24" s="89"/>
      <c r="C24" s="89"/>
      <c r="D24" s="89"/>
      <c r="E24" s="89"/>
      <c r="F24" s="245"/>
      <c r="G24" s="245"/>
      <c r="H24" s="245"/>
      <c r="I24" s="245"/>
    </row>
    <row r="25" spans="1:9">
      <c r="B25" s="89"/>
      <c r="C25" s="90"/>
      <c r="D25" s="246" t="s">
        <v>12</v>
      </c>
      <c r="E25" s="246"/>
      <c r="F25" s="246"/>
      <c r="G25" s="246"/>
      <c r="H25" s="104"/>
      <c r="I25" s="104"/>
    </row>
    <row r="26" spans="1:9">
      <c r="B26" s="5"/>
      <c r="C26" s="98"/>
      <c r="D26" s="247" t="s">
        <v>55</v>
      </c>
      <c r="E26" s="247"/>
      <c r="F26" s="247"/>
      <c r="G26" s="247"/>
      <c r="H26" s="105"/>
      <c r="I26" s="105"/>
    </row>
    <row r="27" spans="1:9">
      <c r="B27" s="5"/>
      <c r="C27" s="5"/>
      <c r="D27" s="247" t="s">
        <v>56</v>
      </c>
      <c r="E27" s="247"/>
      <c r="F27" s="247"/>
      <c r="G27" s="247"/>
      <c r="H27" s="105"/>
      <c r="I27" s="105"/>
    </row>
    <row r="28" spans="1:9">
      <c r="B28" s="5"/>
      <c r="C28" s="5"/>
      <c r="D28" s="5"/>
      <c r="E28" s="5"/>
      <c r="F28" s="5"/>
      <c r="G28" s="5"/>
      <c r="H28" s="5"/>
      <c r="I28" s="5"/>
    </row>
  </sheetData>
  <mergeCells count="17">
    <mergeCell ref="F24:I24"/>
    <mergeCell ref="D25:G25"/>
    <mergeCell ref="D26:G26"/>
    <mergeCell ref="D27:G27"/>
    <mergeCell ref="C19:F19"/>
    <mergeCell ref="C18:F18"/>
    <mergeCell ref="B12:G12"/>
    <mergeCell ref="B7:G7"/>
    <mergeCell ref="B8:G8"/>
    <mergeCell ref="B9:G9"/>
    <mergeCell ref="B10:G10"/>
    <mergeCell ref="B11:G11"/>
    <mergeCell ref="C13:F13"/>
    <mergeCell ref="C14:F14"/>
    <mergeCell ref="C15:F15"/>
    <mergeCell ref="C16:F16"/>
    <mergeCell ref="C17:F17"/>
  </mergeCells>
  <pageMargins left="0.51181102362204722" right="0.51181102362204722" top="0.78740157480314965" bottom="0.78740157480314965" header="0.31496062992125984" footer="0.31496062992125984"/>
  <pageSetup scale="75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49"/>
  <sheetViews>
    <sheetView topLeftCell="A9" workbookViewId="0">
      <selection activeCell="E40" sqref="B6:J40"/>
    </sheetView>
  </sheetViews>
  <sheetFormatPr defaultRowHeight="13.8"/>
  <cols>
    <col min="3" max="3" width="33.59765625" customWidth="1"/>
    <col min="4" max="4" width="16.19921875" customWidth="1"/>
    <col min="5" max="5" width="12.69921875" customWidth="1"/>
    <col min="6" max="6" width="8.69921875" customWidth="1"/>
    <col min="7" max="7" width="12.69921875" customWidth="1"/>
    <col min="8" max="8" width="8.69921875" customWidth="1"/>
    <col min="9" max="9" width="12.69921875" customWidth="1"/>
    <col min="10" max="10" width="8.69921875" customWidth="1"/>
  </cols>
  <sheetData>
    <row r="1" spans="1:10">
      <c r="A1" s="5"/>
      <c r="B1" s="5"/>
      <c r="C1" s="5"/>
      <c r="D1" s="5"/>
      <c r="E1" s="5"/>
      <c r="F1" s="5"/>
      <c r="G1" s="5"/>
      <c r="H1" s="5"/>
      <c r="I1" s="5"/>
      <c r="J1" s="5"/>
    </row>
    <row r="2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spans="1:10">
      <c r="A3" s="5"/>
      <c r="B3" s="5"/>
      <c r="C3" s="5"/>
      <c r="D3" s="5"/>
      <c r="E3" s="5"/>
      <c r="F3" s="5"/>
      <c r="G3" s="5"/>
      <c r="H3" s="5"/>
      <c r="I3" s="5"/>
      <c r="J3" s="5"/>
    </row>
    <row r="4" spans="1:10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>
      <c r="A5" s="5"/>
      <c r="B5" s="5"/>
      <c r="C5" s="5"/>
      <c r="D5" s="5"/>
      <c r="E5" s="5"/>
      <c r="F5" s="5"/>
      <c r="G5" s="5"/>
      <c r="H5" s="5"/>
      <c r="I5" s="5"/>
      <c r="J5" s="5"/>
    </row>
    <row r="6" spans="1:10">
      <c r="A6" s="5"/>
      <c r="B6" s="255"/>
      <c r="C6" s="255"/>
      <c r="D6" s="255"/>
      <c r="E6" s="255"/>
      <c r="F6" s="255"/>
      <c r="G6" s="255"/>
      <c r="H6" s="5"/>
      <c r="I6" s="5"/>
      <c r="J6" s="5"/>
    </row>
    <row r="7" spans="1:10">
      <c r="A7" s="5"/>
      <c r="B7" s="250"/>
      <c r="C7" s="250"/>
      <c r="D7" s="250"/>
      <c r="E7" s="250"/>
      <c r="F7" s="250"/>
      <c r="G7" s="250"/>
      <c r="H7" s="5"/>
      <c r="I7" s="5"/>
      <c r="J7" s="5"/>
    </row>
    <row r="8" spans="1:10" s="5" customFormat="1">
      <c r="B8" s="97"/>
      <c r="C8" s="97"/>
      <c r="D8" s="97"/>
      <c r="E8" s="97"/>
      <c r="F8" s="97"/>
      <c r="G8" s="97"/>
    </row>
    <row r="9" spans="1:10" s="5" customFormat="1">
      <c r="B9" s="97"/>
      <c r="C9" s="97"/>
      <c r="D9" s="97"/>
      <c r="E9" s="97"/>
      <c r="F9" s="97"/>
      <c r="G9" s="97"/>
    </row>
    <row r="10" spans="1:10" s="5" customFormat="1">
      <c r="B10" s="97"/>
      <c r="C10" s="97"/>
      <c r="D10" s="97"/>
      <c r="E10" s="97"/>
      <c r="F10" s="97"/>
      <c r="G10" s="97"/>
    </row>
    <row r="11" spans="1:10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spans="1:10">
      <c r="A12" s="5"/>
      <c r="B12" s="238"/>
      <c r="C12" s="238"/>
      <c r="D12" s="238"/>
      <c r="E12" s="238"/>
      <c r="F12" s="238"/>
      <c r="G12" s="238"/>
      <c r="H12" s="5"/>
      <c r="I12" s="5"/>
      <c r="J12" s="5"/>
    </row>
    <row r="13" spans="1:10" s="5" customFormat="1" ht="15.6">
      <c r="B13" s="221" t="s">
        <v>57</v>
      </c>
      <c r="C13" s="221"/>
      <c r="D13" s="221"/>
      <c r="E13" s="221"/>
      <c r="F13" s="221"/>
      <c r="G13" s="221"/>
      <c r="H13" s="221"/>
      <c r="I13" s="221"/>
      <c r="J13" s="221"/>
    </row>
    <row r="14" spans="1:10" s="5" customFormat="1" ht="15.6">
      <c r="B14" s="222" t="s">
        <v>81</v>
      </c>
      <c r="C14" s="222"/>
      <c r="D14" s="222"/>
      <c r="E14" s="222"/>
      <c r="F14" s="222"/>
      <c r="G14" s="222"/>
      <c r="H14" s="222"/>
      <c r="I14" s="222"/>
      <c r="J14" s="222"/>
    </row>
    <row r="15" spans="1:10" s="5" customFormat="1" ht="13.95" customHeight="1">
      <c r="B15" s="238" t="s">
        <v>107</v>
      </c>
      <c r="C15" s="238"/>
      <c r="D15" s="238"/>
      <c r="E15" s="238"/>
      <c r="F15" s="238"/>
      <c r="G15" s="238"/>
      <c r="H15" s="238"/>
      <c r="I15" s="238"/>
      <c r="J15" s="238"/>
    </row>
    <row r="16" spans="1:10" ht="13.95" customHeight="1">
      <c r="A16" s="5"/>
      <c r="B16" s="223" t="s">
        <v>167</v>
      </c>
      <c r="C16" s="223"/>
      <c r="D16" s="223"/>
      <c r="E16" s="223"/>
      <c r="F16" s="223"/>
      <c r="G16" s="223"/>
      <c r="H16" s="223"/>
      <c r="I16" s="223"/>
      <c r="J16" s="223"/>
    </row>
    <row r="17" spans="1:10" ht="14.4" customHeight="1" thickBot="1">
      <c r="A17" s="5"/>
      <c r="B17" s="256" t="s">
        <v>168</v>
      </c>
      <c r="C17" s="256"/>
      <c r="D17" s="256"/>
      <c r="E17" s="256"/>
      <c r="F17" s="256"/>
      <c r="G17" s="256"/>
      <c r="H17" s="256"/>
      <c r="I17" s="256"/>
      <c r="J17" s="256"/>
    </row>
    <row r="18" spans="1:10" ht="14.4" thickBot="1">
      <c r="A18" s="5"/>
      <c r="B18" s="257" t="s">
        <v>41</v>
      </c>
      <c r="C18" s="258"/>
      <c r="D18" s="258"/>
      <c r="E18" s="258"/>
      <c r="F18" s="258"/>
      <c r="G18" s="258"/>
      <c r="H18" s="258"/>
      <c r="I18" s="258"/>
      <c r="J18" s="259"/>
    </row>
    <row r="19" spans="1:10">
      <c r="A19" s="5"/>
      <c r="B19" s="57"/>
      <c r="C19" s="58"/>
      <c r="D19" s="59"/>
      <c r="E19" s="59"/>
      <c r="F19" s="59"/>
      <c r="G19" s="59"/>
      <c r="H19" s="59"/>
      <c r="I19" s="59"/>
      <c r="J19" s="59"/>
    </row>
    <row r="20" spans="1:10" ht="14.4" thickBot="1">
      <c r="A20" s="5"/>
      <c r="B20" s="60"/>
      <c r="C20" s="61"/>
      <c r="D20" s="62"/>
      <c r="E20" s="62"/>
      <c r="F20" s="62"/>
      <c r="G20" s="62"/>
      <c r="H20" s="62"/>
      <c r="I20" s="62"/>
      <c r="J20" s="63"/>
    </row>
    <row r="21" spans="1:10">
      <c r="A21" s="5"/>
      <c r="B21" s="64" t="s">
        <v>42</v>
      </c>
      <c r="C21" s="65" t="s">
        <v>43</v>
      </c>
      <c r="D21" s="66" t="s">
        <v>44</v>
      </c>
      <c r="E21" s="67" t="s">
        <v>45</v>
      </c>
      <c r="F21" s="68" t="s">
        <v>46</v>
      </c>
      <c r="G21" s="67" t="s">
        <v>47</v>
      </c>
      <c r="H21" s="68" t="s">
        <v>46</v>
      </c>
      <c r="I21" s="67" t="s">
        <v>48</v>
      </c>
      <c r="J21" s="68" t="s">
        <v>46</v>
      </c>
    </row>
    <row r="22" spans="1:10">
      <c r="A22" s="5"/>
      <c r="B22" s="251" t="s">
        <v>49</v>
      </c>
      <c r="C22" s="253" t="str">
        <f>Orcamento!$C$18</f>
        <v>SERVIÇOS PRELIMINARES</v>
      </c>
      <c r="D22" s="69">
        <f>Orcamento!L18</f>
        <v>5963.7696299999989</v>
      </c>
      <c r="E22" s="70">
        <f>E23*D22</f>
        <v>5963.7696299999989</v>
      </c>
      <c r="F22" s="71"/>
      <c r="G22" s="70">
        <f>G23*D22</f>
        <v>0</v>
      </c>
      <c r="H22" s="71"/>
      <c r="I22" s="70">
        <f>I23*D22</f>
        <v>0</v>
      </c>
      <c r="J22" s="71"/>
    </row>
    <row r="23" spans="1:10">
      <c r="A23" s="5"/>
      <c r="B23" s="252"/>
      <c r="C23" s="254"/>
      <c r="D23" s="72">
        <f>D22/$D$32</f>
        <v>1.2021686871545314E-2</v>
      </c>
      <c r="E23" s="73">
        <v>1</v>
      </c>
      <c r="F23" s="74">
        <f>E23</f>
        <v>1</v>
      </c>
      <c r="G23" s="73"/>
      <c r="H23" s="74">
        <f>G23+E23</f>
        <v>1</v>
      </c>
      <c r="I23" s="73"/>
      <c r="J23" s="74">
        <f>I23+H23</f>
        <v>1</v>
      </c>
    </row>
    <row r="24" spans="1:10">
      <c r="A24" s="5"/>
      <c r="B24" s="260" t="s">
        <v>50</v>
      </c>
      <c r="C24" s="262" t="str">
        <f>Orcamento!$C$24</f>
        <v>MOVIMENTAÇÃO DE TERRA</v>
      </c>
      <c r="D24" s="75">
        <f>Orcamento!L24</f>
        <v>193823.39498447248</v>
      </c>
      <c r="E24" s="76">
        <f>E25*D24</f>
        <v>116294.03699068348</v>
      </c>
      <c r="F24" s="77"/>
      <c r="G24" s="76">
        <f>G25*D24</f>
        <v>77529.357993789003</v>
      </c>
      <c r="H24" s="77"/>
      <c r="I24" s="76">
        <f>I25*D24</f>
        <v>0</v>
      </c>
      <c r="J24" s="77"/>
    </row>
    <row r="25" spans="1:10">
      <c r="A25" s="5"/>
      <c r="B25" s="261"/>
      <c r="C25" s="263"/>
      <c r="D25" s="56">
        <f>D24/$D$32</f>
        <v>0.39070660126809342</v>
      </c>
      <c r="E25" s="78">
        <v>0.6</v>
      </c>
      <c r="F25" s="79">
        <f>E25</f>
        <v>0.6</v>
      </c>
      <c r="G25" s="78">
        <v>0.4</v>
      </c>
      <c r="H25" s="79">
        <f>G25+E25</f>
        <v>1</v>
      </c>
      <c r="I25" s="78">
        <v>0</v>
      </c>
      <c r="J25" s="79">
        <f>I25+H25</f>
        <v>1</v>
      </c>
    </row>
    <row r="26" spans="1:10">
      <c r="A26" s="5"/>
      <c r="B26" s="251" t="s">
        <v>51</v>
      </c>
      <c r="C26" s="253" t="str">
        <f>Orcamento!$C$42</f>
        <v>PAVIMENTAÇÃO</v>
      </c>
      <c r="D26" s="69">
        <f>Orcamento!L42</f>
        <v>260897.94135195002</v>
      </c>
      <c r="E26" s="70">
        <f>E27*D26</f>
        <v>0</v>
      </c>
      <c r="F26" s="71"/>
      <c r="G26" s="70">
        <f>G27*D26</f>
        <v>39134.691202792499</v>
      </c>
      <c r="H26" s="71"/>
      <c r="I26" s="70">
        <f>I27*D26</f>
        <v>221763.25014915751</v>
      </c>
      <c r="J26" s="71"/>
    </row>
    <row r="27" spans="1:10">
      <c r="A27" s="5"/>
      <c r="B27" s="252"/>
      <c r="C27" s="254"/>
      <c r="D27" s="72">
        <f>D26/$D$32</f>
        <v>0.52591457265325947</v>
      </c>
      <c r="E27" s="73"/>
      <c r="F27" s="74">
        <f>E27</f>
        <v>0</v>
      </c>
      <c r="G27" s="73">
        <v>0.15</v>
      </c>
      <c r="H27" s="74">
        <f>G27+E27</f>
        <v>0.15</v>
      </c>
      <c r="I27" s="73">
        <v>0.85</v>
      </c>
      <c r="J27" s="74">
        <f>I27+H27</f>
        <v>1</v>
      </c>
    </row>
    <row r="28" spans="1:10">
      <c r="A28" s="5"/>
      <c r="B28" s="260" t="s">
        <v>52</v>
      </c>
      <c r="C28" s="262" t="str">
        <f>Orcamento!$C$56</f>
        <v>DRENAGEM DE ÁGUAS PLUVIAIS E ENTRADAS MORADORES</v>
      </c>
      <c r="D28" s="75">
        <f>Orcamento!L56</f>
        <v>32950.556100900001</v>
      </c>
      <c r="E28" s="76">
        <f>E29*D28</f>
        <v>19770.33366054</v>
      </c>
      <c r="F28" s="77"/>
      <c r="G28" s="76">
        <f>G29*D28</f>
        <v>13180.222440360001</v>
      </c>
      <c r="H28" s="77"/>
      <c r="I28" s="76">
        <f>I29*D28</f>
        <v>0</v>
      </c>
      <c r="J28" s="77"/>
    </row>
    <row r="29" spans="1:10">
      <c r="A29" s="5"/>
      <c r="B29" s="261"/>
      <c r="C29" s="263"/>
      <c r="D29" s="56">
        <f>D28/$D$32</f>
        <v>6.6421289262359878E-2</v>
      </c>
      <c r="E29" s="78">
        <v>0.6</v>
      </c>
      <c r="F29" s="79">
        <f>E29</f>
        <v>0.6</v>
      </c>
      <c r="G29" s="78">
        <v>0.4</v>
      </c>
      <c r="H29" s="79">
        <f>G29+E29</f>
        <v>1</v>
      </c>
      <c r="I29" s="78">
        <v>0</v>
      </c>
      <c r="J29" s="79">
        <f>I29+H29</f>
        <v>1</v>
      </c>
    </row>
    <row r="30" spans="1:10">
      <c r="A30" s="5"/>
      <c r="B30" s="251" t="s">
        <v>53</v>
      </c>
      <c r="C30" s="253" t="str">
        <f>Orcamento!$C$70</f>
        <v>SINALIZAÇÃO VIÁRIA</v>
      </c>
      <c r="D30" s="69">
        <f>Orcamento!L70</f>
        <v>2448.5974649999998</v>
      </c>
      <c r="E30" s="70">
        <f>E31*D30</f>
        <v>0</v>
      </c>
      <c r="F30" s="71"/>
      <c r="G30" s="70">
        <f>G31*D30</f>
        <v>0</v>
      </c>
      <c r="H30" s="71"/>
      <c r="I30" s="70">
        <f>I31*D30</f>
        <v>2448.5974649999998</v>
      </c>
      <c r="J30" s="71"/>
    </row>
    <row r="31" spans="1:10">
      <c r="A31" s="5"/>
      <c r="B31" s="252"/>
      <c r="C31" s="254"/>
      <c r="D31" s="72">
        <f>D30/$D$32</f>
        <v>4.9358499447420198E-3</v>
      </c>
      <c r="E31" s="73"/>
      <c r="F31" s="74">
        <f>E31</f>
        <v>0</v>
      </c>
      <c r="G31" s="73"/>
      <c r="H31" s="74">
        <f>G31+E31</f>
        <v>0</v>
      </c>
      <c r="I31" s="73">
        <v>1</v>
      </c>
      <c r="J31" s="74">
        <f>I31+H31</f>
        <v>1</v>
      </c>
    </row>
    <row r="32" spans="1:10">
      <c r="A32" s="5"/>
      <c r="B32" s="80" t="s">
        <v>54</v>
      </c>
      <c r="C32" s="81"/>
      <c r="D32" s="82">
        <f>D22+D24+D26+D28+D30</f>
        <v>496084.25953232247</v>
      </c>
      <c r="E32" s="83">
        <f>E22+E24+E26+E28+E30</f>
        <v>142028.14028122349</v>
      </c>
      <c r="F32" s="71"/>
      <c r="G32" s="83">
        <f>G22+G24+G26+G28+G30</f>
        <v>129844.2716369415</v>
      </c>
      <c r="H32" s="71"/>
      <c r="I32" s="83">
        <f>I22+I24+I26+I28+I30</f>
        <v>224211.84761415751</v>
      </c>
      <c r="J32" s="71"/>
    </row>
    <row r="33" spans="1:10" ht="14.4" thickBot="1">
      <c r="A33" s="5"/>
      <c r="B33" s="84"/>
      <c r="C33" s="85"/>
      <c r="D33" s="86">
        <f>D23+D25+D27+D29+D31</f>
        <v>1.0000000000000002</v>
      </c>
      <c r="E33" s="87">
        <f>E32/$D$32</f>
        <v>0.2862984211898173</v>
      </c>
      <c r="F33" s="88">
        <f>E33</f>
        <v>0.2862984211898173</v>
      </c>
      <c r="G33" s="87">
        <f>G32/$D$32</f>
        <v>0.26173834211017022</v>
      </c>
      <c r="H33" s="88">
        <f>G33+F33</f>
        <v>0.54803676329998752</v>
      </c>
      <c r="I33" s="87">
        <f>I32/$D$32</f>
        <v>0.45196323670001254</v>
      </c>
      <c r="J33" s="88">
        <f>I33+H33</f>
        <v>1</v>
      </c>
    </row>
    <row r="34" spans="1:10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>
      <c r="A36" s="5"/>
      <c r="B36" s="5"/>
      <c r="C36" s="28" t="s">
        <v>272</v>
      </c>
      <c r="D36" s="5"/>
      <c r="E36" s="5"/>
      <c r="F36" s="5"/>
      <c r="G36" s="5"/>
      <c r="H36" s="5"/>
      <c r="I36" s="5"/>
      <c r="J36" s="5"/>
    </row>
    <row r="37" spans="1:10">
      <c r="A37" s="5"/>
      <c r="B37" s="89"/>
      <c r="C37" s="89"/>
      <c r="D37" s="89"/>
      <c r="E37" s="89"/>
      <c r="F37" s="89"/>
      <c r="G37" s="245"/>
      <c r="H37" s="245"/>
      <c r="I37" s="245"/>
      <c r="J37" s="245"/>
    </row>
    <row r="38" spans="1:10">
      <c r="A38" s="5"/>
      <c r="B38" s="89"/>
      <c r="C38" s="89"/>
      <c r="D38" s="90"/>
      <c r="E38" s="246" t="s">
        <v>12</v>
      </c>
      <c r="F38" s="246"/>
      <c r="G38" s="246"/>
      <c r="H38" s="246"/>
      <c r="I38" s="246"/>
      <c r="J38" s="246"/>
    </row>
    <row r="39" spans="1:10">
      <c r="A39" s="5"/>
      <c r="B39" s="5"/>
      <c r="C39" s="5"/>
      <c r="D39" s="91"/>
      <c r="E39" s="247" t="s">
        <v>55</v>
      </c>
      <c r="F39" s="247"/>
      <c r="G39" s="247"/>
      <c r="H39" s="247"/>
      <c r="I39" s="247"/>
      <c r="J39" s="247"/>
    </row>
    <row r="40" spans="1:10">
      <c r="A40" s="5"/>
      <c r="B40" s="5"/>
      <c r="C40" s="5"/>
      <c r="D40" s="5"/>
      <c r="E40" s="247" t="s">
        <v>56</v>
      </c>
      <c r="F40" s="247"/>
      <c r="G40" s="247"/>
      <c r="H40" s="247"/>
      <c r="I40" s="247"/>
      <c r="J40" s="247"/>
    </row>
    <row r="41" spans="1:10">
      <c r="A41" s="5"/>
      <c r="B41" s="5"/>
      <c r="C41" s="5"/>
      <c r="D41" s="5"/>
      <c r="E41" s="5"/>
      <c r="F41" s="5"/>
      <c r="G41" s="5"/>
      <c r="H41" s="5"/>
      <c r="I41" s="5"/>
      <c r="J41" s="5"/>
    </row>
    <row r="42" spans="1:10">
      <c r="A42" s="5"/>
      <c r="B42" s="5"/>
      <c r="C42" s="5"/>
      <c r="D42" s="5"/>
      <c r="E42" s="5"/>
      <c r="F42" s="5"/>
      <c r="G42" s="5"/>
      <c r="H42" s="5"/>
      <c r="I42" s="5"/>
      <c r="J42" s="5"/>
    </row>
    <row r="43" spans="1:10">
      <c r="A43" s="5"/>
      <c r="B43" s="5"/>
      <c r="C43" s="5"/>
      <c r="D43" s="5"/>
      <c r="E43" s="5"/>
      <c r="F43" s="5"/>
      <c r="G43" s="5"/>
      <c r="H43" s="5"/>
      <c r="I43" s="5"/>
      <c r="J43" s="5"/>
    </row>
    <row r="47" spans="1:10">
      <c r="B47" s="250"/>
      <c r="C47" s="250"/>
      <c r="D47" s="250"/>
      <c r="E47" s="250"/>
      <c r="F47" s="250"/>
      <c r="G47" s="250"/>
      <c r="H47" s="5"/>
      <c r="I47" s="5"/>
      <c r="J47" s="5"/>
    </row>
    <row r="48" spans="1:10">
      <c r="B48" s="108"/>
      <c r="C48" s="108"/>
      <c r="D48" s="108"/>
      <c r="E48" s="108"/>
      <c r="F48" s="108"/>
      <c r="G48" s="108"/>
      <c r="H48" s="5"/>
      <c r="I48" s="5"/>
      <c r="J48" s="5"/>
    </row>
    <row r="49" spans="2:10">
      <c r="B49" s="108"/>
      <c r="C49" s="108"/>
      <c r="D49" s="108"/>
      <c r="E49" s="108"/>
      <c r="F49" s="108"/>
      <c r="G49" s="108"/>
      <c r="H49" s="5"/>
      <c r="I49" s="5"/>
      <c r="J49" s="5"/>
    </row>
  </sheetData>
  <mergeCells count="24">
    <mergeCell ref="E40:J40"/>
    <mergeCell ref="B30:B31"/>
    <mergeCell ref="C30:C31"/>
    <mergeCell ref="B28:B29"/>
    <mergeCell ref="C28:C29"/>
    <mergeCell ref="G37:J37"/>
    <mergeCell ref="E38:J38"/>
    <mergeCell ref="E39:J39"/>
    <mergeCell ref="B47:G47"/>
    <mergeCell ref="B22:B23"/>
    <mergeCell ref="C22:C23"/>
    <mergeCell ref="B6:G6"/>
    <mergeCell ref="B7:G7"/>
    <mergeCell ref="B12:G12"/>
    <mergeCell ref="B13:J13"/>
    <mergeCell ref="B14:J14"/>
    <mergeCell ref="B15:J15"/>
    <mergeCell ref="B16:J16"/>
    <mergeCell ref="B17:J17"/>
    <mergeCell ref="B18:J18"/>
    <mergeCell ref="B24:B25"/>
    <mergeCell ref="C24:C25"/>
    <mergeCell ref="B26:B27"/>
    <mergeCell ref="C26:C27"/>
  </mergeCells>
  <pageMargins left="0.51181102362204722" right="0.51181102362204722" top="0.78740157480314965" bottom="0.78740157480314965" header="0.31496062992125984" footer="0.31496062992125984"/>
  <pageSetup scale="7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47"/>
  <sheetViews>
    <sheetView view="pageBreakPreview" zoomScale="60" zoomScaleNormal="75" workbookViewId="0">
      <selection activeCell="H47" sqref="A4:H47"/>
    </sheetView>
  </sheetViews>
  <sheetFormatPr defaultRowHeight="13.8"/>
  <cols>
    <col min="4" max="4" width="56.3984375" customWidth="1"/>
  </cols>
  <sheetData>
    <row r="1" spans="1:14" s="5" customFormat="1"/>
    <row r="2" spans="1:14" s="5" customFormat="1"/>
    <row r="3" spans="1:14" s="5" customFormat="1"/>
    <row r="4" spans="1:14" s="5" customFormat="1"/>
    <row r="5" spans="1:14" s="5" customFormat="1"/>
    <row r="6" spans="1:14" s="5" customFormat="1"/>
    <row r="7" spans="1:14" s="5" customFormat="1"/>
    <row r="8" spans="1:14" s="5" customFormat="1"/>
    <row r="9" spans="1:14" s="5" customFormat="1"/>
    <row r="11" spans="1:14" s="5" customFormat="1" ht="15" customHeight="1">
      <c r="A11" s="221" t="s">
        <v>57</v>
      </c>
      <c r="B11" s="221"/>
      <c r="C11" s="221"/>
      <c r="D11" s="221"/>
      <c r="E11" s="221"/>
      <c r="F11" s="221"/>
      <c r="G11" s="221"/>
      <c r="H11" s="221"/>
      <c r="I11" s="95"/>
      <c r="J11" s="95"/>
      <c r="K11" s="95"/>
      <c r="L11" s="95"/>
      <c r="M11" s="95"/>
    </row>
    <row r="12" spans="1:14" s="5" customFormat="1" ht="15.6">
      <c r="A12" s="222" t="s">
        <v>81</v>
      </c>
      <c r="B12" s="222"/>
      <c r="C12" s="222"/>
      <c r="D12" s="222"/>
      <c r="E12" s="222"/>
      <c r="F12" s="222"/>
      <c r="G12" s="222"/>
      <c r="H12" s="222"/>
      <c r="I12" s="96"/>
      <c r="J12" s="96"/>
      <c r="K12" s="96"/>
      <c r="L12" s="96"/>
      <c r="M12" s="96"/>
    </row>
    <row r="13" spans="1:14" s="5" customFormat="1" ht="15.6">
      <c r="A13" s="111"/>
      <c r="B13" s="111"/>
      <c r="C13" s="111"/>
      <c r="D13" s="111"/>
      <c r="E13" s="111"/>
      <c r="F13" s="111"/>
      <c r="G13" s="111"/>
      <c r="H13" s="111"/>
      <c r="I13" s="96"/>
      <c r="J13" s="96"/>
      <c r="K13" s="96"/>
      <c r="L13" s="96"/>
      <c r="M13" s="96"/>
    </row>
    <row r="14" spans="1:14" ht="25.8" customHeight="1">
      <c r="A14" s="264" t="s">
        <v>143</v>
      </c>
      <c r="B14" s="264"/>
      <c r="C14" s="264"/>
      <c r="D14" s="264"/>
      <c r="E14" s="264"/>
      <c r="F14" s="264"/>
      <c r="G14" s="264"/>
      <c r="H14" s="264"/>
    </row>
    <row r="15" spans="1:1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ht="20.399999999999999">
      <c r="A17" s="112" t="s">
        <v>110</v>
      </c>
      <c r="B17" s="113" t="s">
        <v>112</v>
      </c>
      <c r="C17" s="113"/>
      <c r="D17" s="113"/>
      <c r="E17" s="114"/>
      <c r="F17" s="115"/>
      <c r="G17" s="116"/>
      <c r="H17" s="117"/>
      <c r="I17" s="118"/>
      <c r="J17" s="118"/>
      <c r="K17" s="118"/>
      <c r="L17" s="118"/>
      <c r="M17" s="118"/>
      <c r="N17" s="118"/>
    </row>
    <row r="18" spans="1:14" ht="15.6">
      <c r="A18" s="265" t="s">
        <v>2</v>
      </c>
      <c r="B18" s="265" t="s">
        <v>113</v>
      </c>
      <c r="C18" s="265"/>
      <c r="D18" s="266" t="s">
        <v>114</v>
      </c>
      <c r="E18" s="267" t="s">
        <v>4</v>
      </c>
      <c r="F18" s="268" t="s">
        <v>115</v>
      </c>
      <c r="G18" s="267" t="s">
        <v>116</v>
      </c>
      <c r="H18" s="267"/>
      <c r="I18" s="119"/>
      <c r="J18" s="119"/>
      <c r="K18" s="119"/>
      <c r="L18" s="119"/>
      <c r="M18" s="119"/>
      <c r="N18" s="119"/>
    </row>
    <row r="19" spans="1:14" ht="20.399999999999999">
      <c r="A19" s="265"/>
      <c r="B19" s="265"/>
      <c r="C19" s="265"/>
      <c r="D19" s="266"/>
      <c r="E19" s="267"/>
      <c r="F19" s="268"/>
      <c r="G19" s="120" t="s">
        <v>117</v>
      </c>
      <c r="H19" s="121" t="s">
        <v>7</v>
      </c>
      <c r="I19" s="119"/>
      <c r="J19" s="122" t="s">
        <v>118</v>
      </c>
      <c r="K19" s="119"/>
      <c r="L19" s="119"/>
      <c r="M19" s="119"/>
      <c r="N19" s="119"/>
    </row>
    <row r="20" spans="1:14" ht="36.6" customHeight="1">
      <c r="A20" s="123">
        <v>1</v>
      </c>
      <c r="B20" s="124" t="s">
        <v>119</v>
      </c>
      <c r="C20" s="124">
        <v>5839</v>
      </c>
      <c r="D20" s="125" t="s">
        <v>120</v>
      </c>
      <c r="E20" s="126" t="s">
        <v>121</v>
      </c>
      <c r="F20" s="127">
        <v>2E-3</v>
      </c>
      <c r="G20" s="128">
        <v>11.41</v>
      </c>
      <c r="H20" s="129">
        <v>0.02</v>
      </c>
      <c r="I20" s="119"/>
      <c r="J20" s="122" t="s">
        <v>122</v>
      </c>
      <c r="K20" s="119"/>
      <c r="L20" s="119"/>
      <c r="M20" s="119"/>
      <c r="N20" s="119"/>
    </row>
    <row r="21" spans="1:14" ht="48.6" customHeight="1">
      <c r="A21" s="123">
        <v>2</v>
      </c>
      <c r="B21" s="124" t="s">
        <v>119</v>
      </c>
      <c r="C21" s="124">
        <v>5841</v>
      </c>
      <c r="D21" s="125" t="s">
        <v>123</v>
      </c>
      <c r="E21" s="126" t="s">
        <v>121</v>
      </c>
      <c r="F21" s="127">
        <v>4.0000000000000001E-3</v>
      </c>
      <c r="G21" s="128">
        <v>5.74</v>
      </c>
      <c r="H21" s="129">
        <v>0.02</v>
      </c>
      <c r="I21" s="130" t="s">
        <v>124</v>
      </c>
      <c r="J21" s="131" t="s">
        <v>125</v>
      </c>
      <c r="K21" s="131" t="s">
        <v>126</v>
      </c>
      <c r="L21" s="131" t="s">
        <v>127</v>
      </c>
      <c r="M21" s="131" t="s">
        <v>54</v>
      </c>
      <c r="N21" s="119"/>
    </row>
    <row r="22" spans="1:14" ht="42" customHeight="1">
      <c r="A22" s="132">
        <v>3</v>
      </c>
      <c r="B22" s="132" t="s">
        <v>128</v>
      </c>
      <c r="C22" s="132">
        <v>41901</v>
      </c>
      <c r="D22" s="133" t="s">
        <v>129</v>
      </c>
      <c r="E22" s="134" t="s">
        <v>130</v>
      </c>
      <c r="F22" s="135">
        <v>1.2</v>
      </c>
      <c r="G22" s="136">
        <v>5.4577407987005628</v>
      </c>
      <c r="H22" s="137">
        <v>6.55</v>
      </c>
      <c r="I22" s="138">
        <v>4.2226234419346715</v>
      </c>
      <c r="J22" s="139">
        <v>0.2</v>
      </c>
      <c r="K22" s="139">
        <v>1.6500000000000001E-2</v>
      </c>
      <c r="L22" s="139">
        <v>7.5999999999999998E-2</v>
      </c>
      <c r="M22" s="140">
        <v>0.29250000000000004</v>
      </c>
      <c r="N22" s="119"/>
    </row>
    <row r="23" spans="1:14" ht="70.2" customHeight="1">
      <c r="A23" s="123">
        <v>4</v>
      </c>
      <c r="B23" s="124" t="s">
        <v>119</v>
      </c>
      <c r="C23" s="124">
        <v>83362</v>
      </c>
      <c r="D23" s="125" t="s">
        <v>131</v>
      </c>
      <c r="E23" s="126" t="s">
        <v>121</v>
      </c>
      <c r="F23" s="127">
        <v>1E-3</v>
      </c>
      <c r="G23" s="128">
        <v>277.77</v>
      </c>
      <c r="H23" s="129">
        <v>0.28000000000000003</v>
      </c>
      <c r="I23" s="119"/>
      <c r="J23" s="141" t="s">
        <v>132</v>
      </c>
      <c r="K23" s="119"/>
      <c r="L23" s="119"/>
      <c r="M23" s="119"/>
      <c r="N23" s="119"/>
    </row>
    <row r="24" spans="1:14" ht="27" customHeight="1">
      <c r="A24" s="123">
        <v>5</v>
      </c>
      <c r="B24" s="123" t="s">
        <v>119</v>
      </c>
      <c r="C24" s="123">
        <v>88316</v>
      </c>
      <c r="D24" s="142" t="s">
        <v>133</v>
      </c>
      <c r="E24" s="134" t="s">
        <v>121</v>
      </c>
      <c r="F24" s="135">
        <v>5.7999999999999996E-3</v>
      </c>
      <c r="G24" s="143">
        <v>21.98</v>
      </c>
      <c r="H24" s="129">
        <v>0.13</v>
      </c>
      <c r="I24" s="119"/>
      <c r="J24" s="141" t="s">
        <v>134</v>
      </c>
      <c r="K24" s="119"/>
      <c r="L24" s="119"/>
      <c r="M24" s="119"/>
      <c r="N24" s="119"/>
    </row>
    <row r="25" spans="1:14" ht="46.8" customHeight="1">
      <c r="A25" s="123">
        <v>6</v>
      </c>
      <c r="B25" s="123" t="s">
        <v>119</v>
      </c>
      <c r="C25" s="123">
        <v>89035</v>
      </c>
      <c r="D25" s="142" t="s">
        <v>135</v>
      </c>
      <c r="E25" s="134" t="s">
        <v>121</v>
      </c>
      <c r="F25" s="135">
        <v>1.6999999999999999E-3</v>
      </c>
      <c r="G25" s="143">
        <v>143.36000000000001</v>
      </c>
      <c r="H25" s="129">
        <v>0.24</v>
      </c>
      <c r="I25" s="119"/>
      <c r="J25" s="119"/>
      <c r="K25" s="119"/>
      <c r="L25" s="119"/>
      <c r="M25" s="119"/>
      <c r="N25" s="119"/>
    </row>
    <row r="26" spans="1:14" ht="39.6" customHeight="1">
      <c r="A26" s="123">
        <v>7</v>
      </c>
      <c r="B26" s="123" t="s">
        <v>119</v>
      </c>
      <c r="C26" s="123">
        <v>89036</v>
      </c>
      <c r="D26" s="142" t="s">
        <v>136</v>
      </c>
      <c r="E26" s="134" t="s">
        <v>121</v>
      </c>
      <c r="F26" s="135">
        <v>4.1000000000000003E-3</v>
      </c>
      <c r="G26" s="144">
        <v>57.8</v>
      </c>
      <c r="H26" s="129">
        <v>0.24</v>
      </c>
      <c r="I26" s="119"/>
      <c r="J26" s="119"/>
      <c r="K26" s="119"/>
      <c r="L26" s="119"/>
      <c r="M26" s="119"/>
      <c r="N26" s="119"/>
    </row>
    <row r="27" spans="1:14" ht="80.400000000000006" customHeight="1">
      <c r="A27" s="123">
        <v>8</v>
      </c>
      <c r="B27" s="123" t="s">
        <v>119</v>
      </c>
      <c r="C27" s="123">
        <v>91486</v>
      </c>
      <c r="D27" s="142" t="s">
        <v>137</v>
      </c>
      <c r="E27" s="134" t="s">
        <v>121</v>
      </c>
      <c r="F27" s="135">
        <v>4.8999999999999998E-3</v>
      </c>
      <c r="G27" s="143">
        <v>67.73</v>
      </c>
      <c r="H27" s="129">
        <v>0.33</v>
      </c>
      <c r="I27" s="119"/>
      <c r="J27" s="119"/>
      <c r="K27" s="119"/>
      <c r="L27" s="119"/>
      <c r="M27" s="119"/>
      <c r="N27" s="119"/>
    </row>
    <row r="28" spans="1:14" ht="15.6">
      <c r="A28" s="145" t="s">
        <v>138</v>
      </c>
      <c r="B28" s="146"/>
      <c r="C28" s="146"/>
      <c r="D28" s="146"/>
      <c r="E28" s="147"/>
      <c r="F28" s="148"/>
      <c r="G28" s="148"/>
      <c r="H28" s="149">
        <v>7.8100000000000005</v>
      </c>
      <c r="I28" s="119"/>
      <c r="J28" s="119"/>
      <c r="K28" s="119"/>
      <c r="L28" s="119"/>
      <c r="M28" s="119"/>
      <c r="N28" s="119"/>
    </row>
    <row r="29" spans="1:14" ht="15.6">
      <c r="A29" s="150"/>
      <c r="B29" s="150"/>
      <c r="C29" s="150"/>
      <c r="D29" s="150"/>
      <c r="E29" s="150"/>
      <c r="F29" s="150"/>
      <c r="G29" s="151"/>
      <c r="H29" s="152"/>
      <c r="I29" s="119"/>
      <c r="J29" s="119"/>
      <c r="K29" s="119"/>
      <c r="L29" s="119"/>
      <c r="M29" s="119"/>
      <c r="N29" s="119"/>
    </row>
    <row r="30" spans="1:14" ht="20.399999999999999">
      <c r="A30" s="153" t="s">
        <v>111</v>
      </c>
      <c r="B30" s="154" t="s">
        <v>90</v>
      </c>
      <c r="C30" s="154"/>
      <c r="D30" s="154"/>
      <c r="E30" s="155"/>
      <c r="F30" s="156"/>
      <c r="G30" s="157"/>
      <c r="H30" s="158"/>
      <c r="I30" s="159"/>
      <c r="J30" s="159"/>
      <c r="K30" s="159"/>
      <c r="L30" s="159"/>
      <c r="M30" s="159"/>
      <c r="N30" s="160"/>
    </row>
    <row r="31" spans="1:14" ht="20.399999999999999">
      <c r="A31" s="265" t="s">
        <v>2</v>
      </c>
      <c r="B31" s="265" t="s">
        <v>113</v>
      </c>
      <c r="C31" s="265"/>
      <c r="D31" s="266" t="s">
        <v>114</v>
      </c>
      <c r="E31" s="267" t="s">
        <v>4</v>
      </c>
      <c r="F31" s="268" t="s">
        <v>115</v>
      </c>
      <c r="G31" s="267" t="s">
        <v>116</v>
      </c>
      <c r="H31" s="267"/>
      <c r="I31" s="159"/>
      <c r="J31" s="159"/>
      <c r="K31" s="159"/>
      <c r="L31" s="159"/>
      <c r="M31" s="159"/>
      <c r="N31" s="160"/>
    </row>
    <row r="32" spans="1:14" ht="20.399999999999999">
      <c r="A32" s="265"/>
      <c r="B32" s="265"/>
      <c r="C32" s="265"/>
      <c r="D32" s="266"/>
      <c r="E32" s="267"/>
      <c r="F32" s="268"/>
      <c r="G32" s="120" t="s">
        <v>117</v>
      </c>
      <c r="H32" s="121" t="s">
        <v>7</v>
      </c>
      <c r="I32" s="159"/>
      <c r="J32" s="159"/>
      <c r="K32" s="159"/>
      <c r="L32" s="159"/>
      <c r="M32" s="159"/>
      <c r="N32" s="160"/>
    </row>
    <row r="33" spans="1:14" ht="44.4" customHeight="1">
      <c r="A33" s="124">
        <v>1</v>
      </c>
      <c r="B33" s="124" t="s">
        <v>119</v>
      </c>
      <c r="C33" s="124">
        <v>5839</v>
      </c>
      <c r="D33" s="142" t="s">
        <v>120</v>
      </c>
      <c r="E33" s="134" t="s">
        <v>139</v>
      </c>
      <c r="F33" s="135">
        <v>2E-3</v>
      </c>
      <c r="G33" s="143">
        <v>11.41</v>
      </c>
      <c r="H33" s="161">
        <v>0.02</v>
      </c>
      <c r="I33" s="159"/>
      <c r="J33" s="159"/>
      <c r="K33" s="159"/>
      <c r="L33" s="159"/>
      <c r="M33" s="159"/>
      <c r="N33" s="160"/>
    </row>
    <row r="34" spans="1:14" ht="40.799999999999997" customHeight="1">
      <c r="A34" s="124">
        <v>2</v>
      </c>
      <c r="B34" s="124" t="s">
        <v>119</v>
      </c>
      <c r="C34" s="124">
        <v>5841</v>
      </c>
      <c r="D34" s="142" t="s">
        <v>123</v>
      </c>
      <c r="E34" s="134" t="s">
        <v>140</v>
      </c>
      <c r="F34" s="135">
        <v>4.0000000000000001E-3</v>
      </c>
      <c r="G34" s="143">
        <v>5.74</v>
      </c>
      <c r="H34" s="161">
        <v>0.02</v>
      </c>
      <c r="I34" s="130" t="s">
        <v>124</v>
      </c>
      <c r="J34" s="131" t="s">
        <v>125</v>
      </c>
      <c r="K34" s="131" t="s">
        <v>126</v>
      </c>
      <c r="L34" s="131" t="s">
        <v>127</v>
      </c>
      <c r="M34" s="131" t="s">
        <v>54</v>
      </c>
      <c r="N34" s="160"/>
    </row>
    <row r="35" spans="1:14" ht="44.4" customHeight="1">
      <c r="A35" s="132">
        <v>3</v>
      </c>
      <c r="B35" s="132" t="s">
        <v>128</v>
      </c>
      <c r="C35" s="132">
        <v>41903</v>
      </c>
      <c r="D35" s="133" t="s">
        <v>141</v>
      </c>
      <c r="E35" s="134" t="s">
        <v>130</v>
      </c>
      <c r="F35" s="135">
        <v>0.45</v>
      </c>
      <c r="G35" s="136">
        <v>3.40523227176763</v>
      </c>
      <c r="H35" s="162">
        <v>1.53</v>
      </c>
      <c r="I35" s="163">
        <v>2.6346091077505842</v>
      </c>
      <c r="J35" s="139">
        <v>0.2</v>
      </c>
      <c r="K35" s="139">
        <v>1.6500000000000001E-2</v>
      </c>
      <c r="L35" s="139">
        <v>7.5999999999999998E-2</v>
      </c>
      <c r="M35" s="140">
        <v>0.29250000000000004</v>
      </c>
      <c r="N35" s="160"/>
    </row>
    <row r="36" spans="1:14" ht="76.2" customHeight="1">
      <c r="A36" s="124">
        <v>4</v>
      </c>
      <c r="B36" s="124" t="s">
        <v>119</v>
      </c>
      <c r="C36" s="124">
        <v>83362</v>
      </c>
      <c r="D36" s="142" t="s">
        <v>142</v>
      </c>
      <c r="E36" s="134" t="s">
        <v>139</v>
      </c>
      <c r="F36" s="135">
        <v>4.0000000000000002E-4</v>
      </c>
      <c r="G36" s="143">
        <v>277.77</v>
      </c>
      <c r="H36" s="161">
        <v>0.11</v>
      </c>
      <c r="I36" s="159"/>
      <c r="J36" s="141" t="s">
        <v>132</v>
      </c>
      <c r="K36" s="159"/>
      <c r="L36" s="159"/>
      <c r="M36" s="159"/>
      <c r="N36" s="160"/>
    </row>
    <row r="37" spans="1:14" ht="31.2" customHeight="1">
      <c r="A37" s="124">
        <v>5</v>
      </c>
      <c r="B37" s="124" t="s">
        <v>119</v>
      </c>
      <c r="C37" s="124">
        <v>88316</v>
      </c>
      <c r="D37" s="142" t="s">
        <v>133</v>
      </c>
      <c r="E37" s="134" t="s">
        <v>121</v>
      </c>
      <c r="F37" s="135">
        <v>5.4999999999999997E-3</v>
      </c>
      <c r="G37" s="143">
        <v>21.98</v>
      </c>
      <c r="H37" s="161">
        <v>0.12</v>
      </c>
      <c r="I37" s="159"/>
      <c r="J37" s="141" t="s">
        <v>134</v>
      </c>
      <c r="K37" s="159"/>
      <c r="L37" s="159"/>
      <c r="M37" s="159"/>
      <c r="N37" s="160"/>
    </row>
    <row r="38" spans="1:14" ht="43.8" customHeight="1">
      <c r="A38" s="124">
        <v>6</v>
      </c>
      <c r="B38" s="124" t="s">
        <v>119</v>
      </c>
      <c r="C38" s="124">
        <v>89035</v>
      </c>
      <c r="D38" s="142" t="s">
        <v>136</v>
      </c>
      <c r="E38" s="134" t="s">
        <v>139</v>
      </c>
      <c r="F38" s="135">
        <v>1.6999999999999999E-3</v>
      </c>
      <c r="G38" s="143">
        <v>143.36000000000001</v>
      </c>
      <c r="H38" s="161">
        <v>0.24</v>
      </c>
      <c r="I38" s="159"/>
      <c r="J38" s="159"/>
      <c r="K38" s="159"/>
      <c r="L38" s="159"/>
      <c r="M38" s="159"/>
      <c r="N38" s="160"/>
    </row>
    <row r="39" spans="1:14" ht="37.200000000000003" customHeight="1">
      <c r="A39" s="124">
        <v>7</v>
      </c>
      <c r="B39" s="124" t="s">
        <v>119</v>
      </c>
      <c r="C39" s="124">
        <v>89036</v>
      </c>
      <c r="D39" s="142" t="s">
        <v>136</v>
      </c>
      <c r="E39" s="134" t="s">
        <v>140</v>
      </c>
      <c r="F39" s="135">
        <v>3.8E-3</v>
      </c>
      <c r="G39" s="143">
        <v>57.8</v>
      </c>
      <c r="H39" s="161">
        <v>0.21</v>
      </c>
      <c r="I39" s="159"/>
      <c r="J39" s="159"/>
      <c r="K39" s="159"/>
      <c r="L39" s="159"/>
      <c r="M39" s="159"/>
      <c r="N39" s="160"/>
    </row>
    <row r="40" spans="1:14" ht="76.2" customHeight="1">
      <c r="A40" s="124">
        <v>8</v>
      </c>
      <c r="B40" s="124" t="s">
        <v>119</v>
      </c>
      <c r="C40" s="124">
        <v>91486</v>
      </c>
      <c r="D40" s="142" t="s">
        <v>142</v>
      </c>
      <c r="E40" s="134" t="s">
        <v>140</v>
      </c>
      <c r="F40" s="135">
        <v>5.1000000000000004E-3</v>
      </c>
      <c r="G40" s="143">
        <v>67.73</v>
      </c>
      <c r="H40" s="161">
        <v>0.34</v>
      </c>
      <c r="I40" s="159"/>
      <c r="J40" s="159"/>
      <c r="K40" s="159"/>
      <c r="L40" s="159"/>
      <c r="M40" s="159"/>
      <c r="N40" s="160"/>
    </row>
    <row r="41" spans="1:14" ht="20.399999999999999">
      <c r="A41" s="164" t="s">
        <v>138</v>
      </c>
      <c r="B41" s="165"/>
      <c r="C41" s="165"/>
      <c r="D41" s="165"/>
      <c r="E41" s="166"/>
      <c r="F41" s="167"/>
      <c r="G41" s="167"/>
      <c r="H41" s="168">
        <v>2.59</v>
      </c>
      <c r="I41" s="159"/>
      <c r="J41" s="159"/>
      <c r="K41" s="159"/>
      <c r="L41" s="159"/>
      <c r="M41" s="159"/>
      <c r="N41" s="160"/>
    </row>
    <row r="43" spans="1:14" s="5" customFormat="1" ht="66" customHeight="1">
      <c r="A43" s="172"/>
      <c r="B43" s="171"/>
      <c r="C43" s="269" t="s">
        <v>172</v>
      </c>
      <c r="D43" s="269"/>
      <c r="E43" s="171"/>
      <c r="F43" s="171"/>
      <c r="G43" s="171"/>
      <c r="H43" s="171"/>
      <c r="I43" s="211"/>
      <c r="J43" s="211"/>
      <c r="K43" s="213"/>
      <c r="L43" s="213"/>
      <c r="M43" s="213"/>
    </row>
    <row r="44" spans="1:14" s="5" customFormat="1">
      <c r="A44" s="172"/>
      <c r="B44" s="171"/>
      <c r="C44" s="1"/>
      <c r="D44" s="171"/>
      <c r="E44" s="171"/>
      <c r="F44" s="171"/>
      <c r="G44" s="171"/>
      <c r="H44" s="171"/>
      <c r="I44" s="211"/>
      <c r="J44" s="211"/>
      <c r="K44" s="213"/>
      <c r="L44" s="213"/>
      <c r="M44" s="213"/>
    </row>
    <row r="45" spans="1:14" s="5" customFormat="1" ht="13.95" customHeight="1" thickBot="1">
      <c r="A45" s="172"/>
      <c r="B45" s="7"/>
      <c r="C45" s="8"/>
      <c r="D45" s="9"/>
      <c r="E45" s="169"/>
      <c r="F45" s="169"/>
      <c r="G45" s="169"/>
      <c r="H45" s="8"/>
      <c r="I45" s="8"/>
      <c r="J45" s="8"/>
      <c r="K45" s="8"/>
      <c r="L45" s="8"/>
      <c r="M45" s="8"/>
    </row>
    <row r="46" spans="1:14" s="5" customFormat="1">
      <c r="A46" s="172"/>
      <c r="D46" s="173" t="s">
        <v>12</v>
      </c>
      <c r="E46" s="169"/>
      <c r="F46" s="169"/>
      <c r="G46" s="169"/>
    </row>
    <row r="47" spans="1:14" s="5" customFormat="1">
      <c r="A47" s="172"/>
      <c r="D47" s="172" t="s">
        <v>20</v>
      </c>
      <c r="E47" s="8"/>
      <c r="F47" s="8"/>
      <c r="G47" s="8"/>
    </row>
  </sheetData>
  <mergeCells count="20">
    <mergeCell ref="I44:J44"/>
    <mergeCell ref="K44:M44"/>
    <mergeCell ref="C43:D43"/>
    <mergeCell ref="A31:A32"/>
    <mergeCell ref="B31:C32"/>
    <mergeCell ref="D31:D32"/>
    <mergeCell ref="E31:E32"/>
    <mergeCell ref="F31:F32"/>
    <mergeCell ref="G31:H31"/>
    <mergeCell ref="A11:H11"/>
    <mergeCell ref="A12:H12"/>
    <mergeCell ref="A14:H14"/>
    <mergeCell ref="I43:J43"/>
    <mergeCell ref="K43:M43"/>
    <mergeCell ref="A18:A19"/>
    <mergeCell ref="B18:C19"/>
    <mergeCell ref="D18:D19"/>
    <mergeCell ref="E18:E19"/>
    <mergeCell ref="F18:F19"/>
    <mergeCell ref="G18:H18"/>
  </mergeCells>
  <printOptions horizontalCentered="1"/>
  <pageMargins left="0.51181102362204722" right="0.51181102362204722" top="0.78740157480314965" bottom="0.78740157480314965" header="0.31496062992125984" footer="0.31496062992125984"/>
  <pageSetup scale="49" orientation="portrait" r:id="rId1"/>
  <colBreaks count="1" manualBreakCount="1">
    <brk id="8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7:N80"/>
  <sheetViews>
    <sheetView workbookViewId="0">
      <selection activeCell="M80" sqref="B1:M80"/>
    </sheetView>
  </sheetViews>
  <sheetFormatPr defaultRowHeight="13.8"/>
  <cols>
    <col min="1" max="1" width="3.59765625" customWidth="1"/>
    <col min="3" max="3" width="60.69921875" customWidth="1"/>
    <col min="4" max="4" width="8.09765625" customWidth="1"/>
    <col min="5" max="5" width="8" customWidth="1"/>
    <col min="10" max="10" width="11.59765625" customWidth="1"/>
    <col min="11" max="11" width="10.69921875" customWidth="1"/>
    <col min="12" max="12" width="12.3984375" customWidth="1"/>
  </cols>
  <sheetData>
    <row r="7" spans="2:14" ht="15.6">
      <c r="B7" s="221" t="s">
        <v>57</v>
      </c>
      <c r="C7" s="221"/>
      <c r="D7" s="221"/>
      <c r="E7" s="221"/>
      <c r="F7" s="221"/>
      <c r="G7" s="221"/>
      <c r="H7" s="221"/>
      <c r="I7" s="221"/>
      <c r="J7" s="221"/>
      <c r="K7" s="221"/>
      <c r="L7" s="221"/>
    </row>
    <row r="8" spans="2:14" ht="15.6">
      <c r="B8" s="222" t="s">
        <v>81</v>
      </c>
      <c r="C8" s="222"/>
      <c r="D8" s="222"/>
      <c r="E8" s="222"/>
      <c r="F8" s="222"/>
      <c r="G8" s="222"/>
      <c r="H8" s="222"/>
      <c r="I8" s="222"/>
      <c r="J8" s="222"/>
      <c r="K8" s="222"/>
      <c r="L8" s="222"/>
    </row>
    <row r="9" spans="2:14">
      <c r="B9" s="225" t="s">
        <v>217</v>
      </c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5"/>
      <c r="N9" s="201"/>
    </row>
    <row r="10" spans="2:14" ht="14.4">
      <c r="B10" s="10"/>
      <c r="C10" s="41" t="s">
        <v>80</v>
      </c>
      <c r="D10" s="10"/>
      <c r="E10" s="10"/>
      <c r="F10" s="10"/>
      <c r="G10" s="10"/>
      <c r="H10" s="185" t="s">
        <v>184</v>
      </c>
      <c r="I10" s="47">
        <f>L10*6.5+35.5</f>
        <v>1205.5</v>
      </c>
      <c r="J10" s="229" t="s">
        <v>185</v>
      </c>
      <c r="K10" s="229"/>
      <c r="L10" s="109">
        <v>180</v>
      </c>
      <c r="M10" s="10"/>
    </row>
    <row r="11" spans="2:14">
      <c r="B11" s="183"/>
      <c r="C11" s="223" t="s">
        <v>169</v>
      </c>
      <c r="D11" s="223"/>
      <c r="E11" s="223"/>
      <c r="F11" s="223"/>
      <c r="G11" s="184"/>
      <c r="H11" s="12"/>
      <c r="I11" s="278"/>
      <c r="J11" s="278"/>
      <c r="K11" s="278"/>
      <c r="L11" s="278"/>
      <c r="M11" s="278"/>
    </row>
    <row r="12" spans="2:14">
      <c r="B12" s="186"/>
      <c r="C12" s="186" t="s">
        <v>186</v>
      </c>
      <c r="D12" s="15"/>
      <c r="E12" s="15"/>
      <c r="F12" s="15"/>
      <c r="G12" s="16"/>
      <c r="H12" s="17"/>
      <c r="I12" s="230"/>
      <c r="J12" s="230"/>
      <c r="K12" s="230"/>
      <c r="L12" s="230"/>
      <c r="M12" s="230"/>
    </row>
    <row r="13" spans="2:14">
      <c r="B13" s="187"/>
      <c r="C13" s="279" t="s">
        <v>187</v>
      </c>
      <c r="D13" s="279"/>
      <c r="E13" s="279"/>
      <c r="F13" s="279"/>
      <c r="G13" s="279"/>
      <c r="H13" s="279"/>
      <c r="I13" s="279"/>
      <c r="J13" s="279"/>
      <c r="K13" s="279"/>
      <c r="L13" s="44"/>
      <c r="M13" s="44"/>
    </row>
    <row r="14" spans="2:14">
      <c r="B14" s="280" t="s">
        <v>2</v>
      </c>
      <c r="C14" s="280" t="s">
        <v>3</v>
      </c>
      <c r="D14" s="276" t="s">
        <v>4</v>
      </c>
      <c r="E14" s="276" t="s">
        <v>5</v>
      </c>
      <c r="F14" s="281"/>
      <c r="G14" s="276"/>
      <c r="H14" s="276"/>
      <c r="I14" s="276"/>
      <c r="J14" s="276"/>
      <c r="K14" s="276"/>
      <c r="L14" s="276"/>
      <c r="M14" s="277"/>
    </row>
    <row r="15" spans="2:14">
      <c r="B15" s="280"/>
      <c r="C15" s="277"/>
      <c r="D15" s="276"/>
      <c r="E15" s="276"/>
      <c r="F15" s="281"/>
      <c r="G15" s="188"/>
      <c r="H15" s="188"/>
      <c r="I15" s="188"/>
      <c r="J15" s="188"/>
      <c r="K15" s="188"/>
      <c r="L15" s="188"/>
      <c r="M15" s="277"/>
    </row>
    <row r="16" spans="2:14">
      <c r="B16" s="189">
        <v>1</v>
      </c>
      <c r="C16" s="189" t="s">
        <v>101</v>
      </c>
      <c r="D16" s="189"/>
      <c r="E16" s="190"/>
      <c r="F16" s="189"/>
      <c r="G16" s="189"/>
      <c r="H16" s="189"/>
      <c r="I16" s="189"/>
      <c r="J16" s="189"/>
      <c r="K16" s="189"/>
      <c r="L16" s="191"/>
      <c r="M16" s="21"/>
    </row>
    <row r="17" spans="2:13">
      <c r="B17" s="192" t="s">
        <v>18</v>
      </c>
      <c r="C17" s="192" t="s">
        <v>83</v>
      </c>
      <c r="D17" s="193" t="s">
        <v>84</v>
      </c>
      <c r="E17" s="194">
        <v>10</v>
      </c>
      <c r="F17" s="273" t="s">
        <v>188</v>
      </c>
      <c r="G17" s="274"/>
      <c r="H17" s="274"/>
      <c r="I17" s="274"/>
      <c r="J17" s="274"/>
      <c r="K17" s="274"/>
      <c r="L17" s="274"/>
      <c r="M17" s="275"/>
    </row>
    <row r="18" spans="2:13">
      <c r="B18" s="192" t="s">
        <v>79</v>
      </c>
      <c r="C18" s="192" t="s">
        <v>85</v>
      </c>
      <c r="D18" s="193" t="s">
        <v>84</v>
      </c>
      <c r="E18" s="194">
        <v>10</v>
      </c>
      <c r="F18" s="273" t="s">
        <v>188</v>
      </c>
      <c r="G18" s="274"/>
      <c r="H18" s="274"/>
      <c r="I18" s="274"/>
      <c r="J18" s="274"/>
      <c r="K18" s="274"/>
      <c r="L18" s="274"/>
      <c r="M18" s="275"/>
    </row>
    <row r="19" spans="2:13" ht="39.6">
      <c r="B19" s="192" t="s">
        <v>102</v>
      </c>
      <c r="C19" s="192" t="s">
        <v>189</v>
      </c>
      <c r="D19" s="193" t="s">
        <v>15</v>
      </c>
      <c r="E19" s="194">
        <v>6</v>
      </c>
      <c r="F19" s="273" t="s">
        <v>190</v>
      </c>
      <c r="G19" s="274"/>
      <c r="H19" s="274"/>
      <c r="I19" s="274"/>
      <c r="J19" s="274"/>
      <c r="K19" s="274"/>
      <c r="L19" s="274"/>
      <c r="M19" s="275"/>
    </row>
    <row r="20" spans="2:13" ht="26.4">
      <c r="B20" s="192" t="s">
        <v>161</v>
      </c>
      <c r="C20" s="192" t="s">
        <v>103</v>
      </c>
      <c r="D20" s="193" t="s">
        <v>15</v>
      </c>
      <c r="E20" s="195">
        <f>L10*2*1.5</f>
        <v>540</v>
      </c>
      <c r="F20" s="273" t="s">
        <v>191</v>
      </c>
      <c r="G20" s="274"/>
      <c r="H20" s="274"/>
      <c r="I20" s="274"/>
      <c r="J20" s="274"/>
      <c r="K20" s="274"/>
      <c r="L20" s="274"/>
      <c r="M20" s="275"/>
    </row>
    <row r="21" spans="2:13">
      <c r="B21" s="32"/>
      <c r="C21" s="32"/>
      <c r="D21" s="33"/>
      <c r="E21" s="196"/>
      <c r="F21" s="197"/>
      <c r="G21" s="197"/>
      <c r="H21" s="197"/>
      <c r="I21" s="197"/>
      <c r="J21" s="197"/>
      <c r="K21" s="197"/>
      <c r="L21" s="197"/>
      <c r="M21" s="35"/>
    </row>
    <row r="22" spans="2:13">
      <c r="B22" s="101">
        <v>2</v>
      </c>
      <c r="C22" s="101" t="s">
        <v>100</v>
      </c>
      <c r="D22" s="99"/>
      <c r="E22" s="198"/>
      <c r="F22" s="199"/>
      <c r="G22" s="199"/>
      <c r="H22" s="199"/>
      <c r="I22" s="199"/>
      <c r="J22" s="199"/>
      <c r="K22" s="199"/>
      <c r="L22" s="103"/>
      <c r="M22" s="21"/>
    </row>
    <row r="23" spans="2:13">
      <c r="B23" s="101" t="s">
        <v>34</v>
      </c>
      <c r="C23" s="101" t="s">
        <v>99</v>
      </c>
      <c r="D23" s="99"/>
      <c r="E23" s="198"/>
      <c r="F23" s="199"/>
      <c r="G23" s="199"/>
      <c r="H23" s="199"/>
      <c r="I23" s="199"/>
      <c r="J23" s="199"/>
      <c r="K23" s="199"/>
      <c r="L23" s="199"/>
      <c r="M23" s="21"/>
    </row>
    <row r="24" spans="2:13" ht="40.200000000000003">
      <c r="B24" s="192" t="s">
        <v>59</v>
      </c>
      <c r="C24" s="192" t="s">
        <v>144</v>
      </c>
      <c r="D24" s="193" t="s">
        <v>23</v>
      </c>
      <c r="E24" s="195">
        <f>1244.7*0.7</f>
        <v>871.29</v>
      </c>
      <c r="F24" s="273" t="s">
        <v>192</v>
      </c>
      <c r="G24" s="274"/>
      <c r="H24" s="274"/>
      <c r="I24" s="274"/>
      <c r="J24" s="274"/>
      <c r="K24" s="274"/>
      <c r="L24" s="274"/>
      <c r="M24" s="275"/>
    </row>
    <row r="25" spans="2:13" ht="39.6">
      <c r="B25" s="192" t="s">
        <v>60</v>
      </c>
      <c r="C25" s="192" t="s">
        <v>150</v>
      </c>
      <c r="D25" s="193" t="s">
        <v>23</v>
      </c>
      <c r="E25" s="195">
        <f>1244.7*0.25</f>
        <v>311.17500000000001</v>
      </c>
      <c r="F25" s="273" t="s">
        <v>193</v>
      </c>
      <c r="G25" s="274"/>
      <c r="H25" s="274"/>
      <c r="I25" s="274"/>
      <c r="J25" s="274"/>
      <c r="K25" s="274"/>
      <c r="L25" s="274"/>
      <c r="M25" s="275"/>
    </row>
    <row r="26" spans="2:13" ht="39.6">
      <c r="B26" s="192" t="s">
        <v>61</v>
      </c>
      <c r="C26" s="192" t="s">
        <v>145</v>
      </c>
      <c r="D26" s="193" t="s">
        <v>23</v>
      </c>
      <c r="E26" s="195">
        <f>1244.7*0.05</f>
        <v>62.235000000000007</v>
      </c>
      <c r="F26" s="273" t="s">
        <v>194</v>
      </c>
      <c r="G26" s="274"/>
      <c r="H26" s="274"/>
      <c r="I26" s="274"/>
      <c r="J26" s="274"/>
      <c r="K26" s="274"/>
      <c r="L26" s="274"/>
      <c r="M26" s="275"/>
    </row>
    <row r="27" spans="2:13" ht="26.4">
      <c r="B27" s="192" t="s">
        <v>162</v>
      </c>
      <c r="C27" s="192" t="s">
        <v>149</v>
      </c>
      <c r="D27" s="193" t="s">
        <v>23</v>
      </c>
      <c r="E27" s="195">
        <f>E26*1.3</f>
        <v>80.905500000000018</v>
      </c>
      <c r="F27" s="273" t="s">
        <v>195</v>
      </c>
      <c r="G27" s="274"/>
      <c r="H27" s="274"/>
      <c r="I27" s="274"/>
      <c r="J27" s="274"/>
      <c r="K27" s="274"/>
      <c r="L27" s="274"/>
      <c r="M27" s="275"/>
    </row>
    <row r="28" spans="2:13" ht="40.200000000000003">
      <c r="B28" s="192" t="s">
        <v>163</v>
      </c>
      <c r="C28" s="192" t="s">
        <v>153</v>
      </c>
      <c r="D28" s="193" t="s">
        <v>238</v>
      </c>
      <c r="E28" s="195">
        <f>E25*1.3*2</f>
        <v>809.05500000000006</v>
      </c>
      <c r="F28" s="273" t="s">
        <v>239</v>
      </c>
      <c r="G28" s="274"/>
      <c r="H28" s="274"/>
      <c r="I28" s="274"/>
      <c r="J28" s="274"/>
      <c r="K28" s="274"/>
      <c r="L28" s="274"/>
      <c r="M28" s="275"/>
    </row>
    <row r="29" spans="2:13" ht="40.200000000000003">
      <c r="B29" s="192" t="s">
        <v>164</v>
      </c>
      <c r="C29" s="192" t="s">
        <v>154</v>
      </c>
      <c r="D29" s="193" t="s">
        <v>238</v>
      </c>
      <c r="E29" s="195">
        <f>E26*1.3*2</f>
        <v>161.81100000000004</v>
      </c>
      <c r="F29" s="273" t="s">
        <v>240</v>
      </c>
      <c r="G29" s="274"/>
      <c r="H29" s="274"/>
      <c r="I29" s="274"/>
      <c r="J29" s="274"/>
      <c r="K29" s="274"/>
      <c r="L29" s="274"/>
      <c r="M29" s="275"/>
    </row>
    <row r="30" spans="2:13">
      <c r="B30" s="192" t="s">
        <v>165</v>
      </c>
      <c r="C30" s="192" t="s">
        <v>82</v>
      </c>
      <c r="D30" s="193" t="s">
        <v>23</v>
      </c>
      <c r="E30" s="195">
        <f>(E24+E25+E26)*1.3</f>
        <v>1618.11</v>
      </c>
      <c r="F30" s="273" t="s">
        <v>196</v>
      </c>
      <c r="G30" s="274"/>
      <c r="H30" s="274"/>
      <c r="I30" s="274"/>
      <c r="J30" s="274"/>
      <c r="K30" s="274"/>
      <c r="L30" s="274"/>
      <c r="M30" s="275"/>
    </row>
    <row r="31" spans="2:13">
      <c r="B31" s="101" t="s">
        <v>35</v>
      </c>
      <c r="C31" s="101" t="s">
        <v>197</v>
      </c>
      <c r="D31" s="99"/>
      <c r="E31" s="198"/>
      <c r="F31" s="199"/>
      <c r="G31" s="199"/>
      <c r="H31" s="199"/>
      <c r="I31" s="199"/>
      <c r="J31" s="199"/>
      <c r="K31" s="199"/>
      <c r="L31" s="199"/>
      <c r="M31" s="21"/>
    </row>
    <row r="32" spans="2:13" ht="40.200000000000003">
      <c r="B32" s="192" t="s">
        <v>62</v>
      </c>
      <c r="C32" s="192" t="s">
        <v>97</v>
      </c>
      <c r="D32" s="193" t="s">
        <v>23</v>
      </c>
      <c r="E32" s="195">
        <f>(1.5+1.5)*0.5*L10</f>
        <v>270</v>
      </c>
      <c r="F32" s="273" t="s">
        <v>198</v>
      </c>
      <c r="G32" s="274"/>
      <c r="H32" s="274"/>
      <c r="I32" s="274"/>
      <c r="J32" s="274"/>
      <c r="K32" s="274"/>
      <c r="L32" s="274"/>
      <c r="M32" s="275"/>
    </row>
    <row r="33" spans="2:13">
      <c r="B33" s="192" t="s">
        <v>63</v>
      </c>
      <c r="C33" s="192" t="s">
        <v>82</v>
      </c>
      <c r="D33" s="193" t="s">
        <v>23</v>
      </c>
      <c r="E33" s="195">
        <f>E32*1.3</f>
        <v>351</v>
      </c>
      <c r="F33" s="273" t="s">
        <v>199</v>
      </c>
      <c r="G33" s="274"/>
      <c r="H33" s="274"/>
      <c r="I33" s="274"/>
      <c r="J33" s="274"/>
      <c r="K33" s="274"/>
      <c r="L33" s="274"/>
      <c r="M33" s="275"/>
    </row>
    <row r="34" spans="2:13" ht="39.6">
      <c r="B34" s="192" t="s">
        <v>64</v>
      </c>
      <c r="C34" s="192" t="s">
        <v>96</v>
      </c>
      <c r="D34" s="193" t="s">
        <v>23</v>
      </c>
      <c r="E34" s="195">
        <f>E32</f>
        <v>270</v>
      </c>
      <c r="F34" s="273" t="s">
        <v>200</v>
      </c>
      <c r="G34" s="274"/>
      <c r="H34" s="274"/>
      <c r="I34" s="274"/>
      <c r="J34" s="274"/>
      <c r="K34" s="274"/>
      <c r="L34" s="274"/>
      <c r="M34" s="275"/>
    </row>
    <row r="35" spans="2:13" ht="40.200000000000003">
      <c r="B35" s="192" t="s">
        <v>65</v>
      </c>
      <c r="C35" s="192" t="s">
        <v>148</v>
      </c>
      <c r="D35" s="193" t="s">
        <v>242</v>
      </c>
      <c r="E35" s="195">
        <f>E34*1.3*26</f>
        <v>9126</v>
      </c>
      <c r="F35" s="273" t="s">
        <v>241</v>
      </c>
      <c r="G35" s="274"/>
      <c r="H35" s="274"/>
      <c r="I35" s="274"/>
      <c r="J35" s="274"/>
      <c r="K35" s="274"/>
      <c r="L35" s="274"/>
      <c r="M35" s="275"/>
    </row>
    <row r="36" spans="2:13">
      <c r="B36" s="101" t="s">
        <v>36</v>
      </c>
      <c r="C36" s="101" t="s">
        <v>66</v>
      </c>
      <c r="D36" s="99"/>
      <c r="E36" s="198"/>
      <c r="F36" s="199"/>
      <c r="G36" s="199"/>
      <c r="H36" s="199"/>
      <c r="I36" s="199"/>
      <c r="J36" s="199"/>
      <c r="K36" s="199"/>
      <c r="L36" s="199"/>
      <c r="M36" s="21"/>
    </row>
    <row r="37" spans="2:13" ht="39.6">
      <c r="B37" s="192" t="s">
        <v>67</v>
      </c>
      <c r="C37" s="192" t="s">
        <v>170</v>
      </c>
      <c r="D37" s="193" t="s">
        <v>23</v>
      </c>
      <c r="E37" s="195">
        <v>208</v>
      </c>
      <c r="F37" s="273" t="s">
        <v>201</v>
      </c>
      <c r="G37" s="274"/>
      <c r="H37" s="274"/>
      <c r="I37" s="274"/>
      <c r="J37" s="274"/>
      <c r="K37" s="274"/>
      <c r="L37" s="274"/>
      <c r="M37" s="275"/>
    </row>
    <row r="38" spans="2:13" ht="40.200000000000003">
      <c r="B38" s="192" t="s">
        <v>78</v>
      </c>
      <c r="C38" s="192" t="s">
        <v>151</v>
      </c>
      <c r="D38" s="193" t="s">
        <v>242</v>
      </c>
      <c r="E38" s="195">
        <f>E37*1.3*26</f>
        <v>7030.4000000000005</v>
      </c>
      <c r="F38" s="273" t="s">
        <v>241</v>
      </c>
      <c r="G38" s="274"/>
      <c r="H38" s="274"/>
      <c r="I38" s="274"/>
      <c r="J38" s="274"/>
      <c r="K38" s="274"/>
      <c r="L38" s="274"/>
      <c r="M38" s="275"/>
    </row>
    <row r="39" spans="2:13">
      <c r="B39" s="32"/>
      <c r="C39" s="32"/>
      <c r="D39" s="33"/>
      <c r="E39" s="197"/>
      <c r="F39" s="197"/>
      <c r="G39" s="197"/>
      <c r="H39" s="197"/>
      <c r="I39" s="197"/>
      <c r="J39" s="197"/>
      <c r="K39" s="197"/>
      <c r="L39" s="197"/>
      <c r="M39" s="35"/>
    </row>
    <row r="40" spans="2:13">
      <c r="B40" s="189">
        <v>3</v>
      </c>
      <c r="C40" s="189" t="s">
        <v>95</v>
      </c>
      <c r="D40" s="189"/>
      <c r="E40" s="191"/>
      <c r="F40" s="189"/>
      <c r="G40" s="189"/>
      <c r="H40" s="189"/>
      <c r="I40" s="189"/>
      <c r="J40" s="189"/>
      <c r="K40" s="189"/>
      <c r="L40" s="191"/>
      <c r="M40" s="21"/>
    </row>
    <row r="41" spans="2:13">
      <c r="B41" s="192" t="s">
        <v>19</v>
      </c>
      <c r="C41" s="192" t="s">
        <v>94</v>
      </c>
      <c r="D41" s="193" t="s">
        <v>68</v>
      </c>
      <c r="E41" s="195">
        <f>(L10*7.96)+35.5</f>
        <v>1468.3</v>
      </c>
      <c r="F41" s="273" t="s">
        <v>202</v>
      </c>
      <c r="G41" s="274"/>
      <c r="H41" s="274"/>
      <c r="I41" s="274"/>
      <c r="J41" s="274"/>
      <c r="K41" s="274"/>
      <c r="L41" s="274"/>
      <c r="M41" s="275"/>
    </row>
    <row r="42" spans="2:13" ht="39.6">
      <c r="B42" s="192" t="s">
        <v>24</v>
      </c>
      <c r="C42" s="192" t="s">
        <v>93</v>
      </c>
      <c r="D42" s="193" t="s">
        <v>23</v>
      </c>
      <c r="E42" s="195">
        <f>(L10*0.17*7.71)+(35.5*0.17)</f>
        <v>241.96100000000001</v>
      </c>
      <c r="F42" s="273" t="s">
        <v>203</v>
      </c>
      <c r="G42" s="274"/>
      <c r="H42" s="274"/>
      <c r="I42" s="274"/>
      <c r="J42" s="274"/>
      <c r="K42" s="274"/>
      <c r="L42" s="274"/>
      <c r="M42" s="275"/>
    </row>
    <row r="43" spans="2:13" ht="40.200000000000003">
      <c r="B43" s="192" t="s">
        <v>25</v>
      </c>
      <c r="C43" s="192" t="s">
        <v>146</v>
      </c>
      <c r="D43" s="193" t="s">
        <v>242</v>
      </c>
      <c r="E43" s="195">
        <f>E42*1.3*26</f>
        <v>8178.2818000000007</v>
      </c>
      <c r="F43" s="273" t="s">
        <v>241</v>
      </c>
      <c r="G43" s="274"/>
      <c r="H43" s="274"/>
      <c r="I43" s="274"/>
      <c r="J43" s="274"/>
      <c r="K43" s="274"/>
      <c r="L43" s="274"/>
      <c r="M43" s="275"/>
    </row>
    <row r="44" spans="2:13" ht="26.4">
      <c r="B44" s="192" t="s">
        <v>37</v>
      </c>
      <c r="C44" s="192" t="s">
        <v>92</v>
      </c>
      <c r="D44" s="193" t="s">
        <v>23</v>
      </c>
      <c r="E44" s="195">
        <f>(L10*0.15*7.23)+(35.5*0.15)</f>
        <v>200.535</v>
      </c>
      <c r="F44" s="273" t="s">
        <v>204</v>
      </c>
      <c r="G44" s="274"/>
      <c r="H44" s="274"/>
      <c r="I44" s="274"/>
      <c r="J44" s="274"/>
      <c r="K44" s="274"/>
      <c r="L44" s="274"/>
      <c r="M44" s="275"/>
    </row>
    <row r="45" spans="2:13" ht="40.200000000000003">
      <c r="B45" s="192" t="s">
        <v>26</v>
      </c>
      <c r="C45" s="192" t="s">
        <v>147</v>
      </c>
      <c r="D45" s="193" t="s">
        <v>242</v>
      </c>
      <c r="E45" s="195">
        <f>E44*1.3*26</f>
        <v>6778.0829999999996</v>
      </c>
      <c r="F45" s="273" t="s">
        <v>241</v>
      </c>
      <c r="G45" s="274"/>
      <c r="H45" s="274"/>
      <c r="I45" s="274"/>
      <c r="J45" s="274"/>
      <c r="K45" s="274"/>
      <c r="L45" s="274"/>
      <c r="M45" s="275"/>
    </row>
    <row r="46" spans="2:13" ht="26.4">
      <c r="B46" s="192" t="s">
        <v>27</v>
      </c>
      <c r="C46" s="192" t="s">
        <v>91</v>
      </c>
      <c r="D46" s="193" t="s">
        <v>68</v>
      </c>
      <c r="E46" s="195">
        <f>(L10*7)+35.5</f>
        <v>1295.5</v>
      </c>
      <c r="F46" s="273" t="s">
        <v>205</v>
      </c>
      <c r="G46" s="274"/>
      <c r="H46" s="274"/>
      <c r="I46" s="274"/>
      <c r="J46" s="274"/>
      <c r="K46" s="274"/>
      <c r="L46" s="274"/>
      <c r="M46" s="275"/>
    </row>
    <row r="47" spans="2:13">
      <c r="B47" s="192" t="s">
        <v>75</v>
      </c>
      <c r="C47" s="192" t="s">
        <v>90</v>
      </c>
      <c r="D47" s="193" t="s">
        <v>68</v>
      </c>
      <c r="E47" s="195">
        <f>E46</f>
        <v>1295.5</v>
      </c>
      <c r="F47" s="273" t="s">
        <v>206</v>
      </c>
      <c r="G47" s="274"/>
      <c r="H47" s="274"/>
      <c r="I47" s="274"/>
      <c r="J47" s="274"/>
      <c r="K47" s="274"/>
      <c r="L47" s="274"/>
      <c r="M47" s="275"/>
    </row>
    <row r="48" spans="2:13" ht="26.4">
      <c r="B48" s="192" t="s">
        <v>76</v>
      </c>
      <c r="C48" s="192" t="s">
        <v>69</v>
      </c>
      <c r="D48" s="193" t="s">
        <v>256</v>
      </c>
      <c r="E48" s="195">
        <f>(I10)*0.05*2.6</f>
        <v>156.71500000000003</v>
      </c>
      <c r="F48" s="273" t="s">
        <v>258</v>
      </c>
      <c r="G48" s="274"/>
      <c r="H48" s="274"/>
      <c r="I48" s="274"/>
      <c r="J48" s="274"/>
      <c r="K48" s="274"/>
      <c r="L48" s="274"/>
      <c r="M48" s="275"/>
    </row>
    <row r="49" spans="2:13" ht="40.200000000000003">
      <c r="B49" s="192" t="s">
        <v>77</v>
      </c>
      <c r="C49" s="192" t="s">
        <v>152</v>
      </c>
      <c r="D49" s="193" t="s">
        <v>242</v>
      </c>
      <c r="E49" s="195">
        <f>E48*26</f>
        <v>4074.5900000000011</v>
      </c>
      <c r="F49" s="273" t="s">
        <v>207</v>
      </c>
      <c r="G49" s="274"/>
      <c r="H49" s="274"/>
      <c r="I49" s="274"/>
      <c r="J49" s="274"/>
      <c r="K49" s="274"/>
      <c r="L49" s="274"/>
      <c r="M49" s="275"/>
    </row>
    <row r="50" spans="2:13" s="5" customFormat="1" ht="26.4">
      <c r="B50" s="18" t="s">
        <v>275</v>
      </c>
      <c r="C50" s="18" t="s">
        <v>274</v>
      </c>
      <c r="D50" s="23" t="s">
        <v>280</v>
      </c>
      <c r="E50" s="174">
        <f>ROUND(E47*0.6/1000,2)</f>
        <v>0.78</v>
      </c>
      <c r="F50" s="273" t="s">
        <v>283</v>
      </c>
      <c r="G50" s="274"/>
      <c r="H50" s="274"/>
      <c r="I50" s="274"/>
      <c r="J50" s="274"/>
      <c r="K50" s="274"/>
      <c r="L50" s="274"/>
      <c r="M50" s="275"/>
    </row>
    <row r="51" spans="2:13" s="5" customFormat="1" ht="26.4">
      <c r="B51" s="18" t="s">
        <v>276</v>
      </c>
      <c r="C51" s="18" t="s">
        <v>278</v>
      </c>
      <c r="D51" s="23" t="s">
        <v>280</v>
      </c>
      <c r="E51" s="174">
        <f>ROUND(E46*1.2/1000,2)</f>
        <v>1.55</v>
      </c>
      <c r="F51" s="273" t="s">
        <v>284</v>
      </c>
      <c r="G51" s="274"/>
      <c r="H51" s="274"/>
      <c r="I51" s="274"/>
      <c r="J51" s="274"/>
      <c r="K51" s="274"/>
      <c r="L51" s="274"/>
      <c r="M51" s="275"/>
    </row>
    <row r="52" spans="2:13" s="5" customFormat="1" ht="26.4">
      <c r="B52" s="18" t="s">
        <v>277</v>
      </c>
      <c r="C52" s="18" t="s">
        <v>279</v>
      </c>
      <c r="D52" s="23" t="s">
        <v>280</v>
      </c>
      <c r="E52" s="174">
        <f>ROUND(E48*0.06449,2)</f>
        <v>10.11</v>
      </c>
      <c r="F52" s="273" t="s">
        <v>285</v>
      </c>
      <c r="G52" s="274"/>
      <c r="H52" s="274"/>
      <c r="I52" s="274"/>
      <c r="J52" s="274"/>
      <c r="K52" s="274"/>
      <c r="L52" s="274"/>
      <c r="M52" s="275"/>
    </row>
    <row r="53" spans="2:13">
      <c r="B53" s="32"/>
      <c r="C53" s="32"/>
      <c r="D53" s="33"/>
      <c r="E53" s="197"/>
      <c r="F53" s="197"/>
      <c r="G53" s="197"/>
      <c r="H53" s="197"/>
      <c r="I53" s="197"/>
      <c r="J53" s="197"/>
      <c r="K53" s="197"/>
      <c r="L53" s="197"/>
      <c r="M53" s="35"/>
    </row>
    <row r="54" spans="2:13">
      <c r="B54" s="189">
        <v>4</v>
      </c>
      <c r="C54" s="189" t="s">
        <v>89</v>
      </c>
      <c r="D54" s="189"/>
      <c r="E54" s="191"/>
      <c r="F54" s="189"/>
      <c r="G54" s="189"/>
      <c r="H54" s="189"/>
      <c r="I54" s="189"/>
      <c r="J54" s="189"/>
      <c r="K54" s="189"/>
      <c r="L54" s="191"/>
      <c r="M54" s="21"/>
    </row>
    <row r="55" spans="2:13" ht="40.200000000000003">
      <c r="B55" s="192" t="s">
        <v>28</v>
      </c>
      <c r="C55" s="192" t="s">
        <v>144</v>
      </c>
      <c r="D55" s="193" t="s">
        <v>23</v>
      </c>
      <c r="E55" s="195">
        <f>61*0.15</f>
        <v>9.15</v>
      </c>
      <c r="F55" s="273" t="s">
        <v>208</v>
      </c>
      <c r="G55" s="274"/>
      <c r="H55" s="274"/>
      <c r="I55" s="274"/>
      <c r="J55" s="274"/>
      <c r="K55" s="274"/>
      <c r="L55" s="274"/>
      <c r="M55" s="275"/>
    </row>
    <row r="56" spans="2:13" ht="39.6">
      <c r="B56" s="192" t="s">
        <v>29</v>
      </c>
      <c r="C56" s="192" t="s">
        <v>150</v>
      </c>
      <c r="D56" s="193" t="s">
        <v>23</v>
      </c>
      <c r="E56" s="195">
        <f>61*0.1</f>
        <v>6.1000000000000005</v>
      </c>
      <c r="F56" s="273" t="s">
        <v>208</v>
      </c>
      <c r="G56" s="274"/>
      <c r="H56" s="274"/>
      <c r="I56" s="274"/>
      <c r="J56" s="274"/>
      <c r="K56" s="274"/>
      <c r="L56" s="274"/>
      <c r="M56" s="275"/>
    </row>
    <row r="57" spans="2:13" ht="39.6">
      <c r="B57" s="192" t="s">
        <v>58</v>
      </c>
      <c r="C57" s="192" t="s">
        <v>145</v>
      </c>
      <c r="D57" s="193" t="s">
        <v>23</v>
      </c>
      <c r="E57" s="195">
        <f>61*0.4</f>
        <v>24.400000000000002</v>
      </c>
      <c r="F57" s="273" t="s">
        <v>208</v>
      </c>
      <c r="G57" s="274"/>
      <c r="H57" s="274"/>
      <c r="I57" s="274"/>
      <c r="J57" s="274"/>
      <c r="K57" s="274"/>
      <c r="L57" s="274"/>
      <c r="M57" s="275"/>
    </row>
    <row r="58" spans="2:13" ht="26.4">
      <c r="B58" s="192" t="s">
        <v>72</v>
      </c>
      <c r="C58" s="192" t="s">
        <v>149</v>
      </c>
      <c r="D58" s="193" t="s">
        <v>23</v>
      </c>
      <c r="E58" s="195">
        <f>E57*1.3</f>
        <v>31.720000000000002</v>
      </c>
      <c r="F58" s="273" t="s">
        <v>209</v>
      </c>
      <c r="G58" s="274"/>
      <c r="H58" s="274"/>
      <c r="I58" s="274"/>
      <c r="J58" s="274"/>
      <c r="K58" s="274"/>
      <c r="L58" s="274"/>
      <c r="M58" s="275"/>
    </row>
    <row r="59" spans="2:13" ht="40.200000000000003">
      <c r="B59" s="192" t="s">
        <v>73</v>
      </c>
      <c r="C59" s="192" t="s">
        <v>153</v>
      </c>
      <c r="D59" s="193" t="s">
        <v>238</v>
      </c>
      <c r="E59" s="195">
        <f>E56*1.3*2</f>
        <v>15.860000000000001</v>
      </c>
      <c r="F59" s="273" t="s">
        <v>243</v>
      </c>
      <c r="G59" s="274"/>
      <c r="H59" s="274"/>
      <c r="I59" s="274"/>
      <c r="J59" s="274"/>
      <c r="K59" s="274"/>
      <c r="L59" s="274"/>
      <c r="M59" s="275"/>
    </row>
    <row r="60" spans="2:13" ht="40.200000000000003">
      <c r="B60" s="192" t="s">
        <v>74</v>
      </c>
      <c r="C60" s="192" t="s">
        <v>154</v>
      </c>
      <c r="D60" s="193" t="s">
        <v>238</v>
      </c>
      <c r="E60" s="195">
        <f>E57*1.3*2</f>
        <v>63.440000000000005</v>
      </c>
      <c r="F60" s="273" t="s">
        <v>244</v>
      </c>
      <c r="G60" s="274"/>
      <c r="H60" s="274"/>
      <c r="I60" s="274"/>
      <c r="J60" s="274"/>
      <c r="K60" s="274"/>
      <c r="L60" s="274"/>
      <c r="M60" s="275"/>
    </row>
    <row r="61" spans="2:13" ht="52.8">
      <c r="B61" s="192" t="s">
        <v>108</v>
      </c>
      <c r="C61" s="192" t="s">
        <v>155</v>
      </c>
      <c r="D61" s="193" t="s">
        <v>21</v>
      </c>
      <c r="E61" s="195">
        <f>11+16</f>
        <v>27</v>
      </c>
      <c r="F61" s="273" t="s">
        <v>210</v>
      </c>
      <c r="G61" s="274"/>
      <c r="H61" s="274"/>
      <c r="I61" s="274"/>
      <c r="J61" s="274"/>
      <c r="K61" s="274"/>
      <c r="L61" s="274"/>
      <c r="M61" s="275"/>
    </row>
    <row r="62" spans="2:13" ht="26.4">
      <c r="B62" s="192" t="s">
        <v>179</v>
      </c>
      <c r="C62" s="192" t="s">
        <v>156</v>
      </c>
      <c r="D62" s="193" t="s">
        <v>30</v>
      </c>
      <c r="E62" s="195">
        <v>10</v>
      </c>
      <c r="F62" s="273" t="s">
        <v>210</v>
      </c>
      <c r="G62" s="274"/>
      <c r="H62" s="274"/>
      <c r="I62" s="274"/>
      <c r="J62" s="274"/>
      <c r="K62" s="274"/>
      <c r="L62" s="274"/>
      <c r="M62" s="275"/>
    </row>
    <row r="63" spans="2:13" ht="39.6">
      <c r="B63" s="192" t="s">
        <v>109</v>
      </c>
      <c r="C63" s="192" t="s">
        <v>183</v>
      </c>
      <c r="D63" s="193" t="s">
        <v>157</v>
      </c>
      <c r="E63" s="195">
        <f>0.6*0.6*2*0.25*2</f>
        <v>0.36</v>
      </c>
      <c r="F63" s="273" t="s">
        <v>211</v>
      </c>
      <c r="G63" s="274"/>
      <c r="H63" s="274"/>
      <c r="I63" s="274"/>
      <c r="J63" s="274"/>
      <c r="K63" s="274"/>
      <c r="L63" s="274"/>
      <c r="M63" s="275"/>
    </row>
    <row r="64" spans="2:13" ht="39.6">
      <c r="B64" s="192" t="s">
        <v>180</v>
      </c>
      <c r="C64" s="192" t="s">
        <v>171</v>
      </c>
      <c r="D64" s="193" t="s">
        <v>157</v>
      </c>
      <c r="E64" s="195">
        <f>2.2*1*0.25*2</f>
        <v>1.1000000000000001</v>
      </c>
      <c r="F64" s="273" t="s">
        <v>212</v>
      </c>
      <c r="G64" s="274"/>
      <c r="H64" s="274"/>
      <c r="I64" s="274"/>
      <c r="J64" s="274"/>
      <c r="K64" s="274"/>
      <c r="L64" s="274"/>
      <c r="M64" s="275"/>
    </row>
    <row r="65" spans="2:13">
      <c r="B65" s="192" t="s">
        <v>181</v>
      </c>
      <c r="C65" s="192" t="s">
        <v>70</v>
      </c>
      <c r="D65" s="193" t="s">
        <v>23</v>
      </c>
      <c r="E65" s="195">
        <f>E55+E56+E57</f>
        <v>39.650000000000006</v>
      </c>
      <c r="F65" s="273" t="s">
        <v>213</v>
      </c>
      <c r="G65" s="274"/>
      <c r="H65" s="274"/>
      <c r="I65" s="274"/>
      <c r="J65" s="274"/>
      <c r="K65" s="274"/>
      <c r="L65" s="274"/>
      <c r="M65" s="275"/>
    </row>
    <row r="66" spans="2:13">
      <c r="B66" s="192" t="s">
        <v>166</v>
      </c>
      <c r="C66" s="192" t="s">
        <v>71</v>
      </c>
      <c r="D66" s="193" t="s">
        <v>23</v>
      </c>
      <c r="E66" s="195">
        <f>E55+E56+E57</f>
        <v>39.650000000000006</v>
      </c>
      <c r="F66" s="273" t="s">
        <v>213</v>
      </c>
      <c r="G66" s="274"/>
      <c r="H66" s="274"/>
      <c r="I66" s="274"/>
      <c r="J66" s="274"/>
      <c r="K66" s="274"/>
      <c r="L66" s="274"/>
      <c r="M66" s="275"/>
    </row>
    <row r="67" spans="2:13">
      <c r="B67" s="32"/>
      <c r="C67" s="32"/>
      <c r="D67" s="33"/>
      <c r="E67" s="197"/>
      <c r="F67" s="197"/>
      <c r="G67" s="197"/>
      <c r="H67" s="197"/>
      <c r="I67" s="197"/>
      <c r="J67" s="197"/>
      <c r="K67" s="197"/>
      <c r="L67" s="197"/>
      <c r="M67" s="35"/>
    </row>
    <row r="68" spans="2:13">
      <c r="B68" s="189">
        <v>5</v>
      </c>
      <c r="C68" s="189" t="s">
        <v>87</v>
      </c>
      <c r="D68" s="189"/>
      <c r="E68" s="191"/>
      <c r="F68" s="189"/>
      <c r="G68" s="189"/>
      <c r="H68" s="189"/>
      <c r="I68" s="189"/>
      <c r="J68" s="189"/>
      <c r="K68" s="189"/>
      <c r="L68" s="191"/>
      <c r="M68" s="21"/>
    </row>
    <row r="69" spans="2:13" ht="39.6">
      <c r="B69" s="192" t="s">
        <v>31</v>
      </c>
      <c r="C69" s="192" t="s">
        <v>159</v>
      </c>
      <c r="D69" s="193" t="s">
        <v>68</v>
      </c>
      <c r="E69" s="195">
        <f>Orcamento!E71</f>
        <v>70.199999999999989</v>
      </c>
      <c r="F69" s="273" t="s">
        <v>271</v>
      </c>
      <c r="G69" s="274"/>
      <c r="H69" s="274"/>
      <c r="I69" s="274"/>
      <c r="J69" s="274"/>
      <c r="K69" s="274"/>
      <c r="L69" s="274"/>
      <c r="M69" s="275"/>
    </row>
    <row r="70" spans="2:13" ht="26.4">
      <c r="B70" s="192" t="s">
        <v>32</v>
      </c>
      <c r="C70" s="192" t="s">
        <v>173</v>
      </c>
      <c r="D70" s="193" t="s">
        <v>33</v>
      </c>
      <c r="E70" s="195">
        <v>1</v>
      </c>
      <c r="F70" s="273" t="s">
        <v>214</v>
      </c>
      <c r="G70" s="274"/>
      <c r="H70" s="274"/>
      <c r="I70" s="274"/>
      <c r="J70" s="274"/>
      <c r="K70" s="274"/>
      <c r="L70" s="274"/>
      <c r="M70" s="275"/>
    </row>
    <row r="71" spans="2:13" ht="26.4">
      <c r="B71" s="192" t="s">
        <v>182</v>
      </c>
      <c r="C71" s="192" t="s">
        <v>158</v>
      </c>
      <c r="D71" s="193" t="s">
        <v>33</v>
      </c>
      <c r="E71" s="195">
        <v>1</v>
      </c>
      <c r="F71" s="273" t="s">
        <v>215</v>
      </c>
      <c r="G71" s="274"/>
      <c r="H71" s="274"/>
      <c r="I71" s="274"/>
      <c r="J71" s="274"/>
      <c r="K71" s="274"/>
      <c r="L71" s="274"/>
      <c r="M71" s="275"/>
    </row>
    <row r="72" spans="2:13">
      <c r="B72" s="192" t="s">
        <v>38</v>
      </c>
      <c r="C72" s="192" t="s">
        <v>88</v>
      </c>
      <c r="D72" s="193" t="s">
        <v>33</v>
      </c>
      <c r="E72" s="195">
        <f>E70+E71</f>
        <v>2</v>
      </c>
      <c r="F72" s="273" t="s">
        <v>216</v>
      </c>
      <c r="G72" s="274"/>
      <c r="H72" s="274"/>
      <c r="I72" s="274"/>
      <c r="J72" s="274"/>
      <c r="K72" s="274"/>
      <c r="L72" s="274"/>
      <c r="M72" s="275"/>
    </row>
    <row r="73" spans="2:13">
      <c r="B73" s="182"/>
      <c r="C73" s="182"/>
      <c r="D73" s="182"/>
      <c r="E73" s="182"/>
      <c r="F73" s="182"/>
      <c r="G73" s="182"/>
      <c r="H73" s="182"/>
      <c r="I73" s="22"/>
      <c r="J73" s="22"/>
      <c r="K73" s="22"/>
      <c r="L73" s="22"/>
      <c r="M73" s="22"/>
    </row>
    <row r="74" spans="2:13">
      <c r="B74" s="218"/>
      <c r="C74" s="218"/>
      <c r="D74" s="218"/>
      <c r="E74" s="218"/>
      <c r="F74" s="218"/>
      <c r="G74" s="218"/>
      <c r="H74" s="218"/>
      <c r="I74" s="218"/>
      <c r="J74" s="22"/>
      <c r="K74" s="22"/>
      <c r="L74" s="22"/>
      <c r="M74" s="22"/>
    </row>
    <row r="75" spans="2:13">
      <c r="B75" s="200"/>
      <c r="C75" s="182"/>
      <c r="D75" s="200"/>
      <c r="E75" s="200"/>
      <c r="F75" s="200"/>
      <c r="G75" s="200"/>
      <c r="H75" s="200"/>
      <c r="I75" s="270"/>
      <c r="J75" s="271"/>
      <c r="K75" s="272"/>
      <c r="L75" s="271"/>
      <c r="M75" s="271"/>
    </row>
    <row r="76" spans="2:13">
      <c r="B76" s="200"/>
      <c r="C76" s="182" t="s">
        <v>273</v>
      </c>
      <c r="D76" s="200"/>
      <c r="E76" s="200"/>
      <c r="F76" s="200"/>
      <c r="G76" s="200"/>
      <c r="H76" s="200"/>
      <c r="I76" s="270"/>
      <c r="J76" s="271"/>
      <c r="K76" s="272"/>
      <c r="L76" s="271"/>
      <c r="M76" s="271"/>
    </row>
    <row r="77" spans="2:13">
      <c r="B77" s="200"/>
      <c r="C77" s="182"/>
      <c r="D77" s="200"/>
      <c r="E77" s="200"/>
      <c r="F77" s="200"/>
      <c r="G77" s="200"/>
      <c r="H77" s="200"/>
      <c r="I77" s="270"/>
      <c r="J77" s="271"/>
      <c r="K77" s="272"/>
      <c r="L77" s="271"/>
      <c r="M77" s="271"/>
    </row>
    <row r="78" spans="2:13" ht="14.4" thickBot="1">
      <c r="B78" s="7"/>
      <c r="C78" s="8"/>
      <c r="D78" s="9"/>
      <c r="E78" s="9"/>
      <c r="F78" s="9"/>
      <c r="G78" s="9"/>
      <c r="H78" s="8"/>
      <c r="I78" s="8"/>
      <c r="J78" s="8"/>
      <c r="K78" s="8"/>
      <c r="L78" s="8"/>
      <c r="M78" s="8"/>
    </row>
    <row r="79" spans="2:13">
      <c r="B79" s="5"/>
      <c r="C79" s="5"/>
      <c r="D79" s="224" t="s">
        <v>12</v>
      </c>
      <c r="E79" s="224"/>
      <c r="F79" s="224"/>
      <c r="G79" s="224"/>
      <c r="H79" s="5"/>
      <c r="I79" s="5"/>
      <c r="J79" s="5"/>
      <c r="K79" s="5"/>
      <c r="L79" s="5"/>
      <c r="M79" s="5"/>
    </row>
    <row r="80" spans="2:13">
      <c r="B80" s="5"/>
      <c r="C80" s="5"/>
      <c r="D80" s="209" t="s">
        <v>20</v>
      </c>
      <c r="E80" s="209"/>
      <c r="F80" s="209"/>
      <c r="G80" s="209"/>
      <c r="H80" s="5"/>
      <c r="I80" s="5"/>
      <c r="J80" s="5"/>
      <c r="K80" s="5"/>
      <c r="L80" s="5"/>
      <c r="M80" s="5"/>
    </row>
  </sheetData>
  <mergeCells count="70">
    <mergeCell ref="B14:B15"/>
    <mergeCell ref="C14:C15"/>
    <mergeCell ref="D14:D15"/>
    <mergeCell ref="E14:E15"/>
    <mergeCell ref="F14:F15"/>
    <mergeCell ref="J10:K10"/>
    <mergeCell ref="C11:F11"/>
    <mergeCell ref="I11:M11"/>
    <mergeCell ref="I12:M12"/>
    <mergeCell ref="C13:K13"/>
    <mergeCell ref="F28:M28"/>
    <mergeCell ref="G14:I14"/>
    <mergeCell ref="J14:L14"/>
    <mergeCell ref="M14:M15"/>
    <mergeCell ref="F17:M17"/>
    <mergeCell ref="F18:M18"/>
    <mergeCell ref="F19:M19"/>
    <mergeCell ref="F20:M20"/>
    <mergeCell ref="F24:M24"/>
    <mergeCell ref="F25:M25"/>
    <mergeCell ref="F26:M26"/>
    <mergeCell ref="F27:M27"/>
    <mergeCell ref="F44:M44"/>
    <mergeCell ref="F29:M29"/>
    <mergeCell ref="F30:M30"/>
    <mergeCell ref="F32:M32"/>
    <mergeCell ref="F33:M33"/>
    <mergeCell ref="F34:M34"/>
    <mergeCell ref="F35:M35"/>
    <mergeCell ref="F37:M37"/>
    <mergeCell ref="F38:M38"/>
    <mergeCell ref="F41:M41"/>
    <mergeCell ref="F42:M42"/>
    <mergeCell ref="F43:M43"/>
    <mergeCell ref="F61:M61"/>
    <mergeCell ref="F45:M45"/>
    <mergeCell ref="F46:M46"/>
    <mergeCell ref="F47:M47"/>
    <mergeCell ref="F48:M48"/>
    <mergeCell ref="F49:M49"/>
    <mergeCell ref="F55:M55"/>
    <mergeCell ref="F50:M50"/>
    <mergeCell ref="F51:M51"/>
    <mergeCell ref="F52:M52"/>
    <mergeCell ref="I77:J77"/>
    <mergeCell ref="K77:M77"/>
    <mergeCell ref="D79:G79"/>
    <mergeCell ref="D80:G80"/>
    <mergeCell ref="F70:M70"/>
    <mergeCell ref="F71:M71"/>
    <mergeCell ref="F72:M72"/>
    <mergeCell ref="B74:I74"/>
    <mergeCell ref="I75:J75"/>
    <mergeCell ref="K75:M75"/>
    <mergeCell ref="B7:L7"/>
    <mergeCell ref="B8:L8"/>
    <mergeCell ref="B9:M9"/>
    <mergeCell ref="I76:J76"/>
    <mergeCell ref="K76:M76"/>
    <mergeCell ref="F62:M62"/>
    <mergeCell ref="F63:M63"/>
    <mergeCell ref="F64:M64"/>
    <mergeCell ref="F65:M65"/>
    <mergeCell ref="F66:M66"/>
    <mergeCell ref="F69:M69"/>
    <mergeCell ref="F56:M56"/>
    <mergeCell ref="F57:M57"/>
    <mergeCell ref="F58:M58"/>
    <mergeCell ref="F59:M59"/>
    <mergeCell ref="F60:M60"/>
  </mergeCells>
  <pageMargins left="0.51181102362204722" right="0.51181102362204722" top="0.78740157480314965" bottom="0.78740157480314965" header="0.31496062992125984" footer="0.31496062992125984"/>
  <pageSetup scale="52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Orcamento</vt:lpstr>
      <vt:lpstr>Orcamento Resumo</vt:lpstr>
      <vt:lpstr>Cronograma</vt:lpstr>
      <vt:lpstr>Coposições</vt:lpstr>
      <vt:lpstr>Memória de Cálculo</vt:lpstr>
      <vt:lpstr>Orcamento!_ftn1</vt:lpstr>
      <vt:lpstr>Coposições!Print_Area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Kerbes Engenharia</cp:lastModifiedBy>
  <cp:revision>0</cp:revision>
  <cp:lastPrinted>2026-01-08T19:59:33Z</cp:lastPrinted>
  <dcterms:created xsi:type="dcterms:W3CDTF">2021-08-17T17:53:06Z</dcterms:created>
  <dcterms:modified xsi:type="dcterms:W3CDTF">2026-01-08T20:02:54Z</dcterms:modified>
</cp:coreProperties>
</file>