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4" yWindow="588" windowWidth="19836" windowHeight="8676"/>
  </bookViews>
  <sheets>
    <sheet name="Orcamento" sheetId="1" r:id="rId1"/>
    <sheet name="Orcamento Resumo" sheetId="2" r:id="rId2"/>
    <sheet name="Cronograma" sheetId="3" r:id="rId3"/>
    <sheet name="Composições" sheetId="4" r:id="rId4"/>
  </sheets>
  <externalReferences>
    <externalReference r:id="rId5"/>
  </externalReferences>
  <definedNames>
    <definedName name="_ftn1" localSheetId="0">Orcamento!$B$10</definedName>
    <definedName name="_ftnref1" localSheetId="0">Orcamento!#REF!</definedName>
    <definedName name="_Toc89844996" localSheetId="0">Orcamento!#REF!</definedName>
  </definedNames>
  <calcPr calcId="144525"/>
  <extLst>
    <ext uri="GoogleSheetsCustomDataVersion2">
      <go:sheetsCustomData xmlns:go="http://customooxmlschemas.google.com/" r:id="" roundtripDataChecksum="PfKt9EIAs25SOfBwvb4emRogZJmBX63EbTbtEONpLoU="/>
    </ext>
  </extLst>
</workbook>
</file>

<file path=xl/calcChain.xml><?xml version="1.0" encoding="utf-8"?>
<calcChain xmlns="http://schemas.openxmlformats.org/spreadsheetml/2006/main">
  <c r="K148" i="1" l="1"/>
  <c r="K122" i="1"/>
  <c r="K101" i="1"/>
  <c r="K65" i="1"/>
  <c r="K61" i="1"/>
  <c r="K60" i="1"/>
  <c r="K47" i="1"/>
  <c r="K44" i="1"/>
  <c r="K28" i="1"/>
  <c r="K153" i="1" l="1"/>
  <c r="K152" i="1"/>
  <c r="K121" i="1"/>
  <c r="K118" i="1"/>
  <c r="K105" i="1"/>
  <c r="K100" i="1"/>
  <c r="K87" i="1"/>
  <c r="K62" i="1"/>
  <c r="K42" i="1"/>
  <c r="K22" i="1"/>
  <c r="H40" i="4"/>
  <c r="H39" i="4"/>
  <c r="H38" i="4"/>
  <c r="H37" i="4"/>
  <c r="H36" i="4"/>
  <c r="H35" i="4"/>
  <c r="H34" i="4"/>
  <c r="H33" i="4"/>
  <c r="G35" i="4"/>
  <c r="M35" i="4"/>
  <c r="H28" i="4"/>
  <c r="H27" i="4"/>
  <c r="H26" i="4"/>
  <c r="H25" i="4"/>
  <c r="H24" i="4"/>
  <c r="H23" i="4"/>
  <c r="H22" i="4"/>
  <c r="H21" i="4"/>
  <c r="H20" i="4"/>
  <c r="G22" i="4"/>
  <c r="M22" i="4"/>
  <c r="F137" i="1"/>
  <c r="E137" i="1"/>
  <c r="E135" i="1"/>
  <c r="F135" i="1"/>
  <c r="F93" i="1"/>
  <c r="F62" i="1"/>
  <c r="F43" i="1"/>
  <c r="E43" i="1"/>
  <c r="F45" i="1"/>
  <c r="E45" i="1"/>
  <c r="H41" i="4" l="1"/>
  <c r="L28" i="1"/>
  <c r="H33" i="1"/>
  <c r="K33" i="1" s="1"/>
  <c r="H93" i="1"/>
  <c r="K93" i="1" s="1"/>
  <c r="G69" i="1"/>
  <c r="H69" i="1"/>
  <c r="K69" i="1" s="1"/>
  <c r="E155" i="1"/>
  <c r="E154" i="1"/>
  <c r="E151" i="1"/>
  <c r="E150" i="1"/>
  <c r="E149" i="1"/>
  <c r="J149" i="1" s="1"/>
  <c r="E148" i="1"/>
  <c r="E140" i="1"/>
  <c r="K140" i="1" s="1"/>
  <c r="L140" i="1" s="1"/>
  <c r="E139" i="1"/>
  <c r="E136" i="1"/>
  <c r="E134" i="1"/>
  <c r="E133" i="1"/>
  <c r="E122" i="1"/>
  <c r="E106" i="1"/>
  <c r="E105" i="1"/>
  <c r="E102" i="1"/>
  <c r="E101" i="1"/>
  <c r="E100" i="1"/>
  <c r="E99" i="1"/>
  <c r="E87" i="1"/>
  <c r="E66" i="1"/>
  <c r="E65" i="1"/>
  <c r="E62" i="1"/>
  <c r="E61" i="1"/>
  <c r="E60" i="1"/>
  <c r="E57" i="1"/>
  <c r="E56" i="1"/>
  <c r="E49" i="1"/>
  <c r="E48" i="1"/>
  <c r="H158" i="1"/>
  <c r="K158" i="1" s="1"/>
  <c r="G158" i="1"/>
  <c r="J158" i="1" s="1"/>
  <c r="H155" i="1"/>
  <c r="I155" i="1" s="1"/>
  <c r="G155" i="1"/>
  <c r="J155" i="1" s="1"/>
  <c r="H154" i="1"/>
  <c r="K154" i="1" s="1"/>
  <c r="G154" i="1"/>
  <c r="J154" i="1" s="1"/>
  <c r="H153" i="1"/>
  <c r="G153" i="1"/>
  <c r="J153" i="1" s="1"/>
  <c r="H152" i="1"/>
  <c r="L152" i="1" s="1"/>
  <c r="G152" i="1"/>
  <c r="J152" i="1" s="1"/>
  <c r="H151" i="1"/>
  <c r="G151" i="1"/>
  <c r="H150" i="1"/>
  <c r="K150" i="1" s="1"/>
  <c r="G150" i="1"/>
  <c r="J150" i="1" s="1"/>
  <c r="H149" i="1"/>
  <c r="G149" i="1"/>
  <c r="H148" i="1"/>
  <c r="G148" i="1"/>
  <c r="J148" i="1" s="1"/>
  <c r="K147" i="1"/>
  <c r="H147" i="1"/>
  <c r="I147" i="1" s="1"/>
  <c r="G147" i="1"/>
  <c r="J147" i="1" s="1"/>
  <c r="H146" i="1"/>
  <c r="K146" i="1" s="1"/>
  <c r="G146" i="1"/>
  <c r="J146" i="1" s="1"/>
  <c r="J145" i="1"/>
  <c r="H145" i="1"/>
  <c r="I145" i="1" s="1"/>
  <c r="G145" i="1"/>
  <c r="H142" i="1"/>
  <c r="I142" i="1" s="1"/>
  <c r="G142" i="1"/>
  <c r="J142" i="1" s="1"/>
  <c r="H141" i="1"/>
  <c r="K141" i="1" s="1"/>
  <c r="G141" i="1"/>
  <c r="J141" i="1" s="1"/>
  <c r="J140" i="1"/>
  <c r="H140" i="1"/>
  <c r="I140" i="1" s="1"/>
  <c r="G140" i="1"/>
  <c r="J139" i="1"/>
  <c r="H139" i="1"/>
  <c r="K139" i="1" s="1"/>
  <c r="G139" i="1"/>
  <c r="K138" i="1"/>
  <c r="H138" i="1"/>
  <c r="I138" i="1" s="1"/>
  <c r="G138" i="1"/>
  <c r="J138" i="1" s="1"/>
  <c r="H137" i="1"/>
  <c r="K137" i="1" s="1"/>
  <c r="G137" i="1"/>
  <c r="J137" i="1" s="1"/>
  <c r="H136" i="1"/>
  <c r="G136" i="1"/>
  <c r="J136" i="1" s="1"/>
  <c r="H135" i="1"/>
  <c r="K135" i="1" s="1"/>
  <c r="G135" i="1"/>
  <c r="J135" i="1" s="1"/>
  <c r="H134" i="1"/>
  <c r="I134" i="1" s="1"/>
  <c r="G134" i="1"/>
  <c r="J134" i="1" s="1"/>
  <c r="H133" i="1"/>
  <c r="K133" i="1" s="1"/>
  <c r="G133" i="1"/>
  <c r="J133" i="1" s="1"/>
  <c r="K130" i="1"/>
  <c r="J130" i="1"/>
  <c r="I130" i="1"/>
  <c r="H130" i="1"/>
  <c r="G130" i="1"/>
  <c r="H129" i="1"/>
  <c r="K129" i="1" s="1"/>
  <c r="G129" i="1"/>
  <c r="J129" i="1" s="1"/>
  <c r="H128" i="1"/>
  <c r="K128" i="1" s="1"/>
  <c r="G128" i="1"/>
  <c r="J128" i="1" s="1"/>
  <c r="H127" i="1"/>
  <c r="G127" i="1"/>
  <c r="J127" i="1" s="1"/>
  <c r="H126" i="1"/>
  <c r="K126" i="1" s="1"/>
  <c r="G126" i="1"/>
  <c r="J126" i="1" s="1"/>
  <c r="K123" i="1"/>
  <c r="H123" i="1"/>
  <c r="G123" i="1"/>
  <c r="J123" i="1" s="1"/>
  <c r="H122" i="1"/>
  <c r="G122" i="1"/>
  <c r="J122" i="1" s="1"/>
  <c r="H121" i="1"/>
  <c r="G121" i="1"/>
  <c r="H118" i="1"/>
  <c r="G118" i="1"/>
  <c r="J118" i="1" s="1"/>
  <c r="H117" i="1"/>
  <c r="K117" i="1" s="1"/>
  <c r="G117" i="1"/>
  <c r="J117" i="1" s="1"/>
  <c r="K116" i="1"/>
  <c r="H116" i="1"/>
  <c r="I116" i="1" s="1"/>
  <c r="G116" i="1"/>
  <c r="J116" i="1" s="1"/>
  <c r="H115" i="1"/>
  <c r="K115" i="1" s="1"/>
  <c r="G115" i="1"/>
  <c r="J115" i="1" s="1"/>
  <c r="H109" i="1"/>
  <c r="I109" i="1" s="1"/>
  <c r="G109" i="1"/>
  <c r="J109" i="1" s="1"/>
  <c r="H106" i="1"/>
  <c r="I106" i="1" s="1"/>
  <c r="G106" i="1"/>
  <c r="H105" i="1"/>
  <c r="G105" i="1"/>
  <c r="J105" i="1" s="1"/>
  <c r="H104" i="1"/>
  <c r="G104" i="1"/>
  <c r="J104" i="1" s="1"/>
  <c r="H103" i="1"/>
  <c r="K103" i="1" s="1"/>
  <c r="G103" i="1"/>
  <c r="J103" i="1" s="1"/>
  <c r="H102" i="1"/>
  <c r="G102" i="1"/>
  <c r="H101" i="1"/>
  <c r="G101" i="1"/>
  <c r="J101" i="1" s="1"/>
  <c r="H100" i="1"/>
  <c r="G100" i="1"/>
  <c r="H99" i="1"/>
  <c r="G99" i="1"/>
  <c r="H98" i="1"/>
  <c r="G98" i="1"/>
  <c r="J98" i="1" s="1"/>
  <c r="H97" i="1"/>
  <c r="K97" i="1" s="1"/>
  <c r="G97" i="1"/>
  <c r="J97" i="1" s="1"/>
  <c r="K96" i="1"/>
  <c r="H96" i="1"/>
  <c r="G96" i="1"/>
  <c r="J96" i="1" s="1"/>
  <c r="G93" i="1"/>
  <c r="J93" i="1" s="1"/>
  <c r="K92" i="1"/>
  <c r="H92" i="1"/>
  <c r="G92" i="1"/>
  <c r="J92" i="1" s="1"/>
  <c r="H91" i="1"/>
  <c r="K91" i="1" s="1"/>
  <c r="L91" i="1" s="1"/>
  <c r="G91" i="1"/>
  <c r="J91" i="1" s="1"/>
  <c r="H88" i="1"/>
  <c r="K88" i="1" s="1"/>
  <c r="G88" i="1"/>
  <c r="J88" i="1" s="1"/>
  <c r="H87" i="1"/>
  <c r="L87" i="1" s="1"/>
  <c r="G87" i="1"/>
  <c r="J87" i="1" s="1"/>
  <c r="H86" i="1"/>
  <c r="K86" i="1" s="1"/>
  <c r="G86" i="1"/>
  <c r="J86" i="1" s="1"/>
  <c r="H85" i="1"/>
  <c r="I85" i="1" s="1"/>
  <c r="G85" i="1"/>
  <c r="J85" i="1" s="1"/>
  <c r="K84" i="1"/>
  <c r="J84" i="1"/>
  <c r="H84" i="1"/>
  <c r="I84" i="1" s="1"/>
  <c r="G84" i="1"/>
  <c r="H83" i="1"/>
  <c r="K83" i="1" s="1"/>
  <c r="G83" i="1"/>
  <c r="J83" i="1" s="1"/>
  <c r="J80" i="1"/>
  <c r="H80" i="1"/>
  <c r="K80" i="1" s="1"/>
  <c r="L80" i="1" s="1"/>
  <c r="G80" i="1"/>
  <c r="H79" i="1"/>
  <c r="K79" i="1" s="1"/>
  <c r="G79" i="1"/>
  <c r="J79" i="1" s="1"/>
  <c r="H78" i="1"/>
  <c r="K78" i="1" s="1"/>
  <c r="G78" i="1"/>
  <c r="J78" i="1" s="1"/>
  <c r="H72" i="1"/>
  <c r="G72" i="1"/>
  <c r="J72" i="1" s="1"/>
  <c r="J69" i="1"/>
  <c r="H66" i="1"/>
  <c r="I66" i="1" s="1"/>
  <c r="G66" i="1"/>
  <c r="H65" i="1"/>
  <c r="L65" i="1" s="1"/>
  <c r="G65" i="1"/>
  <c r="J65" i="1" s="1"/>
  <c r="H64" i="1"/>
  <c r="K64" i="1" s="1"/>
  <c r="G64" i="1"/>
  <c r="J64" i="1" s="1"/>
  <c r="H63" i="1"/>
  <c r="K63" i="1" s="1"/>
  <c r="G63" i="1"/>
  <c r="J63" i="1" s="1"/>
  <c r="I62" i="1"/>
  <c r="H62" i="1"/>
  <c r="G62" i="1"/>
  <c r="H61" i="1"/>
  <c r="G61" i="1"/>
  <c r="J61" i="1" s="1"/>
  <c r="H60" i="1"/>
  <c r="G60" i="1"/>
  <c r="J60" i="1" s="1"/>
  <c r="H59" i="1"/>
  <c r="I59" i="1" s="1"/>
  <c r="G59" i="1"/>
  <c r="J59" i="1" s="1"/>
  <c r="J58" i="1"/>
  <c r="H58" i="1"/>
  <c r="I58" i="1" s="1"/>
  <c r="G58" i="1"/>
  <c r="H57" i="1"/>
  <c r="G57" i="1"/>
  <c r="H56" i="1"/>
  <c r="K56" i="1" s="1"/>
  <c r="G56" i="1"/>
  <c r="J56" i="1" s="1"/>
  <c r="J55" i="1"/>
  <c r="H55" i="1"/>
  <c r="I55" i="1" s="1"/>
  <c r="G55" i="1"/>
  <c r="H54" i="1"/>
  <c r="K54" i="1" s="1"/>
  <c r="L54" i="1" s="1"/>
  <c r="G54" i="1"/>
  <c r="J54" i="1" s="1"/>
  <c r="K51" i="1"/>
  <c r="J51" i="1"/>
  <c r="H51" i="1"/>
  <c r="G51" i="1"/>
  <c r="H50" i="1"/>
  <c r="K50" i="1" s="1"/>
  <c r="G50" i="1"/>
  <c r="J50" i="1" s="1"/>
  <c r="H49" i="1"/>
  <c r="I49" i="1" s="1"/>
  <c r="G49" i="1"/>
  <c r="J49" i="1" s="1"/>
  <c r="H48" i="1"/>
  <c r="K48" i="1" s="1"/>
  <c r="G48" i="1"/>
  <c r="J48" i="1" s="1"/>
  <c r="H47" i="1"/>
  <c r="L47" i="1" s="1"/>
  <c r="G47" i="1"/>
  <c r="J47" i="1" s="1"/>
  <c r="H46" i="1"/>
  <c r="K46" i="1" s="1"/>
  <c r="G46" i="1"/>
  <c r="J46" i="1" s="1"/>
  <c r="H45" i="1"/>
  <c r="K45" i="1" s="1"/>
  <c r="G45" i="1"/>
  <c r="J45" i="1" s="1"/>
  <c r="H44" i="1"/>
  <c r="L44" i="1" s="1"/>
  <c r="G44" i="1"/>
  <c r="J44" i="1" s="1"/>
  <c r="H43" i="1"/>
  <c r="K43" i="1" s="1"/>
  <c r="G43" i="1"/>
  <c r="J43" i="1" s="1"/>
  <c r="J42" i="1"/>
  <c r="H42" i="1"/>
  <c r="L42" i="1" s="1"/>
  <c r="G42" i="1"/>
  <c r="H41" i="1"/>
  <c r="I41" i="1" s="1"/>
  <c r="G41" i="1"/>
  <c r="J41" i="1" s="1"/>
  <c r="K38" i="1"/>
  <c r="J38" i="1"/>
  <c r="I38" i="1"/>
  <c r="H38" i="1"/>
  <c r="G38" i="1"/>
  <c r="H37" i="1"/>
  <c r="K37" i="1" s="1"/>
  <c r="G37" i="1"/>
  <c r="J37" i="1" s="1"/>
  <c r="H36" i="1"/>
  <c r="K36" i="1" s="1"/>
  <c r="G36" i="1"/>
  <c r="J36" i="1" s="1"/>
  <c r="H35" i="1"/>
  <c r="I35" i="1" s="1"/>
  <c r="G35" i="1"/>
  <c r="J35" i="1" s="1"/>
  <c r="H34" i="1"/>
  <c r="K34" i="1" s="1"/>
  <c r="G34" i="1"/>
  <c r="J34" i="1" s="1"/>
  <c r="G33" i="1"/>
  <c r="J33" i="1" s="1"/>
  <c r="K30" i="1"/>
  <c r="H30" i="1"/>
  <c r="I30" i="1" s="1"/>
  <c r="G30" i="1"/>
  <c r="J30" i="1" s="1"/>
  <c r="H29" i="1"/>
  <c r="K29" i="1" s="1"/>
  <c r="G29" i="1"/>
  <c r="J29" i="1" s="1"/>
  <c r="H28" i="1"/>
  <c r="G28" i="1"/>
  <c r="J28" i="1" s="1"/>
  <c r="J25" i="1"/>
  <c r="H25" i="1"/>
  <c r="K25" i="1" s="1"/>
  <c r="G25" i="1"/>
  <c r="H22" i="1"/>
  <c r="L22" i="1" s="1"/>
  <c r="G22" i="1"/>
  <c r="J22" i="1" s="1"/>
  <c r="K21" i="1"/>
  <c r="H21" i="1"/>
  <c r="I21" i="1" s="1"/>
  <c r="G21" i="1"/>
  <c r="J21" i="1" s="1"/>
  <c r="K20" i="1"/>
  <c r="H20" i="1"/>
  <c r="I20" i="1" s="1"/>
  <c r="G20" i="1"/>
  <c r="J20" i="1" s="1"/>
  <c r="H19" i="1"/>
  <c r="K19" i="1" s="1"/>
  <c r="G19" i="1"/>
  <c r="J19" i="1" s="1"/>
  <c r="K151" i="1"/>
  <c r="E147" i="1"/>
  <c r="E42" i="1"/>
  <c r="E41" i="1"/>
  <c r="E29" i="1"/>
  <c r="E22" i="1"/>
  <c r="F54" i="4"/>
  <c r="H54" i="4" s="1"/>
  <c r="H55" i="4" s="1"/>
  <c r="F48" i="4"/>
  <c r="H48" i="4" s="1"/>
  <c r="F47" i="4"/>
  <c r="H47" i="4" s="1"/>
  <c r="F46" i="4"/>
  <c r="H46" i="4" s="1"/>
  <c r="D64" i="3"/>
  <c r="H62" i="3"/>
  <c r="J62" i="3" s="1"/>
  <c r="F62" i="3"/>
  <c r="C61" i="3"/>
  <c r="H60" i="3"/>
  <c r="J60" i="3" s="1"/>
  <c r="F60" i="3"/>
  <c r="C59" i="3"/>
  <c r="H58" i="3"/>
  <c r="J58" i="3" s="1"/>
  <c r="F58" i="3"/>
  <c r="C57" i="3"/>
  <c r="H56" i="3"/>
  <c r="J56" i="3" s="1"/>
  <c r="F56" i="3"/>
  <c r="C55" i="3"/>
  <c r="H54" i="3"/>
  <c r="J54" i="3" s="1"/>
  <c r="F54" i="3"/>
  <c r="C53" i="3"/>
  <c r="H52" i="3"/>
  <c r="J52" i="3" s="1"/>
  <c r="F52" i="3"/>
  <c r="C51" i="3"/>
  <c r="J49" i="3"/>
  <c r="H49" i="3"/>
  <c r="F49" i="3"/>
  <c r="C48" i="3"/>
  <c r="J47" i="3"/>
  <c r="H47" i="3"/>
  <c r="F47" i="3"/>
  <c r="C46" i="3"/>
  <c r="J45" i="3"/>
  <c r="H45" i="3"/>
  <c r="F45" i="3"/>
  <c r="C44" i="3"/>
  <c r="J43" i="3"/>
  <c r="H43" i="3"/>
  <c r="F43" i="3"/>
  <c r="C42" i="3"/>
  <c r="J41" i="3"/>
  <c r="H41" i="3"/>
  <c r="F41" i="3"/>
  <c r="C40" i="3"/>
  <c r="H38" i="3"/>
  <c r="J38" i="3" s="1"/>
  <c r="F38" i="3"/>
  <c r="C37" i="3"/>
  <c r="H36" i="3"/>
  <c r="J36" i="3" s="1"/>
  <c r="F36" i="3"/>
  <c r="C35" i="3"/>
  <c r="H34" i="3"/>
  <c r="J34" i="3" s="1"/>
  <c r="F34" i="3"/>
  <c r="C33" i="3"/>
  <c r="H32" i="3"/>
  <c r="J32" i="3" s="1"/>
  <c r="F32" i="3"/>
  <c r="C31" i="3"/>
  <c r="H30" i="3"/>
  <c r="J30" i="3" s="1"/>
  <c r="F30" i="3"/>
  <c r="C29" i="3"/>
  <c r="H28" i="3"/>
  <c r="J28" i="3" s="1"/>
  <c r="F28" i="3"/>
  <c r="C27" i="3"/>
  <c r="H26" i="3"/>
  <c r="J26" i="3" s="1"/>
  <c r="F26" i="3"/>
  <c r="C25" i="3"/>
  <c r="H24" i="3"/>
  <c r="J24" i="3" s="1"/>
  <c r="F24" i="3"/>
  <c r="C23" i="3"/>
  <c r="G18" i="2"/>
  <c r="C18" i="2"/>
  <c r="B18" i="2"/>
  <c r="G17" i="2"/>
  <c r="C17" i="2"/>
  <c r="B17" i="2"/>
  <c r="C16" i="2"/>
  <c r="B16" i="2"/>
  <c r="C15" i="2"/>
  <c r="B15" i="2"/>
  <c r="C14" i="2"/>
  <c r="B14" i="2"/>
  <c r="E153" i="1"/>
  <c r="E152" i="1"/>
  <c r="E141" i="1"/>
  <c r="E118" i="1"/>
  <c r="E117" i="1"/>
  <c r="E104" i="1"/>
  <c r="E97" i="1"/>
  <c r="E96" i="1"/>
  <c r="E80" i="1"/>
  <c r="E63" i="1"/>
  <c r="E64" i="1" s="1"/>
  <c r="E59" i="1"/>
  <c r="E58" i="1"/>
  <c r="E50" i="1"/>
  <c r="E44" i="1"/>
  <c r="E25" i="1"/>
  <c r="E21" i="1"/>
  <c r="I127" i="1" l="1"/>
  <c r="L126" i="1"/>
  <c r="I126" i="1"/>
  <c r="L92" i="1"/>
  <c r="I92" i="1"/>
  <c r="L86" i="1"/>
  <c r="L158" i="1"/>
  <c r="I158" i="1"/>
  <c r="K155" i="1"/>
  <c r="L155" i="1" s="1"/>
  <c r="I153" i="1"/>
  <c r="L153" i="1"/>
  <c r="I151" i="1"/>
  <c r="I149" i="1"/>
  <c r="L148" i="1"/>
  <c r="L147" i="1"/>
  <c r="L146" i="1"/>
  <c r="K145" i="1"/>
  <c r="L145" i="1" s="1"/>
  <c r="K142" i="1"/>
  <c r="L142" i="1" s="1"/>
  <c r="L141" i="1"/>
  <c r="L138" i="1"/>
  <c r="I136" i="1"/>
  <c r="K136" i="1"/>
  <c r="L136" i="1" s="1"/>
  <c r="K134" i="1"/>
  <c r="L134" i="1" s="1"/>
  <c r="L130" i="1"/>
  <c r="K127" i="1"/>
  <c r="L127" i="1" s="1"/>
  <c r="I123" i="1"/>
  <c r="L123" i="1"/>
  <c r="I122" i="1"/>
  <c r="I121" i="1"/>
  <c r="L118" i="1"/>
  <c r="I118" i="1"/>
  <c r="L117" i="1"/>
  <c r="L116" i="1"/>
  <c r="L115" i="1"/>
  <c r="K106" i="1"/>
  <c r="L105" i="1"/>
  <c r="I104" i="1"/>
  <c r="K104" i="1"/>
  <c r="L104" i="1" s="1"/>
  <c r="L103" i="1"/>
  <c r="K102" i="1"/>
  <c r="I102" i="1"/>
  <c r="L101" i="1"/>
  <c r="I100" i="1"/>
  <c r="I98" i="1"/>
  <c r="K98" i="1"/>
  <c r="L98" i="1" s="1"/>
  <c r="L97" i="1"/>
  <c r="I96" i="1"/>
  <c r="L96" i="1"/>
  <c r="L93" i="1"/>
  <c r="I91" i="1"/>
  <c r="L88" i="1"/>
  <c r="I88" i="1"/>
  <c r="K85" i="1"/>
  <c r="L84" i="1"/>
  <c r="I80" i="1"/>
  <c r="I72" i="1"/>
  <c r="K72" i="1"/>
  <c r="L72" i="1" s="1"/>
  <c r="L71" i="1" s="1"/>
  <c r="K66" i="1"/>
  <c r="I63" i="1"/>
  <c r="L63" i="1"/>
  <c r="K59" i="1"/>
  <c r="L59" i="1" s="1"/>
  <c r="K58" i="1"/>
  <c r="L58" i="1" s="1"/>
  <c r="K55" i="1"/>
  <c r="L55" i="1" s="1"/>
  <c r="I54" i="1"/>
  <c r="L51" i="1"/>
  <c r="I51" i="1"/>
  <c r="L50" i="1"/>
  <c r="K49" i="1"/>
  <c r="I47" i="1"/>
  <c r="L46" i="1"/>
  <c r="I45" i="1"/>
  <c r="L43" i="1"/>
  <c r="I43" i="1"/>
  <c r="K41" i="1"/>
  <c r="L41" i="1" s="1"/>
  <c r="L38" i="1"/>
  <c r="K35" i="1"/>
  <c r="L35" i="1" s="1"/>
  <c r="L34" i="1"/>
  <c r="I34" i="1"/>
  <c r="L30" i="1"/>
  <c r="I25" i="1"/>
  <c r="L21" i="1"/>
  <c r="I93" i="1"/>
  <c r="L154" i="1"/>
  <c r="J151" i="1"/>
  <c r="L151" i="1" s="1"/>
  <c r="L150" i="1"/>
  <c r="K149" i="1"/>
  <c r="L149" i="1" s="1"/>
  <c r="L139" i="1"/>
  <c r="L137" i="1"/>
  <c r="L135" i="1"/>
  <c r="L133" i="1"/>
  <c r="J106" i="1"/>
  <c r="L106" i="1" s="1"/>
  <c r="J102" i="1"/>
  <c r="J100" i="1"/>
  <c r="L100" i="1" s="1"/>
  <c r="J99" i="1"/>
  <c r="K99" i="1"/>
  <c r="J66" i="1"/>
  <c r="L66" i="1" s="1"/>
  <c r="J62" i="1"/>
  <c r="L62" i="1" s="1"/>
  <c r="J57" i="1"/>
  <c r="J161" i="1" s="1"/>
  <c r="K57" i="1"/>
  <c r="L49" i="1"/>
  <c r="L48" i="1"/>
  <c r="L45" i="1"/>
  <c r="I146" i="1"/>
  <c r="I150" i="1"/>
  <c r="I154" i="1"/>
  <c r="I148" i="1"/>
  <c r="I152" i="1"/>
  <c r="I133" i="1"/>
  <c r="I137" i="1"/>
  <c r="I141" i="1"/>
  <c r="I135" i="1"/>
  <c r="I139" i="1"/>
  <c r="L128" i="1"/>
  <c r="L129" i="1"/>
  <c r="I129" i="1"/>
  <c r="I128" i="1"/>
  <c r="L122" i="1"/>
  <c r="J121" i="1"/>
  <c r="L121" i="1" s="1"/>
  <c r="I117" i="1"/>
  <c r="I115" i="1"/>
  <c r="K109" i="1"/>
  <c r="L109" i="1" s="1"/>
  <c r="L108" i="1" s="1"/>
  <c r="I97" i="1"/>
  <c r="I101" i="1"/>
  <c r="I105" i="1"/>
  <c r="I99" i="1"/>
  <c r="I103" i="1"/>
  <c r="L83" i="1"/>
  <c r="L85" i="1"/>
  <c r="I83" i="1"/>
  <c r="I87" i="1"/>
  <c r="I86" i="1"/>
  <c r="L78" i="1"/>
  <c r="L79" i="1"/>
  <c r="I79" i="1"/>
  <c r="I78" i="1"/>
  <c r="L69" i="1"/>
  <c r="I69" i="1"/>
  <c r="L56" i="1"/>
  <c r="L64" i="1"/>
  <c r="L60" i="1"/>
  <c r="L61" i="1"/>
  <c r="I57" i="1"/>
  <c r="I61" i="1"/>
  <c r="I65" i="1"/>
  <c r="I56" i="1"/>
  <c r="I60" i="1"/>
  <c r="I64" i="1"/>
  <c r="I42" i="1"/>
  <c r="I46" i="1"/>
  <c r="I50" i="1"/>
  <c r="I44" i="1"/>
  <c r="I48" i="1"/>
  <c r="L33" i="1"/>
  <c r="L36" i="1"/>
  <c r="L37" i="1"/>
  <c r="I33" i="1"/>
  <c r="I37" i="1"/>
  <c r="I36" i="1"/>
  <c r="L27" i="1"/>
  <c r="L29" i="1"/>
  <c r="I29" i="1"/>
  <c r="I28" i="1"/>
  <c r="I22" i="1"/>
  <c r="I19" i="1"/>
  <c r="L19" i="1"/>
  <c r="L25" i="1"/>
  <c r="L20" i="1"/>
  <c r="L157" i="1"/>
  <c r="H49" i="4"/>
  <c r="L125" i="1" l="1"/>
  <c r="L114" i="1"/>
  <c r="L102" i="1"/>
  <c r="L99" i="1"/>
  <c r="L95" i="1" s="1"/>
  <c r="K161" i="1"/>
  <c r="L57" i="1"/>
  <c r="L90" i="1"/>
  <c r="L120" i="1"/>
  <c r="D53" i="3" s="1"/>
  <c r="D55" i="3"/>
  <c r="L68" i="1"/>
  <c r="D61" i="3"/>
  <c r="L24" i="1"/>
  <c r="D51" i="3"/>
  <c r="G15" i="2"/>
  <c r="D27" i="3"/>
  <c r="D48" i="3"/>
  <c r="D37" i="3"/>
  <c r="L82" i="1"/>
  <c r="L40" i="1"/>
  <c r="L18" i="1"/>
  <c r="L32" i="1"/>
  <c r="L144" i="1" l="1"/>
  <c r="D59" i="3" s="1"/>
  <c r="D50" i="3" s="1"/>
  <c r="L53" i="1"/>
  <c r="D33" i="3" s="1"/>
  <c r="L161" i="1"/>
  <c r="M116" i="1" s="1"/>
  <c r="D44" i="3"/>
  <c r="D29" i="3"/>
  <c r="D23" i="3"/>
  <c r="G14" i="2"/>
  <c r="L132" i="1"/>
  <c r="I27" i="3"/>
  <c r="G27" i="3"/>
  <c r="E27" i="3"/>
  <c r="I61" i="3"/>
  <c r="G61" i="3"/>
  <c r="E61" i="3"/>
  <c r="D35" i="3"/>
  <c r="D25" i="3"/>
  <c r="I37" i="3"/>
  <c r="G37" i="3"/>
  <c r="E37" i="3"/>
  <c r="I55" i="3"/>
  <c r="G55" i="3"/>
  <c r="E55" i="3"/>
  <c r="D31" i="3"/>
  <c r="G16" i="2"/>
  <c r="D42" i="3"/>
  <c r="I48" i="3"/>
  <c r="G48" i="3"/>
  <c r="E48" i="3"/>
  <c r="I51" i="3"/>
  <c r="G51" i="3"/>
  <c r="E51" i="3"/>
  <c r="D46" i="3"/>
  <c r="L77" i="1"/>
  <c r="I53" i="3"/>
  <c r="G53" i="3"/>
  <c r="E53" i="3"/>
  <c r="D39" i="3" l="1"/>
  <c r="D22" i="3"/>
  <c r="M137" i="1"/>
  <c r="M105" i="1"/>
  <c r="M145" i="1"/>
  <c r="M114" i="1"/>
  <c r="M62" i="1"/>
  <c r="M44" i="1"/>
  <c r="M55" i="1"/>
  <c r="M50" i="1"/>
  <c r="M104" i="1"/>
  <c r="M134" i="1"/>
  <c r="M91" i="1"/>
  <c r="M140" i="1"/>
  <c r="M148" i="1"/>
  <c r="M90" i="1"/>
  <c r="M42" i="1"/>
  <c r="M72" i="1"/>
  <c r="M64" i="1"/>
  <c r="M88" i="1"/>
  <c r="M122" i="1"/>
  <c r="M117" i="1"/>
  <c r="M153" i="1"/>
  <c r="M58" i="1"/>
  <c r="M78" i="1"/>
  <c r="M98" i="1"/>
  <c r="M57" i="1"/>
  <c r="M63" i="1"/>
  <c r="M65" i="1"/>
  <c r="M85" i="1"/>
  <c r="M102" i="1"/>
  <c r="M136" i="1"/>
  <c r="M86" i="1"/>
  <c r="M41" i="1"/>
  <c r="M126" i="1"/>
  <c r="M49" i="1"/>
  <c r="M43" i="1"/>
  <c r="M109" i="1"/>
  <c r="M66" i="1"/>
  <c r="M92" i="1"/>
  <c r="M68" i="1"/>
  <c r="M59" i="1"/>
  <c r="M127" i="1"/>
  <c r="M152" i="1"/>
  <c r="M83" i="1"/>
  <c r="M115" i="1"/>
  <c r="M150" i="1"/>
  <c r="M144" i="1"/>
  <c r="M133" i="1"/>
  <c r="M139" i="1"/>
  <c r="M36" i="1"/>
  <c r="M97" i="1"/>
  <c r="M30" i="1"/>
  <c r="M118" i="1"/>
  <c r="M29" i="1"/>
  <c r="M38" i="1"/>
  <c r="M151" i="1"/>
  <c r="M25" i="1"/>
  <c r="M54" i="1"/>
  <c r="M123" i="1"/>
  <c r="M27" i="1"/>
  <c r="M18" i="1"/>
  <c r="M19" i="1"/>
  <c r="M47" i="1"/>
  <c r="M95" i="1"/>
  <c r="M141" i="1"/>
  <c r="M71" i="1"/>
  <c r="M93" i="1"/>
  <c r="M149" i="1"/>
  <c r="M129" i="1"/>
  <c r="M46" i="1"/>
  <c r="M80" i="1"/>
  <c r="M100" i="1"/>
  <c r="M157" i="1"/>
  <c r="M155" i="1"/>
  <c r="M101" i="1"/>
  <c r="M87" i="1"/>
  <c r="M35" i="1"/>
  <c r="M24" i="1"/>
  <c r="M135" i="1"/>
  <c r="M147" i="1"/>
  <c r="M56" i="1"/>
  <c r="M48" i="1"/>
  <c r="M34" i="1"/>
  <c r="M79" i="1"/>
  <c r="M51" i="1"/>
  <c r="M20" i="1"/>
  <c r="M21" i="1"/>
  <c r="M154" i="1"/>
  <c r="M130" i="1"/>
  <c r="M22" i="1"/>
  <c r="M28" i="1"/>
  <c r="M82" i="1"/>
  <c r="M32" i="1"/>
  <c r="M69" i="1"/>
  <c r="M61" i="1"/>
  <c r="M108" i="1"/>
  <c r="M158" i="1"/>
  <c r="M99" i="1"/>
  <c r="M40" i="1"/>
  <c r="M53" i="1"/>
  <c r="M60" i="1"/>
  <c r="M103" i="1"/>
  <c r="M106" i="1"/>
  <c r="M125" i="1"/>
  <c r="M138" i="1"/>
  <c r="M96" i="1"/>
  <c r="M120" i="1"/>
  <c r="M45" i="1"/>
  <c r="M84" i="1"/>
  <c r="M142" i="1"/>
  <c r="M121" i="1"/>
  <c r="M37" i="1"/>
  <c r="M146" i="1"/>
  <c r="M128" i="1"/>
  <c r="M33" i="1"/>
  <c r="I59" i="3"/>
  <c r="G59" i="3"/>
  <c r="E59" i="3"/>
  <c r="I42" i="3"/>
  <c r="G42" i="3"/>
  <c r="E42" i="3"/>
  <c r="I25" i="3"/>
  <c r="G25" i="3"/>
  <c r="E25" i="3"/>
  <c r="M132" i="1"/>
  <c r="D57" i="3"/>
  <c r="I29" i="3"/>
  <c r="G29" i="3"/>
  <c r="E29" i="3"/>
  <c r="I31" i="3"/>
  <c r="G31" i="3"/>
  <c r="E31" i="3"/>
  <c r="M77" i="1"/>
  <c r="D40" i="3"/>
  <c r="I33" i="3"/>
  <c r="G33" i="3"/>
  <c r="E33" i="3"/>
  <c r="I46" i="3"/>
  <c r="G46" i="3"/>
  <c r="E46" i="3"/>
  <c r="G19" i="2"/>
  <c r="I44" i="3"/>
  <c r="G44" i="3"/>
  <c r="E44" i="3"/>
  <c r="I35" i="3"/>
  <c r="G35" i="3"/>
  <c r="E35" i="3"/>
  <c r="I23" i="3"/>
  <c r="G23" i="3"/>
  <c r="E23" i="3"/>
  <c r="K38" i="3"/>
  <c r="D63" i="3" l="1"/>
  <c r="M161" i="1"/>
  <c r="I40" i="3"/>
  <c r="G40" i="3"/>
  <c r="E40" i="3"/>
  <c r="K49" i="3"/>
  <c r="I57" i="3"/>
  <c r="G57" i="3"/>
  <c r="E57" i="3"/>
  <c r="K62" i="3"/>
  <c r="I63" i="3" l="1"/>
  <c r="I64" i="3" s="1"/>
  <c r="E63" i="3"/>
  <c r="E64" i="3" s="1"/>
  <c r="F64" i="3" s="1"/>
  <c r="G63" i="3"/>
  <c r="G64" i="3" s="1"/>
  <c r="H64" i="3" l="1"/>
  <c r="J64" i="3" s="1"/>
</calcChain>
</file>

<file path=xl/comments1.xml><?xml version="1.0" encoding="utf-8"?>
<comments xmlns="http://schemas.openxmlformats.org/spreadsheetml/2006/main">
  <authors>
    <author/>
  </authors>
  <commentList>
    <comment ref="F15" authorId="0">
      <text>
        <r>
          <rPr>
            <sz val="11"/>
            <color rgb="FF000000"/>
            <rFont val="Arial"/>
            <scheme val="minor"/>
          </rPr>
          <t>======
ID#AAAB9ApWXec
USUARIO    (2026-06-09 13:38:07)
Ocultar Coluna antes da impressao ou geracao do PDF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" roundtripDataSignature="AMtx7mgnMjl7ish6WJHoOahJyZBunGV2rg=="/>
    </ext>
  </extLst>
</comments>
</file>

<file path=xl/sharedStrings.xml><?xml version="1.0" encoding="utf-8"?>
<sst xmlns="http://schemas.openxmlformats.org/spreadsheetml/2006/main" count="548" uniqueCount="359">
  <si>
    <t>Estado do Rio Grande do Sul</t>
  </si>
  <si>
    <t>MUNICÍPIO DE SÃO VENDELINO</t>
  </si>
  <si>
    <t>Proprietario: Prefeitura Municipal de São Vendelino - RS</t>
  </si>
  <si>
    <t>PLANILHA DE ORCAMENTO RESUMO</t>
  </si>
  <si>
    <t>Planilha de Orçamento - Global</t>
  </si>
  <si>
    <t>Proprietario: Prefeitura Municipal de SÃO VENDELINO - RS</t>
  </si>
  <si>
    <t>DESCRICAO ATIVIDADE</t>
  </si>
  <si>
    <t>Valor</t>
  </si>
  <si>
    <t>Obra: Drenagem Rua José Fritzen e Rua Emancipação - Calçada de Passeio; Rua Silfredo Seibert; Rua Ermindo Weirich.</t>
  </si>
  <si>
    <t>Proprietario: Prefeitura Municipal de São Vendelino, CNPJ.: 91.984.492/0001-52</t>
  </si>
  <si>
    <t>Extensão:[m] 215,00</t>
  </si>
  <si>
    <t>Área a ser pavimentada Calçada:[m²] 426,80</t>
  </si>
  <si>
    <t>CRONOGRAMA FÍSICO-FINANCEIRO</t>
  </si>
  <si>
    <t xml:space="preserve">Obra: Drenagem Rua José Fritzen, Rua Emancipação - Calçada de Passeio - Rua Erminio Weirich - Rua Silfredo SeibertRua  </t>
  </si>
  <si>
    <t>B.D.I.</t>
  </si>
  <si>
    <t>Encargos Sociais sobre preco da M.O</t>
  </si>
  <si>
    <t>End. Várias Localidades</t>
  </si>
  <si>
    <t>Composições</t>
  </si>
  <si>
    <t>Não Desonerado:  112,88% (hora) 69,79%(mês)</t>
  </si>
  <si>
    <t>Planilha Orçamentária Sintética Com Valor do Material e da Mão de Obra</t>
  </si>
  <si>
    <t>Cod. SINAPI</t>
  </si>
  <si>
    <t>Item</t>
  </si>
  <si>
    <t>CP1</t>
  </si>
  <si>
    <t>EXECUÇÃO DE IMPRIMAÇÃO COM MATERIAL ASFÁLTICO</t>
  </si>
  <si>
    <t>Descrição</t>
  </si>
  <si>
    <t>ITEM</t>
  </si>
  <si>
    <t>Und</t>
  </si>
  <si>
    <t>Quant.</t>
  </si>
  <si>
    <t>DESCRIÇÃO</t>
  </si>
  <si>
    <t>Valor Unit s/ BDI</t>
  </si>
  <si>
    <t>Total Servico</t>
  </si>
  <si>
    <t>Valor Unit com BDI</t>
  </si>
  <si>
    <t>PARCELA 1</t>
  </si>
  <si>
    <t>% Acum</t>
  </si>
  <si>
    <t>PARCELA 2</t>
  </si>
  <si>
    <t>PARCELA 3</t>
  </si>
  <si>
    <t>Referência</t>
  </si>
  <si>
    <t>Rua José Fritzen e Emancipação</t>
  </si>
  <si>
    <t>Total</t>
  </si>
  <si>
    <t>Peso (%)</t>
  </si>
  <si>
    <t>Seviços</t>
  </si>
  <si>
    <t>Quant</t>
  </si>
  <si>
    <t>M. O.</t>
  </si>
  <si>
    <t>MAT.</t>
  </si>
  <si>
    <t>Custo R$</t>
  </si>
  <si>
    <t>Rua José Fritzen</t>
  </si>
  <si>
    <t>Unit.</t>
  </si>
  <si>
    <t>1.</t>
  </si>
  <si>
    <t>SINAPI 09/2023</t>
  </si>
  <si>
    <t>SINAPI</t>
  </si>
  <si>
    <t xml:space="preserve">TOTAL    </t>
  </si>
  <si>
    <t>VASSOURA MECÂNICA REBOCÁVEL COM ESCOVA CILÍNDRICA, LARGURA ÚTIL DE VARRIMENTO DE 2,44 M (PRODUTIVO)</t>
  </si>
  <si>
    <t>SERVIÇOS PRELIMINARES</t>
  </si>
  <si>
    <t>h</t>
  </si>
  <si>
    <t>ANP 08/2023</t>
  </si>
  <si>
    <t>VASSOURA MECÂNICA REBOCÁVEL COM ESCOVA CILÍNDRICA, LARGURA ÚTIL DE VARRIMENTO DE 2,44 M (IMPRODUTIVO)</t>
  </si>
  <si>
    <t>Forquetinha-RS, 26 de maio de 2025.</t>
  </si>
  <si>
    <t>ICMS</t>
  </si>
  <si>
    <t>PIS</t>
  </si>
  <si>
    <t>COFINS</t>
  </si>
  <si>
    <t>TOTAL</t>
  </si>
  <si>
    <t>ANP</t>
  </si>
  <si>
    <t>EVERSON SERGIO KERBES</t>
  </si>
  <si>
    <t>ASFALTO DILUIDO DE PETROLEO CM-30 (ACRESCIDO DE ICMS, PIS E COFINS)</t>
  </si>
  <si>
    <t>ENGENHEIRO CIVIL</t>
  </si>
  <si>
    <t>CREA/RS 124.620</t>
  </si>
  <si>
    <t>1.1</t>
  </si>
  <si>
    <t>kg</t>
  </si>
  <si>
    <t>TOPÓGRAFO COM ENCARGOS SOCIAIS</t>
  </si>
  <si>
    <t>H</t>
  </si>
  <si>
    <t>2.</t>
  </si>
  <si>
    <t>ESPARGIDOR DE ASFALTO PRESSURIZADO, TANQUE 6 M3 COM ISOLAÇÃO TÉRMICA, AQUECIDO COM 2 MAÇARICOS, COM BARRA ESPARGIDORA 3,60 M, MONTADO SOBRE CAMINHÃO TOCO, PBT 14.300 KG, POTÊNCIA 185 CV (PRODUTIVO)</t>
  </si>
  <si>
    <t>18% ICMS + 2% Fundo de Erradicação da Pobreza</t>
  </si>
  <si>
    <t>SERVENTE COM ENCARGOS COMPLEMENTARES</t>
  </si>
  <si>
    <t>Nota nº 05/2021 nº 01 do SINAPI</t>
  </si>
  <si>
    <t>TRATOR DE PNEUS, POTÊNCIA 85 CV, TRAÇÃO 4X4, PESO COM LASTRO DE 4.675 KG (PRODUTIVO)</t>
  </si>
  <si>
    <t>TRATOR DE PNEUS, POTÊNCIA 85 CV, TRAÇÃO 4X4, PESO COM LASTRO DE 4.675 KG</t>
  </si>
  <si>
    <t>ESPARGIDOR DE ASFALTO PRESSURIZADO, TANQUE 6 M3 COM ISOLAÇÃO TÉRMICA, AQUECIDO COM 2 MAÇARICOS, COM BARRA ESPARGIDORA 3,60 M, MONTADO SOBRE CAMINHÃO TOCO, PBT 14.300 KG, POTÊNCIA 185 CV (IMPRODUTIVO)</t>
  </si>
  <si>
    <t>1.2</t>
  </si>
  <si>
    <t>AUXILIAR DE TOPÓGRAFO COM ENCARGOS SOCIAIS</t>
  </si>
  <si>
    <t>3.</t>
  </si>
  <si>
    <t>TOTAL DA COMPOSIÇÃO</t>
  </si>
  <si>
    <t>CP2</t>
  </si>
  <si>
    <t>EXECUÇÃO DE PINTURA DE LIGAÇÃO</t>
  </si>
  <si>
    <t>1.3</t>
  </si>
  <si>
    <t>FORNECIMENTO E INSTALAÇÃO DE PLACA DE OBRA COM CHAPA GALVANIZADA E ESTRUTURA DE MADEIRA - PADRÃO GOPVERNO FEDERAL - 300X200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</si>
  <si>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²</t>
    </r>
  </si>
  <si>
    <t>1.4</t>
  </si>
  <si>
    <t>LIMPEZA DO TERRENO. REMOÇÃO MECANIZADA DA CAMADA DE VEGETAÇÃO, REMOÇÃO DE MATERIAL, NIVELAMENTO. 90m X 2,45m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</si>
  <si>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²</t>
    </r>
  </si>
  <si>
    <t>4.</t>
  </si>
  <si>
    <t>CHP</t>
  </si>
  <si>
    <t>CHI</t>
  </si>
  <si>
    <t>5.</t>
  </si>
  <si>
    <t>DEMOLIÇÕES DE CALÇADA DE PASSEIO EXISTENTE</t>
  </si>
  <si>
    <t>EMULSAO ASFALTICA CATIONICA RR-2C PARA USO EM PAVIMENTACAO ASFALTICA (COLETADO CAIXA NA ANP ACRESCIDO DE ICMS)</t>
  </si>
  <si>
    <t>ESPARGIDOR DE ASFALTO PRESSURIZADO, TANQUE 6 M3 COM ISOLAÇÃO TÉRMICA, AQUECIDO COM 2 MAÇARICOS, COM BARRA ESPARGIDORA 3,60 M, MONTADO SOBRE CAMINHÃO TOCO, PBT 14.300 KG, POTÊNCIA 185 CV</t>
  </si>
  <si>
    <t>2.1</t>
  </si>
  <si>
    <t>DEMOLIÇÃO DE CALÇADA DE PASSEIO DE FORMA MANUAL COM REAPROVEITAMENTO DAS PEDRAS DE BASALTO</t>
  </si>
  <si>
    <t>m³</t>
  </si>
  <si>
    <t>6.</t>
  </si>
  <si>
    <t>MOVIMENTAÇÃO DE TERRA</t>
  </si>
  <si>
    <t>7.</t>
  </si>
  <si>
    <t>CP3</t>
  </si>
  <si>
    <t>TAMPA DE CONCRETO PARA POÇO DE VISITA - 1,6x1,6x0,10</t>
  </si>
  <si>
    <t>3.1</t>
  </si>
  <si>
    <r>
      <rPr>
        <sz val="10"/>
        <color rgb="FF000000"/>
        <rFont val="Arial"/>
      </rPr>
      <t>ESCAVAÇÃO VERTICAL A CÉU ABERTO EM OBRAS DE INFRAESTRUTURA, INC. CARGA/DESCARGA E TRANSPORTE, EM SOLO DE 1</t>
    </r>
    <r>
      <rPr>
        <sz val="10"/>
        <color rgb="FF000000"/>
        <rFont val="Calibri"/>
      </rPr>
      <t>ª</t>
    </r>
    <r>
      <rPr>
        <sz val="10"/>
        <color rgb="FF000000"/>
        <rFont val="Arial"/>
      </rPr>
      <t xml:space="preserve"> CATEGORIA, C/ ESCAVADEIRA HIDRAULICA, DMT 2KM - COMPRIMENTO INTERVENÇÕES   - INCLUINDO DEMOLIÇÃO MECÂNICA DAS CAIXAS EXISTENTES 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</si>
  <si>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</si>
  <si>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8.</t>
  </si>
  <si>
    <t>3.2</t>
  </si>
  <si>
    <t>ESPALHAMENTO DE MATERIAL COM TRATOR ESTEIRA (30% Empolamento)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</si>
  <si>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</si>
  <si>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CONCRETAGEM DE RADIER, PISO DE CONCRETO OU LAJE SOBRE SOLO, FCK 30MPA, LANÇAMENTO, ADENSAMENTO E ACABAMENTO</t>
  </si>
  <si>
    <t>3.3</t>
  </si>
  <si>
    <t>REATERRO MANUAL DE VALA, COM COMPACTADOR DE SOLO DE PERCUSSÃO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</si>
  <si>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</si>
  <si>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ARMAÇÃO DE LAJE DE STRUTURA CONVENCIONAL, CONCRETO ARMADO UTILIZANDO AÇO CA-60 DE 4,2mm - MALHA DUPLA, 10x10 - 57,6m DE FERRO 4,2mm</t>
  </si>
  <si>
    <t>KG</t>
  </si>
  <si>
    <t>Rua Silfredo Seibert - Linha Neis</t>
  </si>
  <si>
    <t>FABRICAÇÃO, MONTAGEM E DESMONTAGEM DE FORMA PARA RADIER, PISO DE CONCRETO OU LAJE SOBRE SOLO, EM MADEIRA SERRADA - 4 UTILIZAÇÕES</t>
  </si>
  <si>
    <t>m²</t>
  </si>
  <si>
    <t>DRENAGEM DE ÁGUAS PLUVIAIS E ENTRADAS MORADORES</t>
  </si>
  <si>
    <t>9.</t>
  </si>
  <si>
    <t>1600404 - SICRO</t>
  </si>
  <si>
    <t>4.1</t>
  </si>
  <si>
    <t>REMOÇÃO DE TUBOS DE CONCRETO COM DIÂMETRO DE 0,40m A 1,0m</t>
  </si>
  <si>
    <t>UNID</t>
  </si>
  <si>
    <t>CP4</t>
  </si>
  <si>
    <t>ALVENARIAS PARA POÇO DE VISITA - 1,25x1,25x0,19</t>
  </si>
  <si>
    <t>2003830 - SICRO</t>
  </si>
  <si>
    <t>4.2</t>
  </si>
  <si>
    <t xml:space="preserve">TUBO DE CONCRETO PA1, DN 1.000mm, FORNECIMENTO E INSTALAÇÃO </t>
  </si>
  <si>
    <t>COMP 4</t>
  </si>
  <si>
    <t>4.3</t>
  </si>
  <si>
    <t xml:space="preserve">CAIXA 120X120X120 - , ESPESSURA DA PAREDE 0,25m, ALVENARIA DE EMBASAMENTO COM BLOCOS ESTRUTURAIS DE CONCRETO MACIÇOS, ASSENTADO COM ARGAMASSA PROEPARO EM BETONEIRA - R$ 1.131,68/m³ </t>
  </si>
  <si>
    <t>unid.</t>
  </si>
  <si>
    <t>4.4</t>
  </si>
  <si>
    <t>CAIXA BOC DE LOBO COM GRELHA RETANGULAR, EM ALVENARIA COM BLOCOS DE CONCRETO, DIMENSÕES INTERNAS 0,7m X0,40m</t>
  </si>
  <si>
    <t>10.</t>
  </si>
  <si>
    <t>ALVENARIA DE EMBASAMENTO COM BLOCOS ESTRUTURAIS DE CONCRETO, OU PEDRA GRÊS DE 14X19X29</t>
  </si>
  <si>
    <t>COMP 3</t>
  </si>
  <si>
    <t>4.5</t>
  </si>
  <si>
    <t>TAMPÃO DE CONCRETO ARMADO PARA CAIXA, 160X160X10</t>
  </si>
  <si>
    <t>4.6</t>
  </si>
  <si>
    <t>TUBO DE CONCRETO SIMPLES - PA1 - PARA REDES COLETORAS DE ESGOTO PLUVIAL, DN 400mm, JUNTA ELÁSTICA, INSTALADO EM LOCAL COM BAIXO NÍVEL DE INTERFERÊNCIA - FORNECIMENTO E ASSENTAMENTO, PARA LIGAÇÃO DA BOCA DE LOBA A CAIXA</t>
  </si>
  <si>
    <t>m</t>
  </si>
  <si>
    <t>11.</t>
  </si>
  <si>
    <t>CALÇADA DE PASSEIO</t>
  </si>
  <si>
    <t>5.1</t>
  </si>
  <si>
    <t>REGULARIZAÇÃO E COMPACTAÇÃO DE SUBLEITO - Caixa carroçavel + Calçada</t>
  </si>
  <si>
    <t>12.</t>
  </si>
  <si>
    <t>5.2</t>
  </si>
  <si>
    <t>BASE DE BRITA GRADUADA, EXECUÇÃO E COMPACTAÇÃO DE BASE OU SUB BASE PARA PAVIMENTAÇÃO, ENCHIMENTO DE BRITA E CAMADA DE BLOQUEIO - E=15cm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</si>
  <si>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</si>
  <si>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CREA-RS 124.620</t>
  </si>
  <si>
    <t>13.</t>
  </si>
  <si>
    <t>5.3</t>
  </si>
  <si>
    <r>
      <rPr>
        <sz val="10"/>
        <color rgb="FF000000"/>
        <rFont val="Arial"/>
      </rPr>
      <t>TRASPORTE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(pedreira mais próxima) - Valor do custo do trasporte de 1KM *  DMT - Empolamento 30% - DMT 26KM, Pedreira mais próxima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</si>
  <si>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</si>
  <si>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5.4</t>
  </si>
  <si>
    <t>BASE DE BRITA GRADUADA, INCLISIVE COMPACTAÇÃO, E=5cm, EXCLUSIVE TRANSPORTE - Calçada TOTALMENTE NOVA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</si>
  <si>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</si>
  <si>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5.5</t>
  </si>
  <si>
    <r>
      <rPr>
        <sz val="10"/>
        <color rgb="FF000000"/>
        <rFont val="Arial"/>
      </rPr>
      <t>TRASPORTE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(pedreira mais próxima) - Valor do custo do trasporte de 1KM *  DMT - Empolamento 30% - DMT 26KM, Pedreira mais próxima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</si>
  <si>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</si>
  <si>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Rua Ermindo Weirich</t>
  </si>
  <si>
    <t>5.6</t>
  </si>
  <si>
    <t>ASSENTAMENTO DE GUIA (MEIO-FIO), EM TRECHO RETO, CONFECCIONADO COM CONCRETO PRÉ FABRICADO, DIMENSÕES 100X15/13X30cm (Comprimento * Largura inferior / Largura Superior * altura)</t>
  </si>
  <si>
    <t>14.</t>
  </si>
  <si>
    <t xml:space="preserve">m </t>
  </si>
  <si>
    <t>5.7</t>
  </si>
  <si>
    <t>REASSENTAMENTO DE PEDRAS POLIÉDRIACAS REJUNTAMENTO COM ARGAMASSA, COM REAPROVEITAMENTO DAS PEDRAS POLIEDRICAS</t>
  </si>
  <si>
    <t>5.8</t>
  </si>
  <si>
    <t>EXECUÇÃO DE PASSEIO (CALÇADA) OU PISO DE CONCRETO MOLDADO IN LOCO, CONCRETO USINADO C25, ACABAMENTO REGOADO, LISO, COM CAIMENTO PARA A RUA, 5cm DE ESPESSURA, CORTADO (JUNTAS DE DILATAÇÃO) A CADA 4m.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</si>
  <si>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</si>
  <si>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15.</t>
  </si>
  <si>
    <t>5.9</t>
  </si>
  <si>
    <t>PISO PODOTÁTIL DIRECIONAL, DE CONCRETO, COR AMARELO, ASSENTADO SOBRE ARGAMASSA, EM CONFORMIDADE COM ABNT NBR 16537/2025</t>
  </si>
  <si>
    <t>5.10</t>
  </si>
  <si>
    <t>PISO PODOTÁTIL ALERTA, DE CONCRETO, COR AMARELO, ASSENTADO SOBRE ARGAMASSA, EM CONFORMIDADE COM ABNT NBR 16537/2025</t>
  </si>
  <si>
    <t>16.</t>
  </si>
  <si>
    <t>5.11</t>
  </si>
  <si>
    <t>RAMPA DE ACESSIBILIDADE EM CONCRETO MOLDADO IN LOCO, EM CALÇADA, FCK=25MPA, INCLUÍDO PISO PODOTÁTIL DE ALERTA, CONFORME ABNT NBR 16537/2025</t>
  </si>
  <si>
    <t>UNIDADE</t>
  </si>
  <si>
    <t>17.</t>
  </si>
  <si>
    <t>INTERVENÇÕES NA CAIXA CARROÇÁVEL COM CBUQ</t>
  </si>
  <si>
    <t>6.1</t>
  </si>
  <si>
    <t>CORTADOR DE PISO COM MOTOR 4 TEMPOS A GASOLINA, POTÊNCIA DE 13HP, COM DISCO DE CORTE DIAMANTADO SEGMENTADO PARA CONCRETO, CHP DIURNO</t>
  </si>
  <si>
    <t>18.</t>
  </si>
  <si>
    <t>6.2</t>
  </si>
  <si>
    <t>CORTADORA DE PISO COM MOTOR 4 TEMPOS A GASOLINA, POTÊNCIA DE 13 HP, COM DISCO DE CORTE chi</t>
  </si>
  <si>
    <t>Chi</t>
  </si>
  <si>
    <t>6.3</t>
  </si>
  <si>
    <r>
      <rPr>
        <sz val="10"/>
        <color rgb="FF000000"/>
        <rFont val="Arial"/>
      </rPr>
      <t>ESCAVAÇÃO VERTICAL A CÉU ABERTO EM OBRAS DE INFRAESTRUTURA, INC. CARGA/DESCARGA E TRANSPORTE, EM SOLO DE 1</t>
    </r>
    <r>
      <rPr>
        <sz val="10"/>
        <color rgb="FF000000"/>
        <rFont val="Calibri"/>
      </rPr>
      <t>ª</t>
    </r>
    <r>
      <rPr>
        <sz val="10"/>
        <color rgb="FF000000"/>
        <rFont val="Arial"/>
      </rPr>
      <t xml:space="preserve"> CATEGORIA, C/ ESCAVADEIRA HIDRAULICA, DMT 2KM - COMPRIMENTO INTERVENÇÕES  * 2,2 cm * 2,20m * 42 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</si>
  <si>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</si>
  <si>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19.</t>
  </si>
  <si>
    <t>6.4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</si>
  <si>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</si>
  <si>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6.5</t>
  </si>
  <si>
    <t>REGULARIZAÇÃO E COMPACTAÇÃO DE SUBLEITO - 42m * 2,2m</t>
  </si>
  <si>
    <t>6.6</t>
  </si>
  <si>
    <t>SUB BASE RACHÃO, EXECUÇÃO E COMPACTAÇÃO DE BASE OU SUB BASE PARA PAVIMENTAÇÃO, ENCHIMENTO DE BRITA E CAMADA DE BLOQUEIO - 42 * 2,2 * 0,5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</si>
  <si>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</si>
  <si>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6.7</t>
  </si>
  <si>
    <r>
      <rPr>
        <sz val="10"/>
        <color rgb="FF000000"/>
        <rFont val="Arial"/>
      </rPr>
      <t>TRASPORTE DO RACHÃO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DMT 26KM (PEDREIRA MAIS PRÓXIMA) - Volume multiplicado pela DMT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</si>
  <si>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</si>
  <si>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6.8</t>
  </si>
  <si>
    <t>BASE DE BRITA GRADUADA, INCLISIVE COMPACTAÇÃO, E=15cm, EXCLUSIVE TRANSPORTE - 42m  * 2,2m * 0,15m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</si>
  <si>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</si>
  <si>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6.9</t>
  </si>
  <si>
    <r>
      <rPr>
        <sz val="10"/>
        <color rgb="FF000000"/>
        <rFont val="Arial"/>
      </rPr>
      <t>TRASPORTE BRITA GRADUADA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DMT 26KM (PEDREIRA MAIS PRÓXIMA) - Volume multiplicado prela DMT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</si>
  <si>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</si>
  <si>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6.10</t>
  </si>
  <si>
    <t>EXECUÇÃO DE IMPRIMAÇÃO DE BASE DE BRITA GRADUADA COM MATERIAL ASFÁLTICO</t>
  </si>
  <si>
    <t>6.11</t>
  </si>
  <si>
    <t>EXECUÇÃO DE PINTURA DE LIGAÇÃO - 42m * 2,2m</t>
  </si>
  <si>
    <t>6.12</t>
  </si>
  <si>
    <t>CONCRETO BETUMINOSO USINADO A QUENTE (CBUQ), CAP 50/70, E=5cm, EXCLUSIVE TRSPORTE - 42m * 2,2m * 0,05m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</si>
  <si>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</si>
  <si>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6.13</t>
  </si>
  <si>
    <r>
      <rPr>
        <sz val="10"/>
        <color rgb="FF000000"/>
        <rFont val="Arial"/>
      </rPr>
      <t>TRASPORTE DO CBUQ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(PEDREIRA MAIS PRÓXIMA) - Volume multiplicado pela DMT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</si>
  <si>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</si>
  <si>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DESLOCAMENTO DE REDE DE ENERGIA ELÉTRICA</t>
  </si>
  <si>
    <t>ORÇADO RGE</t>
  </si>
  <si>
    <t>7.1</t>
  </si>
  <si>
    <t>DESLOCAMENTO DE POSTES DE ENERGIA ELÉTRICA</t>
  </si>
  <si>
    <t>UNID.</t>
  </si>
  <si>
    <t>SERVIÇOS FINAIS</t>
  </si>
  <si>
    <t>8.1</t>
  </si>
  <si>
    <t>REVOLVIMENTO E LIMPEZA MANUAL DE ÁREAS</t>
  </si>
  <si>
    <t>Rua Silfredo Seibert</t>
  </si>
  <si>
    <t>9.1</t>
  </si>
  <si>
    <t>9.2</t>
  </si>
  <si>
    <t>9.3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</si>
  <si>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²</t>
    </r>
  </si>
  <si>
    <t>10.1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</si>
  <si>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</si>
  <si>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</si>
  <si>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10.2</t>
  </si>
  <si>
    <t>ESCAVAÇÃO MECANIZADA DE VALA COM PROF. DE 3,0 M ATÉ 4,5 M (MÉDIA MONTANTE E JUSANTE/UMA COMPOSIÇÃO POR TRECHO), ESCAVADEIRA (1,2 M3), LARG. DE 1,5 M A 2,5 M, EM SOLO DE 2A CATEGORIA, EM LOCAIS COM ALTO NÍVEL DE INTERFERÊNCIA. AF_09/2024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</si>
  <si>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</si>
  <si>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10.3</t>
  </si>
  <si>
    <t>DESMONTE DE MATERIAL DE 3ª CATEGORIA (BLOCOS DE ROCHAS OU MATACOS), EM VALA, COM MARTELETE PNEUMÁTICO MANUAL - EXCLUSIVE RETIRADA, CARGA E TRANSPORTE. AF_03/2021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</si>
  <si>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</si>
  <si>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SICRO
5502407</t>
  </si>
  <si>
    <t>10.4</t>
  </si>
  <si>
    <t>Escavação, carga e transporte de material de 2ª categoria - DMT de 800 a 1.000 m - caminho de serviço pavimentado - com carregadeira e caminhão basculante de 14 m³</t>
  </si>
  <si>
    <t>10.5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</si>
  <si>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</si>
  <si>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10.6</t>
  </si>
  <si>
    <t>REATERRO MECANIZADO DE VALA COM MINICARREGADEIRA, COM COMPACTADOR DE SOLOS DE PERCUSSÃO. AF_08/2023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</si>
  <si>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</si>
  <si>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11.1</t>
  </si>
  <si>
    <t>ADUELA/ GALERIA FECHADA PRE-MOLDADA DE CONCRETO ARMADO, SECAO QUADRANGULAR INTERNA DE 1,50 X 1,50 M (L X A), MISULA DE 20 X 20 CM, C = 1,00 M, ESPESSURA MIN = 15 CM, TB-45 E FCK DO CONCRETO = 30 MPA FORNECIMENTO E ASSENTAMENTO. AF_01/2023</t>
  </si>
  <si>
    <t>SICRO
1600404</t>
  </si>
  <si>
    <t>11.2</t>
  </si>
  <si>
    <t>Remoção de tubos de concreto com diâmetro de 0,40 m a 1,00 m em valas e bueiros</t>
  </si>
  <si>
    <t>101165- (7,2*1,8*,44)</t>
  </si>
  <si>
    <t>11.3</t>
  </si>
  <si>
    <t>ALAS EM PEDRA GRES ARGAMASSADA, PARA TUBO DE CONCRETO ARMADO, P/ ADUELA DUPLA DE 1.500mm - Espessura da parede 44cm - pedra inteira - 7,2m * 1,8 *0,44m - cod. Sinapi pedra argamassada</t>
  </si>
  <si>
    <t>12.1</t>
  </si>
  <si>
    <t>12.2</t>
  </si>
  <si>
    <t>12.3</t>
  </si>
  <si>
    <t>REGULARIZAÇÃO E COMPACTAÇÃO DE SUBLEITO</t>
  </si>
  <si>
    <t>12.4</t>
  </si>
  <si>
    <t>SUB BASE RACHÃO, EXECUÇÃO E COMPACTAÇÃO DE BASE OU SUB BASE PARA PAVIMENTAÇÃO, ENCHIMENTO DE BRITA E CAMADA DE BLOQUEIO - 40 * 1,2 * ,0,5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</si>
  <si>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</si>
  <si>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12.5</t>
  </si>
  <si>
    <r>
      <rPr>
        <sz val="10"/>
        <color rgb="FF000000"/>
        <rFont val="Arial"/>
      </rPr>
      <t>TRASPORTE DO RACHÃO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DMT 26KM (PEDREIRA MAIS PRÓXIMA) - Volume multiplicado pela DMT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</si>
  <si>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</si>
  <si>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12.6</t>
  </si>
  <si>
    <t>BASE DE BRITA GRADUADA, INCLISIVE COMPACTAÇÃO, E=15cm, EXCLUSIVE TRANSPORTE.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</si>
  <si>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</si>
  <si>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12.7</t>
  </si>
  <si>
    <r>
      <rPr>
        <sz val="10"/>
        <color rgb="FF000000"/>
        <rFont val="Arial"/>
      </rPr>
      <t>TRASPORTE BRITA GRADUADA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DMT 26KM (PEDREIRA MAIS PRÓXIMA) - Volume multiplicado prela DMT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</si>
  <si>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</si>
  <si>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12.8</t>
  </si>
  <si>
    <t>12.9</t>
  </si>
  <si>
    <t>12.10</t>
  </si>
  <si>
    <t>CONCRETO BETUMINOSO USINADO A QUENTE (CBUQ), CAP 50/70, E=5cm, EXCLUSIVE TRSPORTE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</si>
  <si>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</si>
  <si>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12.11</t>
  </si>
  <si>
    <r>
      <rPr>
        <sz val="10"/>
        <color rgb="FF000000"/>
        <rFont val="Arial"/>
      </rPr>
      <t>TRASPORTE DO CBUQ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(PEDREIRA MAIS PRÓXIMA) - Volume multiplicado pela DMT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</si>
  <si>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</si>
  <si>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13.1</t>
  </si>
  <si>
    <t>14.1</t>
  </si>
  <si>
    <t>14.2</t>
  </si>
  <si>
    <t>14.3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</si>
  <si>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²</t>
    </r>
  </si>
  <si>
    <t>14.4</t>
  </si>
  <si>
    <t>LIMPEZA DO TERRENO. REMOÇÃO MECANIZADA DA CAMADA DE VEGETAÇÃO, REMOÇÃO DE MATERIAL, NIVELAMENTO. 245m X 2,50m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</si>
  <si>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²</t>
    </r>
  </si>
  <si>
    <t>15.1</t>
  </si>
  <si>
    <r>
      <rPr>
        <sz val="10"/>
        <color rgb="FF000000"/>
        <rFont val="Arial"/>
      </rPr>
      <t>ESCAVAÇÃO VERTICAL A CÉU ABERTO EM OBRAS DE INFRAESTRUTURA, INC. CARGA/DESCARGA E TRANSPORTE, EM SOLO DE 1</t>
    </r>
    <r>
      <rPr>
        <sz val="10"/>
        <color rgb="FF000000"/>
        <rFont val="Calibri"/>
      </rPr>
      <t>ª</t>
    </r>
    <r>
      <rPr>
        <sz val="10"/>
        <color rgb="FF000000"/>
        <rFont val="Arial"/>
      </rPr>
      <t xml:space="preserve"> CATEGORIA, C/ ESCAVADEIRA HIDRAULICA, DMT 2KM - COMPRIMENTO INTERVENÇÕES  * 1,2 cm * 1,20m - INCLUINDO DEMOLIÇÃO MECÂNICA DAS CAIXAS EXISTENTES 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</si>
  <si>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</si>
  <si>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15.2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</si>
  <si>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</si>
  <si>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15.3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</si>
  <si>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</si>
  <si>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16.1</t>
  </si>
  <si>
    <t>16.2</t>
  </si>
  <si>
    <t>16.3</t>
  </si>
  <si>
    <t>16.4</t>
  </si>
  <si>
    <t>16.5</t>
  </si>
  <si>
    <t>17.1</t>
  </si>
  <si>
    <t>17.2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</si>
  <si>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</si>
  <si>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17.3</t>
  </si>
  <si>
    <r>
      <rPr>
        <sz val="10"/>
        <color rgb="FF000000"/>
        <rFont val="Arial"/>
      </rPr>
      <t>TRASPORTE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(pedreira mais próxima) - Valor do custo do trasporte de 1KM *  DMT - Empolamento 30% - DMT 26KM, Pedreira mais próxima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</si>
  <si>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</si>
  <si>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17.4</t>
  </si>
  <si>
    <t>BASE DE BRITA GRADUADA, INCLUSIVE COMPACTAÇÃO, E=5cm, EXCLUSIVE TRANSPORTE - Calçada TOTALMENTE NOVA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</si>
  <si>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</si>
  <si>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17.5</t>
  </si>
  <si>
    <r>
      <rPr>
        <sz val="10"/>
        <color rgb="FF000000"/>
        <rFont val="Arial"/>
      </rPr>
      <t>TRASPORTE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(pedreira mais próxima) - Valor do custo do trasporte de 1KM *  DMT - Empolamento 30% - DMT 26KM, Pedreira mais próxima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</si>
  <si>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</si>
  <si>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17.6</t>
  </si>
  <si>
    <t>17.7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</si>
  <si>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</si>
  <si>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17.8</t>
  </si>
  <si>
    <t>17.9</t>
  </si>
  <si>
    <t>17.10</t>
  </si>
  <si>
    <t>18.1</t>
  </si>
  <si>
    <t>18.2</t>
  </si>
  <si>
    <t>18.3</t>
  </si>
  <si>
    <t>REGULARIZAÇÃO E COMPACTAÇÃO DE SUBLEITO - 14,5 * 2,2</t>
  </si>
  <si>
    <t>18.4</t>
  </si>
  <si>
    <t>SUB BASE RACHÃO, EXECUÇÃO E COMPACTAÇÃO DE BASE OU SUB BASE PARA PAVIMENTAÇÃO, ENCHIMENTO DE BRITA E CAMADA DE BLOQUEIO - 14,5 * 2,2 * 0,17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</si>
  <si>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</si>
  <si>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18.5</t>
  </si>
  <si>
    <r>
      <rPr>
        <sz val="10"/>
        <color rgb="FF000000"/>
        <rFont val="Arial"/>
      </rPr>
      <t>TRASPORTE DO RACHÃO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DMT 26KM (PEDREIRA MAIS PRÓXIMA) - Volume multiplicado pela DMT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</si>
  <si>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</si>
  <si>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18.6</t>
  </si>
  <si>
    <t>BASE DE BRITA GRADUADA, INCLISIVE COMPACTAÇÃO, E=15cm, - 14,5 * 2,2 * 0,15 - EXCLUSIVE TRANSPORTE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</si>
  <si>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</si>
  <si>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18.7</t>
  </si>
  <si>
    <r>
      <rPr>
        <sz val="10"/>
        <color rgb="FF000000"/>
        <rFont val="Arial"/>
      </rPr>
      <t>TRASPORTE BRITA GRADUADA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DMT 26KM (PEDREIRA MAIS PRÓXIMA) - Volume multiplicado prela DMT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</si>
  <si>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</si>
  <si>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18.9</t>
  </si>
  <si>
    <t>EXECUÇÃO DE IMPRIMAÇÃO DE BASE DE BRITA GRADUADA COM MATERIAL ASFÁLTICO - 14,5 * 2,2</t>
  </si>
  <si>
    <t>18.10</t>
  </si>
  <si>
    <t>EXECUÇÃO DE PINTURA DE LIGAÇÃO - 14,5 * 2,2</t>
  </si>
  <si>
    <t>18.11</t>
  </si>
  <si>
    <t>CONCRETO BETUMINOSO USINADO A QUENTE (CBUQ), CAP 50/70, E=5cm, EXCLUSIVE TRSPORTE - 14,5 * 2,2 * 0,05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</si>
  <si>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</si>
  <si>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r>
      <rPr>
        <sz val="10"/>
        <color rgb="FF000000"/>
        <rFont val="Arial"/>
      </rPr>
      <t>TRASPORTE DO CBUQ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(PEDREIRA MAIS PRÓXIMA) - Volume multiplicado pela DMT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</si>
  <si>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</si>
  <si>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19.1</t>
  </si>
  <si>
    <t>Totais -&gt;</t>
  </si>
  <si>
    <t>M.O.</t>
  </si>
  <si>
    <t>Material</t>
  </si>
  <si>
    <t>Valores atualizados na data do orçamento</t>
  </si>
  <si>
    <t>18.8</t>
  </si>
  <si>
    <t>CAIXA BOCA DE LOBO COM GRELHA RETANGULAR, EM ALVENARIA COM BLOCOS DE CONCRETO, DIMENSÕES INTERNAS 0,7m X0,40m</t>
  </si>
  <si>
    <t>ANP - Jul/26</t>
  </si>
  <si>
    <t>São Vendelino - RS, 25 de agosto de 2026.</t>
  </si>
  <si>
    <t>SINAPI, custo de composições – Sintético, Não Desonerado, Mês de referência 07/2026, Emitido em 11/08/2026, base Rio Grande do Sul.</t>
  </si>
  <si>
    <t>SICRO - Abril/2026</t>
  </si>
  <si>
    <t>São Vendelino-RS, 25 de agosto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</si>
</sst>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R$&quot;\ * #,##0.00_-;\-&quot;R$&quot;\ * #,##0.00_-;_-&quot;R$&quot;\ * &quot;-&quot;??_-;_-@_-"/>
    <numFmt numFmtId="164" formatCode="#,##0.000"/>
    <numFmt numFmtId="165" formatCode="&quot;Área:&quot;\ #,##0.00\ &quot;m²&quot;"/>
    <numFmt numFmtId="166" formatCode="#,##0.0000"/>
    <numFmt numFmtId="167" formatCode="dd/mm/yy"/>
    <numFmt numFmtId="168" formatCode="_-&quot;R$&quot;\ * #,##0.00_-;\-&quot;R$&quot;\ * #,##0.00_-;_-&quot;R$&quot;\ * &quot;-&quot;??_-;_-@"/>
    <numFmt numFmtId="169" formatCode="&quot;R$&quot;\ #,##0.00"/>
    <numFmt numFmtId="170" formatCode="_-* #,##0.00_-;\-* #,##0.00_-;_-* &quot;-&quot;??_-;_-@"/>
    <numFmt numFmtId="171" formatCode="#,##0.00\ %"/>
    <numFmt numFmtId="172" formatCode="0.00000"/>
  </numFmts>
  <fonts count="25">
    <font>
      <sz val="11"/>
      <color rgb="FF000000"/>
      <name val="Arial"/>
      <scheme val="minor"/>
    </font>
    <font>
      <sz val="11"/>
      <color theme="1"/>
      <name val="Arial"/>
    </font>
    <font>
      <b/>
      <sz val="10"/>
      <color theme="1"/>
      <name val="Noto Sans Symbols"/>
    </font>
    <font>
      <sz val="10"/>
      <color theme="1"/>
      <name val="Questrial"/>
    </font>
    <font>
      <b/>
      <sz val="12"/>
      <color theme="1"/>
      <name val="Calibri"/>
    </font>
    <font>
      <b/>
      <sz val="11"/>
      <color theme="1"/>
      <name val="Arial"/>
    </font>
    <font>
      <b/>
      <sz val="10"/>
      <color theme="1"/>
      <name val="Arial"/>
    </font>
    <font>
      <sz val="11"/>
      <name val="Arial"/>
    </font>
    <font>
      <b/>
      <sz val="9"/>
      <color theme="1"/>
      <name val="Arial"/>
    </font>
    <font>
      <sz val="9"/>
      <color theme="1"/>
      <name val="Arial"/>
    </font>
    <font>
      <sz val="14"/>
      <color theme="1"/>
      <name val="Arial"/>
    </font>
    <font>
      <sz val="10"/>
      <color theme="1"/>
      <name val="Arial"/>
    </font>
    <font>
      <b/>
      <sz val="12"/>
      <color theme="1"/>
      <name val="Arial Narrow"/>
    </font>
    <font>
      <b/>
      <sz val="12"/>
      <color rgb="FF000000"/>
      <name val="Arial Narrow"/>
    </font>
    <font>
      <sz val="16"/>
      <color theme="1"/>
      <name val="Arial Narrow"/>
    </font>
    <font>
      <sz val="10"/>
      <color theme="1"/>
      <name val="Open Sans"/>
    </font>
    <font>
      <b/>
      <sz val="16"/>
      <color theme="1"/>
      <name val="Arial Narrow"/>
    </font>
    <font>
      <sz val="12"/>
      <color theme="1"/>
      <name val="Arial Narrow"/>
    </font>
    <font>
      <b/>
      <sz val="10"/>
      <color rgb="FF000000"/>
      <name val="Arial"/>
    </font>
    <font>
      <b/>
      <sz val="14"/>
      <color theme="1"/>
      <name val="Arial Narrow"/>
    </font>
    <font>
      <sz val="8"/>
      <color theme="1"/>
      <name val="Arial"/>
    </font>
    <font>
      <sz val="10"/>
      <color rgb="FF000000"/>
      <name val="Arial"/>
    </font>
    <font>
      <sz val="14"/>
      <color theme="1"/>
      <name val="Arial Narrow"/>
    </font>
    <font>
      <sz val="10"/>
      <color rgb="FF000000"/>
      <name val="Calibri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2F2F2"/>
        <bgColor rgb="FFF2F2F2"/>
      </patternFill>
    </fill>
    <fill>
      <patternFill patternType="solid">
        <fgColor rgb="FFD6DCE4"/>
        <bgColor rgb="FFD6DCE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9CC2E5"/>
        <bgColor rgb="FF9CC2E5"/>
      </patternFill>
    </fill>
    <fill>
      <patternFill patternType="solid">
        <fgColor rgb="FFDEEAF6"/>
        <bgColor rgb="FFDEEAF6"/>
      </patternFill>
    </fill>
    <fill>
      <patternFill patternType="solid">
        <fgColor rgb="FFD8ECF6"/>
        <bgColor rgb="FFD8ECF6"/>
      </patternFill>
    </fill>
    <fill>
      <patternFill patternType="solid">
        <fgColor rgb="FFE2EFD9"/>
        <bgColor rgb="FFE2EFD9"/>
      </patternFill>
    </fill>
    <fill>
      <patternFill patternType="solid">
        <fgColor rgb="FFDFF0D8"/>
        <bgColor rgb="FFDFF0D8"/>
      </patternFill>
    </fill>
    <fill>
      <patternFill patternType="solid">
        <fgColor rgb="FFBDD6EE"/>
        <bgColor rgb="FFBDD6EE"/>
      </patternFill>
    </fill>
    <fill>
      <patternFill patternType="solid">
        <fgColor rgb="FF00FF00"/>
        <bgColor rgb="FF00FF00"/>
      </patternFill>
    </fill>
    <fill>
      <patternFill patternType="solid">
        <fgColor rgb="FFA8D08D"/>
        <bgColor rgb="FFA8D08D"/>
      </patternFill>
    </fill>
  </fills>
  <borders count="7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CCCCCC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5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3" fillId="0" borderId="0" xfId="0" applyFont="1"/>
    <xf numFmtId="0" fontId="1" fillId="0" borderId="1" xfId="0" applyFont="1" applyBorder="1"/>
    <xf numFmtId="0" fontId="1" fillId="0" borderId="7" xfId="0" applyFont="1" applyBorder="1"/>
    <xf numFmtId="0" fontId="5" fillId="0" borderId="0" xfId="0" applyFont="1"/>
    <xf numFmtId="0" fontId="9" fillId="0" borderId="0" xfId="0" applyFont="1" applyAlignment="1">
      <alignment horizontal="right"/>
    </xf>
    <xf numFmtId="164" fontId="1" fillId="0" borderId="0" xfId="0" applyNumberFormat="1" applyFont="1"/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1" fillId="4" borderId="9" xfId="0" applyFont="1" applyFill="1" applyBorder="1" applyAlignment="1">
      <alignment horizontal="center"/>
    </xf>
    <xf numFmtId="0" fontId="6" fillId="0" borderId="0" xfId="0" applyFont="1" applyAlignment="1">
      <alignment vertical="top" wrapText="1"/>
    </xf>
    <xf numFmtId="0" fontId="9" fillId="0" borderId="10" xfId="0" applyFont="1" applyBorder="1" applyAlignment="1">
      <alignment horizontal="left"/>
    </xf>
    <xf numFmtId="0" fontId="9" fillId="0" borderId="0" xfId="0" applyFont="1" applyAlignment="1">
      <alignment horizontal="left"/>
    </xf>
    <xf numFmtId="10" fontId="6" fillId="0" borderId="0" xfId="0" applyNumberFormat="1" applyFont="1" applyAlignment="1">
      <alignment horizontal="center" vertical="top" wrapText="1"/>
    </xf>
    <xf numFmtId="0" fontId="6" fillId="0" borderId="11" xfId="0" applyFont="1" applyBorder="1"/>
    <xf numFmtId="10" fontId="6" fillId="0" borderId="0" xfId="0" applyNumberFormat="1" applyFont="1" applyAlignment="1">
      <alignment vertical="top" wrapText="1"/>
    </xf>
    <xf numFmtId="0" fontId="5" fillId="0" borderId="12" xfId="0" applyFont="1" applyBorder="1" applyAlignment="1">
      <alignment wrapText="1"/>
    </xf>
    <xf numFmtId="0" fontId="6" fillId="0" borderId="13" xfId="0" applyFont="1" applyBorder="1"/>
    <xf numFmtId="0" fontId="11" fillId="0" borderId="15" xfId="0" applyFont="1" applyBorder="1"/>
    <xf numFmtId="0" fontId="1" fillId="0" borderId="12" xfId="0" applyFont="1" applyBorder="1"/>
    <xf numFmtId="0" fontId="11" fillId="0" borderId="8" xfId="0" applyFont="1" applyBorder="1"/>
    <xf numFmtId="0" fontId="6" fillId="0" borderId="8" xfId="0" applyFont="1" applyBorder="1"/>
    <xf numFmtId="4" fontId="12" fillId="5" borderId="18" xfId="0" applyNumberFormat="1" applyFont="1" applyFill="1" applyBorder="1" applyAlignment="1">
      <alignment horizontal="left" vertical="center"/>
    </xf>
    <xf numFmtId="4" fontId="1" fillId="4" borderId="9" xfId="0" applyNumberFormat="1" applyFont="1" applyFill="1" applyBorder="1"/>
    <xf numFmtId="14" fontId="6" fillId="0" borderId="19" xfId="0" applyNumberFormat="1" applyFont="1" applyBorder="1"/>
    <xf numFmtId="165" fontId="12" fillId="5" borderId="20" xfId="0" applyNumberFormat="1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center"/>
    </xf>
    <xf numFmtId="4" fontId="12" fillId="5" borderId="20" xfId="0" applyNumberFormat="1" applyFont="1" applyFill="1" applyBorder="1" applyAlignment="1">
      <alignment horizontal="center" vertical="center"/>
    </xf>
    <xf numFmtId="166" fontId="12" fillId="5" borderId="20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166" fontId="12" fillId="5" borderId="20" xfId="0" applyNumberFormat="1" applyFont="1" applyFill="1" applyBorder="1" applyAlignment="1">
      <alignment vertical="center"/>
    </xf>
    <xf numFmtId="0" fontId="8" fillId="0" borderId="11" xfId="0" applyFont="1" applyBorder="1" applyAlignment="1">
      <alignment horizontal="center"/>
    </xf>
    <xf numFmtId="167" fontId="13" fillId="5" borderId="21" xfId="0" applyNumberFormat="1" applyFont="1" applyFill="1" applyBorder="1" applyAlignment="1">
      <alignment horizontal="center" vertical="center"/>
    </xf>
    <xf numFmtId="0" fontId="8" fillId="0" borderId="22" xfId="0" applyFont="1" applyBorder="1"/>
    <xf numFmtId="0" fontId="14" fillId="0" borderId="0" xfId="0" applyFont="1" applyAlignment="1">
      <alignment vertical="center"/>
    </xf>
    <xf numFmtId="0" fontId="8" fillId="0" borderId="2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4" fontId="1" fillId="2" borderId="9" xfId="0" applyNumberFormat="1" applyFont="1" applyFill="1" applyBorder="1"/>
    <xf numFmtId="0" fontId="8" fillId="2" borderId="34" xfId="0" applyFont="1" applyFill="1" applyBorder="1" applyAlignment="1">
      <alignment horizontal="center"/>
    </xf>
    <xf numFmtId="0" fontId="5" fillId="6" borderId="35" xfId="0" applyFont="1" applyFill="1" applyBorder="1" applyAlignment="1">
      <alignment horizontal="center" vertical="top" wrapText="1"/>
    </xf>
    <xf numFmtId="0" fontId="8" fillId="2" borderId="36" xfId="0" applyFont="1" applyFill="1" applyBorder="1" applyAlignment="1">
      <alignment horizontal="center"/>
    </xf>
    <xf numFmtId="0" fontId="1" fillId="8" borderId="35" xfId="0" applyFont="1" applyFill="1" applyBorder="1" applyAlignment="1">
      <alignment horizontal="center" wrapText="1"/>
    </xf>
    <xf numFmtId="0" fontId="5" fillId="8" borderId="35" xfId="0" applyFont="1" applyFill="1" applyBorder="1" applyAlignment="1">
      <alignment horizontal="left" vertical="top" wrapText="1"/>
    </xf>
    <xf numFmtId="0" fontId="15" fillId="0" borderId="0" xfId="0" applyFont="1"/>
    <xf numFmtId="0" fontId="5" fillId="8" borderId="35" xfId="0" applyFont="1" applyFill="1" applyBorder="1" applyAlignment="1">
      <alignment horizontal="center" vertical="top" wrapText="1"/>
    </xf>
    <xf numFmtId="0" fontId="6" fillId="8" borderId="35" xfId="0" applyFont="1" applyFill="1" applyBorder="1" applyAlignment="1">
      <alignment horizontal="center" vertical="top" wrapText="1"/>
    </xf>
    <xf numFmtId="166" fontId="12" fillId="7" borderId="42" xfId="0" applyNumberFormat="1" applyFont="1" applyFill="1" applyBorder="1" applyAlignment="1">
      <alignment horizontal="center" vertical="center"/>
    </xf>
    <xf numFmtId="4" fontId="12" fillId="7" borderId="42" xfId="0" applyNumberFormat="1" applyFont="1" applyFill="1" applyBorder="1" applyAlignment="1">
      <alignment horizontal="center" vertical="center" wrapText="1"/>
    </xf>
    <xf numFmtId="0" fontId="5" fillId="8" borderId="35" xfId="0" applyFont="1" applyFill="1" applyBorder="1" applyAlignment="1">
      <alignment horizontal="right" vertical="top" wrapText="1"/>
    </xf>
    <xf numFmtId="167" fontId="16" fillId="0" borderId="0" xfId="0" applyNumberFormat="1" applyFont="1" applyAlignment="1">
      <alignment vertical="center"/>
    </xf>
    <xf numFmtId="0" fontId="17" fillId="0" borderId="42" xfId="0" applyFont="1" applyBorder="1" applyAlignment="1">
      <alignment horizontal="center" vertical="center"/>
    </xf>
    <xf numFmtId="0" fontId="1" fillId="9" borderId="35" xfId="0" applyFont="1" applyFill="1" applyBorder="1" applyAlignment="1">
      <alignment horizontal="center" vertical="center"/>
    </xf>
    <xf numFmtId="0" fontId="1" fillId="4" borderId="45" xfId="0" applyFont="1" applyFill="1" applyBorder="1"/>
    <xf numFmtId="0" fontId="17" fillId="7" borderId="42" xfId="0" applyFont="1" applyFill="1" applyBorder="1" applyAlignment="1">
      <alignment horizontal="center" vertical="center"/>
    </xf>
    <xf numFmtId="0" fontId="18" fillId="10" borderId="35" xfId="0" applyFont="1" applyFill="1" applyBorder="1" applyAlignment="1">
      <alignment horizontal="left" vertical="top" wrapText="1"/>
    </xf>
    <xf numFmtId="0" fontId="17" fillId="7" borderId="42" xfId="0" applyFont="1" applyFill="1" applyBorder="1" applyAlignment="1">
      <alignment vertical="center" wrapText="1"/>
    </xf>
    <xf numFmtId="168" fontId="1" fillId="4" borderId="9" xfId="0" applyNumberFormat="1" applyFont="1" applyFill="1" applyBorder="1"/>
    <xf numFmtId="4" fontId="17" fillId="7" borderId="42" xfId="0" applyNumberFormat="1" applyFont="1" applyFill="1" applyBorder="1" applyAlignment="1">
      <alignment horizontal="center" vertical="center"/>
    </xf>
    <xf numFmtId="4" fontId="18" fillId="10" borderId="35" xfId="0" applyNumberFormat="1" applyFont="1" applyFill="1" applyBorder="1" applyAlignment="1">
      <alignment horizontal="right" vertical="top" wrapText="1"/>
    </xf>
    <xf numFmtId="166" fontId="17" fillId="7" borderId="42" xfId="0" applyNumberFormat="1" applyFont="1" applyFill="1" applyBorder="1" applyAlignment="1">
      <alignment horizontal="center" vertical="center"/>
    </xf>
    <xf numFmtId="166" fontId="17" fillId="7" borderId="42" xfId="0" applyNumberFormat="1" applyFont="1" applyFill="1" applyBorder="1" applyAlignment="1">
      <alignment vertical="center"/>
    </xf>
    <xf numFmtId="169" fontId="1" fillId="4" borderId="47" xfId="0" applyNumberFormat="1" applyFont="1" applyFill="1" applyBorder="1"/>
    <xf numFmtId="4" fontId="17" fillId="0" borderId="42" xfId="0" applyNumberFormat="1" applyFont="1" applyBorder="1" applyAlignment="1">
      <alignment horizontal="right" vertical="center"/>
    </xf>
    <xf numFmtId="170" fontId="9" fillId="4" borderId="48" xfId="0" applyNumberFormat="1" applyFont="1" applyFill="1" applyBorder="1" applyAlignment="1">
      <alignment horizontal="center"/>
    </xf>
    <xf numFmtId="170" fontId="9" fillId="4" borderId="49" xfId="0" applyNumberFormat="1" applyFont="1" applyFill="1" applyBorder="1" applyAlignment="1">
      <alignment horizontal="center"/>
    </xf>
    <xf numFmtId="0" fontId="11" fillId="0" borderId="0" xfId="0" applyFont="1"/>
    <xf numFmtId="0" fontId="19" fillId="7" borderId="50" xfId="0" applyFont="1" applyFill="1" applyBorder="1" applyAlignment="1">
      <alignment horizontal="center" vertical="center" wrapText="1"/>
    </xf>
    <xf numFmtId="0" fontId="19" fillId="7" borderId="50" xfId="0" applyFont="1" applyFill="1" applyBorder="1" applyAlignment="1">
      <alignment horizontal="center" vertical="center"/>
    </xf>
    <xf numFmtId="171" fontId="18" fillId="10" borderId="35" xfId="0" applyNumberFormat="1" applyFont="1" applyFill="1" applyBorder="1" applyAlignment="1">
      <alignment horizontal="right" vertical="top" wrapText="1"/>
    </xf>
    <xf numFmtId="0" fontId="20" fillId="0" borderId="0" xfId="0" applyFont="1"/>
    <xf numFmtId="10" fontId="1" fillId="4" borderId="53" xfId="0" applyNumberFormat="1" applyFont="1" applyFill="1" applyBorder="1"/>
    <xf numFmtId="0" fontId="1" fillId="11" borderId="35" xfId="0" applyFont="1" applyFill="1" applyBorder="1" applyAlignment="1">
      <alignment horizontal="center" vertical="center"/>
    </xf>
    <xf numFmtId="0" fontId="17" fillId="0" borderId="42" xfId="0" applyFont="1" applyBorder="1" applyAlignment="1">
      <alignment vertical="center" wrapText="1"/>
    </xf>
    <xf numFmtId="9" fontId="9" fillId="4" borderId="54" xfId="0" applyNumberFormat="1" applyFont="1" applyFill="1" applyBorder="1" applyAlignment="1">
      <alignment horizontal="center"/>
    </xf>
    <xf numFmtId="0" fontId="21" fillId="12" borderId="35" xfId="0" applyFont="1" applyFill="1" applyBorder="1" applyAlignment="1">
      <alignment horizontal="left" vertical="top" wrapText="1"/>
    </xf>
    <xf numFmtId="4" fontId="17" fillId="0" borderId="42" xfId="0" applyNumberFormat="1" applyFont="1" applyBorder="1" applyAlignment="1">
      <alignment horizontal="center" vertical="center"/>
    </xf>
    <xf numFmtId="166" fontId="17" fillId="0" borderId="42" xfId="0" applyNumberFormat="1" applyFont="1" applyBorder="1" applyAlignment="1">
      <alignment horizontal="center" vertical="center"/>
    </xf>
    <xf numFmtId="9" fontId="9" fillId="4" borderId="55" xfId="0" applyNumberFormat="1" applyFont="1" applyFill="1" applyBorder="1" applyAlignment="1">
      <alignment horizontal="center"/>
    </xf>
    <xf numFmtId="0" fontId="21" fillId="12" borderId="35" xfId="0" applyFont="1" applyFill="1" applyBorder="1" applyAlignment="1">
      <alignment horizontal="center" vertical="top" wrapText="1"/>
    </xf>
    <xf numFmtId="166" fontId="17" fillId="0" borderId="42" xfId="0" applyNumberFormat="1" applyFont="1" applyBorder="1" applyAlignment="1">
      <alignment vertical="center"/>
    </xf>
    <xf numFmtId="4" fontId="21" fillId="12" borderId="35" xfId="0" applyNumberFormat="1" applyFont="1" applyFill="1" applyBorder="1" applyAlignment="1">
      <alignment horizontal="right" vertical="top" wrapText="1"/>
    </xf>
    <xf numFmtId="172" fontId="22" fillId="0" borderId="42" xfId="0" applyNumberFormat="1" applyFont="1" applyBorder="1" applyAlignment="1">
      <alignment horizontal="center" vertical="center"/>
    </xf>
    <xf numFmtId="10" fontId="22" fillId="0" borderId="0" xfId="0" applyNumberFormat="1" applyFont="1" applyAlignment="1">
      <alignment horizontal="center" vertical="center"/>
    </xf>
    <xf numFmtId="10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168" fontId="1" fillId="0" borderId="58" xfId="0" applyNumberFormat="1" applyFont="1" applyBorder="1"/>
    <xf numFmtId="170" fontId="9" fillId="0" borderId="59" xfId="0" applyNumberFormat="1" applyFont="1" applyBorder="1" applyAlignment="1">
      <alignment horizontal="center"/>
    </xf>
    <xf numFmtId="170" fontId="9" fillId="0" borderId="60" xfId="0" applyNumberFormat="1" applyFont="1" applyBorder="1" applyAlignment="1">
      <alignment horizontal="center"/>
    </xf>
    <xf numFmtId="10" fontId="1" fillId="0" borderId="63" xfId="0" applyNumberFormat="1" applyFont="1" applyBorder="1"/>
    <xf numFmtId="9" fontId="9" fillId="0" borderId="64" xfId="0" applyNumberFormat="1" applyFont="1" applyBorder="1" applyAlignment="1">
      <alignment horizontal="center"/>
    </xf>
    <xf numFmtId="171" fontId="21" fillId="10" borderId="35" xfId="0" applyNumberFormat="1" applyFont="1" applyFill="1" applyBorder="1" applyAlignment="1">
      <alignment horizontal="right" vertical="top" wrapText="1"/>
    </xf>
    <xf numFmtId="9" fontId="9" fillId="0" borderId="62" xfId="0" applyNumberFormat="1" applyFont="1" applyBorder="1" applyAlignment="1">
      <alignment horizontal="center"/>
    </xf>
    <xf numFmtId="0" fontId="12" fillId="0" borderId="37" xfId="0" applyFont="1" applyBorder="1" applyAlignment="1">
      <alignment vertical="center"/>
    </xf>
    <xf numFmtId="0" fontId="12" fillId="0" borderId="66" xfId="0" applyFont="1" applyBorder="1" applyAlignment="1">
      <alignment vertical="center"/>
    </xf>
    <xf numFmtId="0" fontId="12" fillId="0" borderId="66" xfId="0" applyFont="1" applyBorder="1" applyAlignment="1">
      <alignment horizontal="center" vertical="center"/>
    </xf>
    <xf numFmtId="166" fontId="12" fillId="0" borderId="66" xfId="0" applyNumberFormat="1" applyFont="1" applyBorder="1" applyAlignment="1">
      <alignment vertical="center"/>
    </xf>
    <xf numFmtId="4" fontId="12" fillId="0" borderId="42" xfId="0" applyNumberFormat="1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166" fontId="12" fillId="0" borderId="0" xfId="0" applyNumberFormat="1" applyFont="1" applyAlignment="1">
      <alignment horizontal="left" vertical="center"/>
    </xf>
    <xf numFmtId="4" fontId="12" fillId="0" borderId="0" xfId="0" applyNumberFormat="1" applyFont="1" applyAlignment="1">
      <alignment vertical="center"/>
    </xf>
    <xf numFmtId="4" fontId="12" fillId="13" borderId="68" xfId="0" applyNumberFormat="1" applyFont="1" applyFill="1" applyBorder="1" applyAlignment="1">
      <alignment horizontal="left" vertical="center"/>
    </xf>
    <xf numFmtId="165" fontId="12" fillId="13" borderId="69" xfId="0" applyNumberFormat="1" applyFont="1" applyFill="1" applyBorder="1" applyAlignment="1">
      <alignment horizontal="left" vertical="center"/>
    </xf>
    <xf numFmtId="4" fontId="12" fillId="13" borderId="69" xfId="0" applyNumberFormat="1" applyFont="1" applyFill="1" applyBorder="1" applyAlignment="1">
      <alignment horizontal="center" vertical="center"/>
    </xf>
    <xf numFmtId="166" fontId="12" fillId="13" borderId="69" xfId="0" applyNumberFormat="1" applyFont="1" applyFill="1" applyBorder="1" applyAlignment="1">
      <alignment horizontal="center" vertical="center"/>
    </xf>
    <xf numFmtId="166" fontId="12" fillId="13" borderId="69" xfId="0" applyNumberFormat="1" applyFont="1" applyFill="1" applyBorder="1" applyAlignment="1">
      <alignment vertical="center"/>
    </xf>
    <xf numFmtId="167" fontId="13" fillId="13" borderId="70" xfId="0" applyNumberFormat="1" applyFont="1" applyFill="1" applyBorder="1" applyAlignment="1">
      <alignment horizontal="center" vertical="center"/>
    </xf>
    <xf numFmtId="0" fontId="22" fillId="7" borderId="50" xfId="0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0" fontId="1" fillId="0" borderId="35" xfId="0" applyFont="1" applyBorder="1" applyAlignment="1">
      <alignment horizontal="center" vertical="center"/>
    </xf>
    <xf numFmtId="0" fontId="21" fillId="0" borderId="35" xfId="0" applyFont="1" applyBorder="1" applyAlignment="1">
      <alignment horizontal="left" vertical="top" wrapText="1"/>
    </xf>
    <xf numFmtId="0" fontId="21" fillId="0" borderId="35" xfId="0" applyFont="1" applyBorder="1" applyAlignment="1">
      <alignment horizontal="center" vertical="top" wrapText="1"/>
    </xf>
    <xf numFmtId="4" fontId="17" fillId="0" borderId="42" xfId="0" applyNumberFormat="1" applyFont="1" applyBorder="1" applyAlignment="1">
      <alignment vertical="center"/>
    </xf>
    <xf numFmtId="4" fontId="21" fillId="0" borderId="35" xfId="0" applyNumberFormat="1" applyFont="1" applyBorder="1" applyAlignment="1">
      <alignment horizontal="right" vertical="top" wrapText="1"/>
    </xf>
    <xf numFmtId="171" fontId="21" fillId="0" borderId="35" xfId="0" applyNumberFormat="1" applyFont="1" applyBorder="1" applyAlignment="1">
      <alignment horizontal="right" vertical="top" wrapText="1"/>
    </xf>
    <xf numFmtId="172" fontId="22" fillId="0" borderId="38" xfId="0" applyNumberFormat="1" applyFont="1" applyBorder="1" applyAlignment="1">
      <alignment horizontal="center" vertical="center"/>
    </xf>
    <xf numFmtId="0" fontId="18" fillId="9" borderId="35" xfId="0" applyFont="1" applyFill="1" applyBorder="1" applyAlignment="1">
      <alignment horizontal="left" vertical="top" wrapText="1"/>
    </xf>
    <xf numFmtId="0" fontId="21" fillId="9" borderId="35" xfId="0" applyFont="1" applyFill="1" applyBorder="1" applyAlignment="1">
      <alignment horizontal="center" vertical="top" wrapText="1"/>
    </xf>
    <xf numFmtId="4" fontId="21" fillId="9" borderId="35" xfId="0" applyNumberFormat="1" applyFont="1" applyFill="1" applyBorder="1" applyAlignment="1">
      <alignment horizontal="right" vertical="top" wrapText="1"/>
    </xf>
    <xf numFmtId="0" fontId="12" fillId="7" borderId="18" xfId="0" applyFont="1" applyFill="1" applyBorder="1" applyAlignment="1">
      <alignment vertical="center"/>
    </xf>
    <xf numFmtId="0" fontId="12" fillId="7" borderId="20" xfId="0" applyFont="1" applyFill="1" applyBorder="1" applyAlignment="1">
      <alignment vertical="center"/>
    </xf>
    <xf numFmtId="0" fontId="12" fillId="7" borderId="20" xfId="0" applyFont="1" applyFill="1" applyBorder="1" applyAlignment="1">
      <alignment horizontal="center" vertical="center"/>
    </xf>
    <xf numFmtId="166" fontId="12" fillId="7" borderId="20" xfId="0" applyNumberFormat="1" applyFont="1" applyFill="1" applyBorder="1" applyAlignment="1">
      <alignment vertical="center"/>
    </xf>
    <xf numFmtId="4" fontId="18" fillId="9" borderId="35" xfId="0" applyNumberFormat="1" applyFont="1" applyFill="1" applyBorder="1" applyAlignment="1">
      <alignment horizontal="right" vertical="top" wrapText="1"/>
    </xf>
    <xf numFmtId="4" fontId="12" fillId="7" borderId="42" xfId="0" applyNumberFormat="1" applyFont="1" applyFill="1" applyBorder="1" applyAlignment="1">
      <alignment vertical="center"/>
    </xf>
    <xf numFmtId="168" fontId="1" fillId="14" borderId="0" xfId="0" applyNumberFormat="1" applyFont="1" applyFill="1"/>
    <xf numFmtId="9" fontId="9" fillId="2" borderId="34" xfId="0" applyNumberFormat="1" applyFont="1" applyFill="1" applyBorder="1" applyAlignment="1">
      <alignment horizontal="center"/>
    </xf>
    <xf numFmtId="9" fontId="9" fillId="2" borderId="36" xfId="0" applyNumberFormat="1" applyFont="1" applyFill="1" applyBorder="1" applyAlignment="1">
      <alignment horizontal="center"/>
    </xf>
    <xf numFmtId="0" fontId="1" fillId="11" borderId="35" xfId="0" applyFont="1" applyFill="1" applyBorder="1" applyAlignment="1">
      <alignment horizontal="center" vertical="center" wrapText="1"/>
    </xf>
    <xf numFmtId="0" fontId="12" fillId="7" borderId="50" xfId="0" applyFont="1" applyFill="1" applyBorder="1" applyAlignment="1">
      <alignment vertical="center"/>
    </xf>
    <xf numFmtId="0" fontId="12" fillId="7" borderId="50" xfId="0" applyFont="1" applyFill="1" applyBorder="1" applyAlignment="1">
      <alignment horizontal="center" vertical="center"/>
    </xf>
    <xf numFmtId="166" fontId="12" fillId="7" borderId="50" xfId="0" applyNumberFormat="1" applyFont="1" applyFill="1" applyBorder="1" applyAlignment="1">
      <alignment vertical="center"/>
    </xf>
    <xf numFmtId="4" fontId="12" fillId="7" borderId="50" xfId="0" applyNumberFormat="1" applyFont="1" applyFill="1" applyBorder="1" applyAlignment="1">
      <alignment vertical="center"/>
    </xf>
    <xf numFmtId="0" fontId="6" fillId="6" borderId="50" xfId="0" applyFont="1" applyFill="1" applyBorder="1" applyAlignment="1">
      <alignment horizontal="right" vertical="top" wrapText="1"/>
    </xf>
    <xf numFmtId="0" fontId="11" fillId="6" borderId="50" xfId="0" applyFont="1" applyFill="1" applyBorder="1" applyAlignment="1">
      <alignment horizontal="left" vertical="top" wrapText="1"/>
    </xf>
    <xf numFmtId="0" fontId="11" fillId="6" borderId="50" xfId="0" applyFont="1" applyFill="1" applyBorder="1" applyAlignment="1">
      <alignment vertical="top" wrapText="1"/>
    </xf>
    <xf numFmtId="0" fontId="1" fillId="0" borderId="8" xfId="0" applyFont="1" applyBorder="1"/>
    <xf numFmtId="0" fontId="11" fillId="2" borderId="71" xfId="0" applyFont="1" applyFill="1" applyBorder="1"/>
    <xf numFmtId="0" fontId="1" fillId="2" borderId="50" xfId="0" applyFont="1" applyFill="1" applyBorder="1"/>
    <xf numFmtId="168" fontId="1" fillId="2" borderId="72" xfId="0" applyNumberFormat="1" applyFont="1" applyFill="1" applyBorder="1"/>
    <xf numFmtId="168" fontId="9" fillId="2" borderId="73" xfId="0" applyNumberFormat="1" applyFont="1" applyFill="1" applyBorder="1"/>
    <xf numFmtId="170" fontId="9" fillId="2" borderId="49" xfId="0" applyNumberFormat="1" applyFont="1" applyFill="1" applyBorder="1" applyAlignment="1">
      <alignment horizontal="center"/>
    </xf>
    <xf numFmtId="0" fontId="1" fillId="2" borderId="74" xfId="0" applyFont="1" applyFill="1" applyBorder="1"/>
    <xf numFmtId="0" fontId="1" fillId="2" borderId="75" xfId="0" applyFont="1" applyFill="1" applyBorder="1"/>
    <xf numFmtId="10" fontId="1" fillId="2" borderId="76" xfId="0" applyNumberFormat="1" applyFont="1" applyFill="1" applyBorder="1"/>
    <xf numFmtId="10" fontId="9" fillId="2" borderId="74" xfId="0" applyNumberFormat="1" applyFont="1" applyFill="1" applyBorder="1" applyAlignment="1">
      <alignment horizontal="center"/>
    </xf>
    <xf numFmtId="10" fontId="9" fillId="2" borderId="77" xfId="0" applyNumberFormat="1" applyFont="1" applyFill="1" applyBorder="1" applyAlignment="1">
      <alignment horizontal="center"/>
    </xf>
    <xf numFmtId="0" fontId="9" fillId="11" borderId="35" xfId="0" applyFont="1" applyFill="1" applyBorder="1" applyAlignment="1">
      <alignment horizontal="center" vertical="center" wrapText="1"/>
    </xf>
    <xf numFmtId="0" fontId="1" fillId="15" borderId="35" xfId="0" applyFont="1" applyFill="1" applyBorder="1" applyAlignment="1">
      <alignment horizontal="center" vertical="center"/>
    </xf>
    <xf numFmtId="0" fontId="21" fillId="15" borderId="35" xfId="0" applyFont="1" applyFill="1" applyBorder="1" applyAlignment="1">
      <alignment horizontal="left" vertical="top" wrapText="1"/>
    </xf>
    <xf numFmtId="0" fontId="21" fillId="15" borderId="35" xfId="0" applyFont="1" applyFill="1" applyBorder="1" applyAlignment="1">
      <alignment horizontal="center" vertical="top" wrapText="1"/>
    </xf>
    <xf numFmtId="4" fontId="21" fillId="15" borderId="35" xfId="0" applyNumberFormat="1" applyFont="1" applyFill="1" applyBorder="1" applyAlignment="1">
      <alignment horizontal="right" vertical="top" wrapText="1"/>
    </xf>
    <xf numFmtId="171" fontId="21" fillId="15" borderId="35" xfId="0" applyNumberFormat="1" applyFont="1" applyFill="1" applyBorder="1" applyAlignment="1">
      <alignment horizontal="right" vertical="top" wrapText="1"/>
    </xf>
    <xf numFmtId="4" fontId="6" fillId="6" borderId="50" xfId="0" applyNumberFormat="1" applyFont="1" applyFill="1" applyBorder="1" applyAlignment="1">
      <alignment horizontal="right" vertical="top" wrapText="1"/>
    </xf>
    <xf numFmtId="10" fontId="6" fillId="6" borderId="50" xfId="0" applyNumberFormat="1" applyFont="1" applyFill="1" applyBorder="1" applyAlignment="1">
      <alignment horizontal="right" vertical="top" wrapText="1"/>
    </xf>
    <xf numFmtId="0" fontId="1" fillId="8" borderId="50" xfId="0" applyFont="1" applyFill="1" applyBorder="1" applyAlignment="1">
      <alignment horizontal="center"/>
    </xf>
    <xf numFmtId="0" fontId="1" fillId="8" borderId="50" xfId="0" applyFont="1" applyFill="1" applyBorder="1"/>
    <xf numFmtId="0" fontId="11" fillId="8" borderId="50" xfId="0" applyFont="1" applyFill="1" applyBorder="1" applyAlignment="1">
      <alignment horizontal="center" vertical="top" wrapText="1"/>
    </xf>
    <xf numFmtId="0" fontId="21" fillId="12" borderId="35" xfId="0" applyFont="1" applyFill="1" applyBorder="1" applyAlignment="1">
      <alignment horizontal="left" vertical="top" wrapText="1"/>
    </xf>
    <xf numFmtId="2" fontId="21" fillId="12" borderId="35" xfId="0" applyNumberFormat="1" applyFont="1" applyFill="1" applyBorder="1" applyAlignment="1">
      <alignment horizontal="left" vertical="top" wrapText="1"/>
    </xf>
    <xf numFmtId="171" fontId="6" fillId="6" borderId="50" xfId="0" applyNumberFormat="1" applyFont="1" applyFill="1" applyBorder="1" applyAlignment="1">
      <alignment horizontal="right" vertical="top" wrapText="1"/>
    </xf>
    <xf numFmtId="0" fontId="11" fillId="6" borderId="50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right"/>
    </xf>
    <xf numFmtId="166" fontId="1" fillId="0" borderId="0" xfId="0" applyNumberFormat="1" applyFont="1"/>
    <xf numFmtId="166" fontId="6" fillId="0" borderId="0" xfId="0" applyNumberFormat="1" applyFont="1" applyAlignment="1">
      <alignment vertical="top" wrapText="1"/>
    </xf>
    <xf numFmtId="166" fontId="5" fillId="8" borderId="35" xfId="0" applyNumberFormat="1" applyFont="1" applyFill="1" applyBorder="1" applyAlignment="1">
      <alignment horizontal="center" vertical="top" wrapText="1"/>
    </xf>
    <xf numFmtId="166" fontId="18" fillId="10" borderId="35" xfId="0" applyNumberFormat="1" applyFont="1" applyFill="1" applyBorder="1" applyAlignment="1">
      <alignment horizontal="right" vertical="top" wrapText="1"/>
    </xf>
    <xf numFmtId="166" fontId="21" fillId="12" borderId="35" xfId="0" applyNumberFormat="1" applyFont="1" applyFill="1" applyBorder="1" applyAlignment="1">
      <alignment horizontal="right" vertical="top" wrapText="1"/>
    </xf>
    <xf numFmtId="166" fontId="21" fillId="0" borderId="35" xfId="0" applyNumberFormat="1" applyFont="1" applyBorder="1" applyAlignment="1">
      <alignment horizontal="right" vertical="top" wrapText="1"/>
    </xf>
    <xf numFmtId="166" fontId="21" fillId="9" borderId="35" xfId="0" applyNumberFormat="1" applyFont="1" applyFill="1" applyBorder="1" applyAlignment="1">
      <alignment horizontal="right" vertical="top" wrapText="1"/>
    </xf>
    <xf numFmtId="166" fontId="21" fillId="15" borderId="35" xfId="0" applyNumberFormat="1" applyFont="1" applyFill="1" applyBorder="1" applyAlignment="1">
      <alignment horizontal="right" vertical="top" wrapText="1"/>
    </xf>
    <xf numFmtId="166" fontId="6" fillId="6" borderId="50" xfId="0" applyNumberFormat="1" applyFont="1" applyFill="1" applyBorder="1" applyAlignment="1">
      <alignment horizontal="right" vertical="top" wrapText="1"/>
    </xf>
    <xf numFmtId="166" fontId="1" fillId="8" borderId="50" xfId="0" applyNumberFormat="1" applyFont="1" applyFill="1" applyBorder="1"/>
    <xf numFmtId="166" fontId="11" fillId="6" borderId="50" xfId="0" applyNumberFormat="1" applyFont="1" applyFill="1" applyBorder="1" applyAlignment="1">
      <alignment horizontal="left" vertical="top" wrapText="1"/>
    </xf>
    <xf numFmtId="166" fontId="1" fillId="0" borderId="8" xfId="0" applyNumberFormat="1" applyFont="1" applyBorder="1"/>
    <xf numFmtId="166" fontId="0" fillId="0" borderId="0" xfId="0" applyNumberFormat="1" applyFont="1" applyAlignment="1"/>
    <xf numFmtId="44" fontId="8" fillId="2" borderId="32" xfId="0" applyNumberFormat="1" applyFont="1" applyFill="1" applyBorder="1"/>
    <xf numFmtId="4" fontId="1" fillId="2" borderId="32" xfId="0" applyNumberFormat="1" applyFont="1" applyFill="1" applyBorder="1"/>
    <xf numFmtId="4" fontId="6" fillId="6" borderId="3" xfId="0" applyNumberFormat="1" applyFont="1" applyFill="1" applyBorder="1" applyAlignment="1">
      <alignment horizontal="right" vertical="top" wrapText="1"/>
    </xf>
    <xf numFmtId="0" fontId="7" fillId="0" borderId="5" xfId="0" applyFont="1" applyBorder="1"/>
    <xf numFmtId="0" fontId="7" fillId="0" borderId="6" xfId="0" applyFont="1" applyBorder="1"/>
    <xf numFmtId="0" fontId="6" fillId="6" borderId="3" xfId="0" applyFont="1" applyFill="1" applyBorder="1" applyAlignment="1">
      <alignment horizontal="left" vertical="top" wrapText="1"/>
    </xf>
    <xf numFmtId="0" fontId="1" fillId="0" borderId="11" xfId="0" applyFont="1" applyBorder="1" applyAlignment="1">
      <alignment horizontal="center"/>
    </xf>
    <xf numFmtId="0" fontId="7" fillId="0" borderId="11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1" fillId="6" borderId="3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5" fillId="0" borderId="12" xfId="0" applyFont="1" applyBorder="1" applyAlignment="1">
      <alignment horizontal="center" wrapText="1"/>
    </xf>
    <xf numFmtId="0" fontId="7" fillId="0" borderId="12" xfId="0" applyFont="1" applyBorder="1"/>
    <xf numFmtId="0" fontId="5" fillId="6" borderId="23" xfId="0" applyFont="1" applyFill="1" applyBorder="1" applyAlignment="1">
      <alignment horizontal="center" vertical="top" wrapText="1"/>
    </xf>
    <xf numFmtId="0" fontId="7" fillId="0" borderId="25" xfId="0" applyFont="1" applyBorder="1"/>
    <xf numFmtId="0" fontId="7" fillId="0" borderId="27" xfId="0" applyFont="1" applyBorder="1"/>
    <xf numFmtId="0" fontId="5" fillId="6" borderId="17" xfId="0" applyFont="1" applyFill="1" applyBorder="1" applyAlignment="1">
      <alignment horizontal="right" vertical="top" wrapText="1"/>
    </xf>
    <xf numFmtId="0" fontId="7" fillId="0" borderId="33" xfId="0" applyFont="1" applyBorder="1"/>
    <xf numFmtId="0" fontId="1" fillId="0" borderId="17" xfId="0" applyFont="1" applyBorder="1" applyAlignment="1">
      <alignment horizontal="center" wrapText="1"/>
    </xf>
    <xf numFmtId="0" fontId="5" fillId="6" borderId="17" xfId="0" applyFont="1" applyFill="1" applyBorder="1" applyAlignment="1">
      <alignment horizontal="left" vertical="top" wrapText="1"/>
    </xf>
    <xf numFmtId="0" fontId="5" fillId="6" borderId="17" xfId="0" applyFont="1" applyFill="1" applyBorder="1" applyAlignment="1">
      <alignment horizontal="center" vertical="top" wrapText="1"/>
    </xf>
    <xf numFmtId="166" fontId="5" fillId="6" borderId="17" xfId="0" applyNumberFormat="1" applyFont="1" applyFill="1" applyBorder="1" applyAlignment="1">
      <alignment horizontal="center" vertical="top" wrapText="1"/>
    </xf>
    <xf numFmtId="166" fontId="7" fillId="0" borderId="33" xfId="0" applyNumberFormat="1" applyFont="1" applyBorder="1"/>
    <xf numFmtId="0" fontId="6" fillId="6" borderId="17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5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7" fillId="0" borderId="2" xfId="0" applyFont="1" applyBorder="1"/>
    <xf numFmtId="0" fontId="7" fillId="0" borderId="4" xfId="0" applyFont="1" applyBorder="1"/>
    <xf numFmtId="0" fontId="1" fillId="0" borderId="2" xfId="0" applyFont="1" applyBorder="1" applyAlignment="1">
      <alignment horizontal="center"/>
    </xf>
    <xf numFmtId="0" fontId="1" fillId="4" borderId="14" xfId="0" applyFont="1" applyFill="1" applyBorder="1" applyAlignment="1">
      <alignment horizontal="left"/>
    </xf>
    <xf numFmtId="0" fontId="7" fillId="0" borderId="16" xfId="0" applyFont="1" applyBorder="1"/>
    <xf numFmtId="0" fontId="1" fillId="2" borderId="14" xfId="0" applyFont="1" applyFill="1" applyBorder="1" applyAlignment="1">
      <alignment horizontal="left"/>
    </xf>
    <xf numFmtId="0" fontId="1" fillId="4" borderId="46" xfId="0" applyFont="1" applyFill="1" applyBorder="1" applyAlignment="1">
      <alignment horizontal="right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8" fillId="4" borderId="67" xfId="0" applyFont="1" applyFill="1" applyBorder="1" applyAlignment="1">
      <alignment horizontal="center" vertical="center" wrapText="1"/>
    </xf>
    <xf numFmtId="0" fontId="7" fillId="0" borderId="52" xfId="0" applyFont="1" applyBorder="1"/>
    <xf numFmtId="0" fontId="8" fillId="2" borderId="29" xfId="0" applyFont="1" applyFill="1" applyBorder="1" applyAlignment="1">
      <alignment horizontal="center" vertical="center" wrapText="1"/>
    </xf>
    <xf numFmtId="0" fontId="7" fillId="0" borderId="31" xfId="0" applyFont="1" applyBorder="1"/>
    <xf numFmtId="0" fontId="8" fillId="0" borderId="57" xfId="0" applyFont="1" applyBorder="1" applyAlignment="1">
      <alignment horizontal="center" vertical="center" wrapText="1"/>
    </xf>
    <xf numFmtId="0" fontId="7" fillId="0" borderId="62" xfId="0" applyFont="1" applyBorder="1"/>
    <xf numFmtId="0" fontId="8" fillId="0" borderId="56" xfId="0" applyFont="1" applyBorder="1" applyAlignment="1">
      <alignment horizontal="center" vertical="center" wrapText="1"/>
    </xf>
    <xf numFmtId="0" fontId="7" fillId="0" borderId="61" xfId="0" applyFont="1" applyBorder="1"/>
    <xf numFmtId="0" fontId="8" fillId="4" borderId="65" xfId="0" applyFont="1" applyFill="1" applyBorder="1" applyAlignment="1">
      <alignment horizontal="center" vertical="center" wrapText="1"/>
    </xf>
    <xf numFmtId="0" fontId="7" fillId="0" borderId="51" xfId="0" applyFont="1" applyBorder="1"/>
    <xf numFmtId="0" fontId="8" fillId="4" borderId="43" xfId="0" applyFont="1" applyFill="1" applyBorder="1" applyAlignment="1">
      <alignment horizontal="center" vertical="center" wrapText="1"/>
    </xf>
    <xf numFmtId="0" fontId="8" fillId="4" borderId="44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/>
    <xf numFmtId="0" fontId="6" fillId="3" borderId="1" xfId="0" applyFont="1" applyFill="1" applyBorder="1" applyAlignment="1">
      <alignment horizontal="center"/>
    </xf>
    <xf numFmtId="0" fontId="8" fillId="2" borderId="29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2" fillId="7" borderId="28" xfId="0" applyFont="1" applyFill="1" applyBorder="1" applyAlignment="1">
      <alignment horizontal="center" vertical="center"/>
    </xf>
    <xf numFmtId="0" fontId="7" fillId="0" borderId="30" xfId="0" applyFont="1" applyBorder="1"/>
    <xf numFmtId="0" fontId="7" fillId="0" borderId="40" xfId="0" applyFont="1" applyBorder="1"/>
    <xf numFmtId="0" fontId="7" fillId="0" borderId="41" xfId="0" applyFont="1" applyBorder="1"/>
    <xf numFmtId="0" fontId="12" fillId="7" borderId="26" xfId="0" applyFont="1" applyFill="1" applyBorder="1" applyAlignment="1">
      <alignment horizontal="center" vertical="center" wrapText="1"/>
    </xf>
    <xf numFmtId="0" fontId="7" fillId="0" borderId="39" xfId="0" applyFont="1" applyBorder="1"/>
    <xf numFmtId="4" fontId="12" fillId="7" borderId="26" xfId="0" applyNumberFormat="1" applyFont="1" applyFill="1" applyBorder="1" applyAlignment="1">
      <alignment horizontal="center" vertical="center"/>
    </xf>
    <xf numFmtId="166" fontId="12" fillId="7" borderId="26" xfId="0" applyNumberFormat="1" applyFont="1" applyFill="1" applyBorder="1" applyAlignment="1">
      <alignment horizontal="center" vertical="center" wrapText="1"/>
    </xf>
    <xf numFmtId="4" fontId="12" fillId="7" borderId="37" xfId="0" applyNumberFormat="1" applyFont="1" applyFill="1" applyBorder="1" applyAlignment="1">
      <alignment horizontal="center" vertical="center"/>
    </xf>
    <xf numFmtId="0" fontId="7" fillId="0" borderId="38" xfId="0" applyFont="1" applyBorder="1"/>
    <xf numFmtId="0" fontId="12" fillId="7" borderId="26" xfId="0" applyFont="1" applyFill="1" applyBorder="1" applyAlignment="1">
      <alignment horizontal="center" vertical="center"/>
    </xf>
    <xf numFmtId="0" fontId="24" fillId="6" borderId="3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619125</xdr:colOff>
      <xdr:row>164</xdr:row>
      <xdr:rowOff>304800</xdr:rowOff>
    </xdr:from>
    <xdr:ext cx="1714500" cy="561975"/>
    <xdr:pic>
      <xdr:nvPicPr>
        <xdr:cNvPr id="2" name="image2.jpg" descr="VEVÉ" title="Imagem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4600575</xdr:colOff>
      <xdr:row>0</xdr:row>
      <xdr:rowOff>57150</xdr:rowOff>
    </xdr:from>
    <xdr:ext cx="1276350" cy="975783"/>
    <xdr:pic>
      <xdr:nvPicPr>
        <xdr:cNvPr id="3" name="image1.png"/>
        <xdr:cNvPicPr preferRelativeResize="0"/>
      </xdr:nvPicPr>
      <xdr:blipFill rotWithShape="1">
        <a:blip xmlns:r="http://schemas.openxmlformats.org/officeDocument/2006/relationships" r:embed="rId2" cstate="print"/>
        <a:srcRect b="9341"/>
        <a:stretch/>
      </xdr:blipFill>
      <xdr:spPr>
        <a:xfrm>
          <a:off x="6014508" y="57150"/>
          <a:ext cx="1276350" cy="975783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685800</xdr:colOff>
      <xdr:row>5</xdr:row>
      <xdr:rowOff>123825</xdr:rowOff>
    </xdr:from>
    <xdr:ext cx="1266825" cy="973455"/>
    <xdr:pic>
      <xdr:nvPicPr>
        <xdr:cNvPr id="2" name="image1.png"/>
        <xdr:cNvPicPr preferRelativeResize="0"/>
      </xdr:nvPicPr>
      <xdr:blipFill rotWithShape="1">
        <a:blip xmlns:r="http://schemas.openxmlformats.org/officeDocument/2006/relationships" r:embed="rId1" cstate="print"/>
        <a:srcRect b="10351"/>
        <a:stretch/>
      </xdr:blipFill>
      <xdr:spPr>
        <a:xfrm>
          <a:off x="4556760" y="962025"/>
          <a:ext cx="1266825" cy="97345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1562100</xdr:colOff>
      <xdr:row>58</xdr:row>
      <xdr:rowOff>504825</xdr:rowOff>
    </xdr:from>
    <xdr:ext cx="1333500" cy="523875"/>
    <xdr:pic>
      <xdr:nvPicPr>
        <xdr:cNvPr id="2" name="image2.jpg" descr="VEVÉ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1847850</xdr:colOff>
      <xdr:row>2</xdr:row>
      <xdr:rowOff>133350</xdr:rowOff>
    </xdr:from>
    <xdr:ext cx="1257300" cy="979170"/>
    <xdr:pic>
      <xdr:nvPicPr>
        <xdr:cNvPr id="3" name="image1.png"/>
        <xdr:cNvPicPr preferRelativeResize="0"/>
      </xdr:nvPicPr>
      <xdr:blipFill rotWithShape="1">
        <a:blip xmlns:r="http://schemas.openxmlformats.org/officeDocument/2006/relationships" r:embed="rId2" cstate="print"/>
        <a:srcRect b="11379"/>
        <a:stretch/>
      </xdr:blipFill>
      <xdr:spPr>
        <a:xfrm>
          <a:off x="3813810" y="468630"/>
          <a:ext cx="1257300" cy="97917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Veve/1%20PROJETOS/Prefeitura%20de%20S&#227;o%20Vendelino/Pavimenta&#231;&#227;o%20Morro%20da%20Canastra/Orcamento%20Construcao%20Predio%20Hidraulica%20-%20VER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"/>
      <sheetName val="Orcamento Resumo"/>
      <sheetName val="Cronograma"/>
    </sheetNames>
    <sheetDataSet>
      <sheetData sheetId="0" refreshError="1">
        <row r="15">
          <cell r="B15">
            <v>1</v>
          </cell>
        </row>
        <row r="22">
          <cell r="B22">
            <v>2</v>
          </cell>
        </row>
        <row r="32">
          <cell r="B32">
            <v>3</v>
          </cell>
        </row>
        <row r="47">
          <cell r="B47">
            <v>4</v>
          </cell>
        </row>
        <row r="51">
          <cell r="B51">
            <v>5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zoomScale="90" zoomScaleNormal="90" workbookViewId="0">
      <selection activeCell="M174" sqref="A1:M174"/>
    </sheetView>
  </sheetViews>
  <sheetFormatPr defaultColWidth="12.59765625" defaultRowHeight="15" customHeight="1"/>
  <cols>
    <col min="1" max="1" width="10" customWidth="1"/>
    <col min="2" max="2" width="8.59765625" customWidth="1"/>
    <col min="3" max="3" width="60.69921875" customWidth="1"/>
    <col min="4" max="4" width="8.09765625" customWidth="1"/>
    <col min="5" max="5" width="11.19921875" style="183" customWidth="1"/>
    <col min="6" max="9" width="8.59765625" customWidth="1"/>
    <col min="10" max="10" width="11.59765625" customWidth="1"/>
    <col min="11" max="11" width="10.69921875" customWidth="1"/>
    <col min="12" max="12" width="12.3984375" customWidth="1"/>
    <col min="13" max="26" width="8.59765625" customWidth="1"/>
  </cols>
  <sheetData>
    <row r="1" spans="1:26" ht="13.5" customHeight="1">
      <c r="A1" s="1"/>
      <c r="B1" s="2"/>
      <c r="C1" s="2"/>
      <c r="D1" s="2"/>
      <c r="E1" s="17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1"/>
      <c r="B2" s="2"/>
      <c r="C2" s="2"/>
      <c r="D2" s="2"/>
      <c r="E2" s="17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>
      <c r="A3" s="1"/>
      <c r="B3" s="2"/>
      <c r="C3" s="2"/>
      <c r="D3" s="2"/>
      <c r="E3" s="17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3.5" customHeight="1">
      <c r="A4" s="1"/>
      <c r="B4" s="2"/>
      <c r="C4" s="2"/>
      <c r="D4" s="2"/>
      <c r="E4" s="17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3.5" customHeight="1">
      <c r="A5" s="1"/>
      <c r="B5" s="2"/>
      <c r="C5" s="2"/>
      <c r="D5" s="2"/>
      <c r="E5" s="171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>
      <c r="A6" s="1"/>
      <c r="B6" s="2"/>
      <c r="C6" s="2"/>
      <c r="D6" s="2"/>
      <c r="E6" s="17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3.5" customHeight="1">
      <c r="A7" s="1"/>
      <c r="B7" s="2"/>
      <c r="C7" s="2"/>
      <c r="D7" s="2"/>
      <c r="E7" s="171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>
      <c r="A8" s="7"/>
      <c r="B8" s="209" t="s">
        <v>0</v>
      </c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3.5" customHeight="1">
      <c r="A9" s="10"/>
      <c r="B9" s="209" t="s">
        <v>1</v>
      </c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6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5" customHeight="1">
      <c r="A10" s="210" t="s">
        <v>4</v>
      </c>
      <c r="B10" s="187"/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8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3.5" customHeight="1">
      <c r="A11" s="1"/>
      <c r="B11" s="2"/>
      <c r="C11" s="13" t="s">
        <v>9</v>
      </c>
      <c r="D11" s="2"/>
      <c r="E11" s="171"/>
      <c r="F11" s="2"/>
      <c r="G11" s="2"/>
      <c r="H11" s="14" t="s">
        <v>10</v>
      </c>
      <c r="I11" s="3"/>
      <c r="J11" s="2"/>
      <c r="K11" s="2"/>
      <c r="L11" s="14" t="s">
        <v>11</v>
      </c>
      <c r="M11" s="15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3.5" customHeight="1">
      <c r="A12" s="1"/>
      <c r="B12" s="8"/>
      <c r="C12" s="211" t="s">
        <v>13</v>
      </c>
      <c r="D12" s="193"/>
      <c r="E12" s="193"/>
      <c r="F12" s="193"/>
      <c r="G12" s="16" t="s">
        <v>14</v>
      </c>
      <c r="H12" s="17"/>
      <c r="I12" s="17"/>
      <c r="J12" s="17"/>
      <c r="K12" s="195" t="s">
        <v>15</v>
      </c>
      <c r="L12" s="193"/>
      <c r="M12" s="193"/>
    </row>
    <row r="13" spans="1:26" ht="13.5" customHeight="1">
      <c r="A13" s="1"/>
      <c r="B13" s="9"/>
      <c r="C13" s="9" t="s">
        <v>16</v>
      </c>
      <c r="D13" s="19"/>
      <c r="E13" s="172"/>
      <c r="F13" s="19"/>
      <c r="G13" s="22">
        <v>0.2195</v>
      </c>
      <c r="H13" s="24"/>
      <c r="I13" s="19"/>
      <c r="J13" s="19"/>
      <c r="K13" s="195" t="s">
        <v>18</v>
      </c>
      <c r="L13" s="193"/>
      <c r="M13" s="193"/>
    </row>
    <row r="14" spans="1:26" ht="13.5" customHeight="1">
      <c r="A14" s="1"/>
      <c r="B14" s="25"/>
      <c r="C14" s="196" t="s">
        <v>19</v>
      </c>
      <c r="D14" s="197"/>
      <c r="E14" s="197"/>
      <c r="F14" s="197"/>
      <c r="G14" s="197"/>
      <c r="H14" s="197"/>
      <c r="I14" s="197"/>
      <c r="J14" s="197"/>
      <c r="K14" s="197"/>
      <c r="L14" s="28"/>
      <c r="M14" s="28"/>
    </row>
    <row r="15" spans="1:26" ht="13.5" customHeight="1">
      <c r="A15" s="203" t="s">
        <v>20</v>
      </c>
      <c r="B15" s="204" t="s">
        <v>21</v>
      </c>
      <c r="C15" s="204" t="s">
        <v>24</v>
      </c>
      <c r="D15" s="205" t="s">
        <v>26</v>
      </c>
      <c r="E15" s="206" t="s">
        <v>27</v>
      </c>
      <c r="F15" s="208" t="s">
        <v>29</v>
      </c>
      <c r="G15" s="198" t="s">
        <v>31</v>
      </c>
      <c r="H15" s="199"/>
      <c r="I15" s="200"/>
      <c r="J15" s="198" t="s">
        <v>38</v>
      </c>
      <c r="K15" s="199"/>
      <c r="L15" s="200"/>
      <c r="M15" s="201" t="s">
        <v>39</v>
      </c>
    </row>
    <row r="16" spans="1:26" ht="18" customHeight="1">
      <c r="A16" s="202"/>
      <c r="B16" s="202"/>
      <c r="C16" s="202"/>
      <c r="D16" s="202"/>
      <c r="E16" s="207"/>
      <c r="F16" s="202"/>
      <c r="G16" s="48" t="s">
        <v>42</v>
      </c>
      <c r="H16" s="48" t="s">
        <v>43</v>
      </c>
      <c r="I16" s="48" t="s">
        <v>38</v>
      </c>
      <c r="J16" s="48" t="s">
        <v>42</v>
      </c>
      <c r="K16" s="48" t="s">
        <v>43</v>
      </c>
      <c r="L16" s="48" t="s">
        <v>38</v>
      </c>
      <c r="M16" s="202"/>
    </row>
    <row r="17" spans="1:26" ht="18" customHeight="1">
      <c r="A17" s="50"/>
      <c r="B17" s="51"/>
      <c r="C17" s="51" t="s">
        <v>45</v>
      </c>
      <c r="D17" s="53"/>
      <c r="E17" s="173"/>
      <c r="F17" s="54"/>
      <c r="G17" s="53"/>
      <c r="H17" s="53"/>
      <c r="I17" s="53"/>
      <c r="J17" s="53"/>
      <c r="K17" s="53"/>
      <c r="L17" s="53"/>
      <c r="M17" s="57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60"/>
      <c r="B18" s="63">
        <v>1</v>
      </c>
      <c r="C18" s="63" t="s">
        <v>52</v>
      </c>
      <c r="D18" s="63"/>
      <c r="E18" s="174"/>
      <c r="F18" s="63"/>
      <c r="G18" s="63"/>
      <c r="H18" s="63"/>
      <c r="I18" s="63"/>
      <c r="J18" s="63"/>
      <c r="K18" s="63"/>
      <c r="L18" s="67">
        <f>SUM(L19:L22)</f>
        <v>4440.8200000000006</v>
      </c>
      <c r="M18" s="77">
        <f t="shared" ref="M18:M22" si="0">L18/$L$161</f>
        <v>3.959677595528531E-3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80">
        <v>90781</v>
      </c>
      <c r="B19" s="83" t="s">
        <v>66</v>
      </c>
      <c r="C19" s="83" t="s">
        <v>68</v>
      </c>
      <c r="D19" s="87" t="s">
        <v>69</v>
      </c>
      <c r="E19" s="175">
        <v>7</v>
      </c>
      <c r="F19" s="89">
        <v>47.82</v>
      </c>
      <c r="G19" s="89">
        <f>ROUND((F19*(1+$G$13)*0.3),2)</f>
        <v>17.489999999999998</v>
      </c>
      <c r="H19" s="89">
        <f>ROUND((F19*(1+$G$13)*0.7),2)</f>
        <v>40.82</v>
      </c>
      <c r="I19" s="89">
        <f>H19+G19</f>
        <v>58.31</v>
      </c>
      <c r="J19" s="89">
        <f>ROUND(G19*E19,2)</f>
        <v>122.43</v>
      </c>
      <c r="K19" s="89">
        <f>ROUND(H19*E19,2)</f>
        <v>285.74</v>
      </c>
      <c r="L19" s="89">
        <f t="shared" ref="L19:L21" si="1">K19+J19</f>
        <v>408.17</v>
      </c>
      <c r="M19" s="99">
        <f t="shared" si="0"/>
        <v>3.6394665943832E-4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80">
        <v>88253</v>
      </c>
      <c r="B20" s="83" t="s">
        <v>78</v>
      </c>
      <c r="C20" s="83" t="s">
        <v>79</v>
      </c>
      <c r="D20" s="87" t="s">
        <v>69</v>
      </c>
      <c r="E20" s="175">
        <v>7</v>
      </c>
      <c r="F20" s="89">
        <v>24.37</v>
      </c>
      <c r="G20" s="89">
        <f>ROUND((F20*(1+$G$13)*0.3),2)</f>
        <v>8.92</v>
      </c>
      <c r="H20" s="89">
        <f>ROUND((F20*(1+$G$13)*0.7),2)</f>
        <v>20.8</v>
      </c>
      <c r="I20" s="89">
        <f>H20+G20</f>
        <v>29.72</v>
      </c>
      <c r="J20" s="89">
        <f>ROUND(G20*E20,2)</f>
        <v>62.44</v>
      </c>
      <c r="K20" s="89">
        <f>ROUND(H20*E20,2)</f>
        <v>145.6</v>
      </c>
      <c r="L20" s="89">
        <f t="shared" si="1"/>
        <v>208.04</v>
      </c>
      <c r="M20" s="99">
        <f t="shared" si="0"/>
        <v>1.8549982367530219E-4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41.25" customHeight="1">
      <c r="A21" s="80">
        <v>103689</v>
      </c>
      <c r="B21" s="83" t="s">
        <v>84</v>
      </c>
      <c r="C21" s="83" t="s">
        <v>85</v>
      </c>
      <c r="D21" s="87" t="s">
        <v>86</v>
      </c>
      <c r="E21" s="175">
        <f>2*3</f>
        <v>6</v>
      </c>
      <c r="F21" s="89">
        <v>496.79</v>
      </c>
      <c r="G21" s="89">
        <f>ROUND((F21*(1+$G$13)*0.3),2)</f>
        <v>181.75</v>
      </c>
      <c r="H21" s="89">
        <f>ROUND((F21*(1+$G$13)*0.7),2)</f>
        <v>424.08</v>
      </c>
      <c r="I21" s="89">
        <f>H21+G21</f>
        <v>605.82999999999993</v>
      </c>
      <c r="J21" s="89">
        <f>ROUND(G21*E21,2)</f>
        <v>1090.5</v>
      </c>
      <c r="K21" s="89">
        <f>ROUND(H21*E21,2)</f>
        <v>2544.48</v>
      </c>
      <c r="L21" s="89">
        <f t="shared" si="1"/>
        <v>3634.98</v>
      </c>
      <c r="M21" s="99">
        <f t="shared" si="0"/>
        <v>3.2411466499867813E-3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0.75" customHeight="1">
      <c r="A22" s="80">
        <v>98525</v>
      </c>
      <c r="B22" s="83" t="s">
        <v>87</v>
      </c>
      <c r="C22" s="83" t="s">
        <v>88</v>
      </c>
      <c r="D22" s="87" t="s">
        <v>89</v>
      </c>
      <c r="E22" s="175">
        <f>ROUND(90*2.45,4)</f>
        <v>220.5</v>
      </c>
      <c r="F22" s="89">
        <v>0.7</v>
      </c>
      <c r="G22" s="89">
        <f>ROUND((F22*(1+$G$13)*0.3),2)</f>
        <v>0.26</v>
      </c>
      <c r="H22" s="89">
        <f>ROUND((F22*(1+$G$13)*0.7),2)</f>
        <v>0.6</v>
      </c>
      <c r="I22" s="89">
        <f>H22+G22</f>
        <v>0.86</v>
      </c>
      <c r="J22" s="89">
        <f>ROUND(G22*E22,2)</f>
        <v>57.33</v>
      </c>
      <c r="K22" s="89">
        <f>ROUND(H22*E22,2)</f>
        <v>132.30000000000001</v>
      </c>
      <c r="L22" s="89">
        <f>K22+J22</f>
        <v>189.63</v>
      </c>
      <c r="M22" s="99">
        <f t="shared" si="0"/>
        <v>1.6908446242812705E-4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>
      <c r="A23" s="117"/>
      <c r="B23" s="118"/>
      <c r="C23" s="118"/>
      <c r="D23" s="119"/>
      <c r="E23" s="176"/>
      <c r="F23" s="121"/>
      <c r="G23" s="121"/>
      <c r="H23" s="121"/>
      <c r="I23" s="121"/>
      <c r="J23" s="121"/>
      <c r="K23" s="121"/>
      <c r="L23" s="121"/>
      <c r="M23" s="12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>
      <c r="A24" s="60"/>
      <c r="B24" s="63">
        <v>2</v>
      </c>
      <c r="C24" s="63" t="s">
        <v>94</v>
      </c>
      <c r="D24" s="63"/>
      <c r="E24" s="174"/>
      <c r="F24" s="63"/>
      <c r="G24" s="63"/>
      <c r="H24" s="63"/>
      <c r="I24" s="63"/>
      <c r="J24" s="63"/>
      <c r="K24" s="63"/>
      <c r="L24" s="67">
        <f>SUM(L25)</f>
        <v>7675.92</v>
      </c>
      <c r="M24" s="77">
        <f t="shared" ref="M24:M25" si="2">L24/$L$161</f>
        <v>6.8442694027385387E-3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>
      <c r="A25" s="80">
        <v>97623</v>
      </c>
      <c r="B25" s="83" t="s">
        <v>97</v>
      </c>
      <c r="C25" s="83" t="s">
        <v>98</v>
      </c>
      <c r="D25" s="87" t="s">
        <v>99</v>
      </c>
      <c r="E25" s="175">
        <f>30.36</f>
        <v>30.36</v>
      </c>
      <c r="F25" s="89">
        <v>207.32</v>
      </c>
      <c r="G25" s="89">
        <f>ROUND((F25*(1+$G$13)*0.3),2)</f>
        <v>75.849999999999994</v>
      </c>
      <c r="H25" s="89">
        <f>ROUND((F25*(1+$G$13)*0.7),2)</f>
        <v>176.98</v>
      </c>
      <c r="I25" s="89">
        <f>H25+G25</f>
        <v>252.82999999999998</v>
      </c>
      <c r="J25" s="89">
        <f>ROUND(G25*E25,2)</f>
        <v>2302.81</v>
      </c>
      <c r="K25" s="89">
        <f>ROUND(H25*E25,2)</f>
        <v>5373.11</v>
      </c>
      <c r="L25" s="89">
        <f>K25+J25</f>
        <v>7675.92</v>
      </c>
      <c r="M25" s="99">
        <f t="shared" si="2"/>
        <v>6.8442694027385387E-3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>
      <c r="A26" s="117"/>
      <c r="B26" s="118"/>
      <c r="C26" s="118"/>
      <c r="D26" s="119"/>
      <c r="E26" s="176"/>
      <c r="F26" s="121"/>
      <c r="G26" s="121"/>
      <c r="H26" s="121"/>
      <c r="I26" s="121"/>
      <c r="J26" s="121"/>
      <c r="K26" s="121"/>
      <c r="L26" s="121"/>
      <c r="M26" s="12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>
      <c r="A27" s="60"/>
      <c r="B27" s="124">
        <v>3</v>
      </c>
      <c r="C27" s="124" t="s">
        <v>101</v>
      </c>
      <c r="D27" s="125"/>
      <c r="E27" s="177"/>
      <c r="F27" s="126"/>
      <c r="G27" s="126"/>
      <c r="H27" s="126"/>
      <c r="I27" s="126"/>
      <c r="J27" s="126"/>
      <c r="K27" s="126"/>
      <c r="L27" s="131">
        <f>SUM(L28:L30)</f>
        <v>47217.18</v>
      </c>
      <c r="M27" s="77">
        <f t="shared" ref="M27:M30" si="3">L27/$L$161</f>
        <v>4.2101415902927347E-2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68.25" customHeight="1">
      <c r="A28" s="80">
        <v>101245</v>
      </c>
      <c r="B28" s="83" t="s">
        <v>105</v>
      </c>
      <c r="C28" s="83" t="s">
        <v>106</v>
      </c>
      <c r="D28" s="87" t="s">
        <v>107</v>
      </c>
      <c r="E28" s="175">
        <v>897.98</v>
      </c>
      <c r="F28" s="89">
        <v>18.579999999999998</v>
      </c>
      <c r="G28" s="89">
        <f t="shared" ref="G28:G30" si="4">ROUND((F28*(1+$G$13)*0.3),2)</f>
        <v>6.8</v>
      </c>
      <c r="H28" s="89">
        <f t="shared" ref="H28:H30" si="5">ROUND((F28*(1+$G$13)*0.7),2)</f>
        <v>15.86</v>
      </c>
      <c r="I28" s="89">
        <f t="shared" ref="I28:I30" si="6">H28+G28</f>
        <v>22.66</v>
      </c>
      <c r="J28" s="89">
        <f t="shared" ref="J28:J30" si="7">ROUND(G28*E28,2)</f>
        <v>6106.26</v>
      </c>
      <c r="K28" s="89">
        <f>ROUND(H28*E28,2)+0.01</f>
        <v>14241.97</v>
      </c>
      <c r="L28" s="89">
        <f>K28+J28</f>
        <v>20348.23</v>
      </c>
      <c r="M28" s="99">
        <f t="shared" si="3"/>
        <v>1.8143592948973726E-2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80">
        <v>100574</v>
      </c>
      <c r="B29" s="83" t="s">
        <v>109</v>
      </c>
      <c r="C29" s="83" t="s">
        <v>110</v>
      </c>
      <c r="D29" s="87" t="s">
        <v>111</v>
      </c>
      <c r="E29" s="175">
        <f>ROUND((E28)*1.3,4)</f>
        <v>1167.374</v>
      </c>
      <c r="F29" s="89">
        <v>1.48</v>
      </c>
      <c r="G29" s="89">
        <f t="shared" si="4"/>
        <v>0.54</v>
      </c>
      <c r="H29" s="89">
        <f t="shared" si="5"/>
        <v>1.26</v>
      </c>
      <c r="I29" s="89">
        <f t="shared" si="6"/>
        <v>1.8</v>
      </c>
      <c r="J29" s="89">
        <f t="shared" si="7"/>
        <v>630.38</v>
      </c>
      <c r="K29" s="89">
        <f t="shared" ref="K29:K30" si="8">ROUND(H29*E29,2)</f>
        <v>1470.89</v>
      </c>
      <c r="L29" s="89">
        <f t="shared" ref="L29:L30" si="9">K29+J29</f>
        <v>2101.27</v>
      </c>
      <c r="M29" s="99">
        <f t="shared" si="3"/>
        <v>1.8736070683243713E-3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>
      <c r="A30" s="80">
        <v>93382</v>
      </c>
      <c r="B30" s="83" t="s">
        <v>113</v>
      </c>
      <c r="C30" s="83" t="s">
        <v>114</v>
      </c>
      <c r="D30" s="87" t="s">
        <v>115</v>
      </c>
      <c r="E30" s="175">
        <v>655.75</v>
      </c>
      <c r="F30" s="89">
        <v>30.97</v>
      </c>
      <c r="G30" s="89">
        <f t="shared" si="4"/>
        <v>11.33</v>
      </c>
      <c r="H30" s="89">
        <f t="shared" si="5"/>
        <v>26.44</v>
      </c>
      <c r="I30" s="89">
        <f t="shared" si="6"/>
        <v>37.770000000000003</v>
      </c>
      <c r="J30" s="89">
        <f t="shared" si="7"/>
        <v>7429.65</v>
      </c>
      <c r="K30" s="89">
        <f t="shared" si="8"/>
        <v>17338.03</v>
      </c>
      <c r="L30" s="89">
        <f t="shared" si="9"/>
        <v>24767.68</v>
      </c>
      <c r="M30" s="99">
        <f t="shared" si="3"/>
        <v>2.2084215885629248E-2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>
      <c r="A31" s="117"/>
      <c r="B31" s="118"/>
      <c r="C31" s="118"/>
      <c r="D31" s="119"/>
      <c r="E31" s="176"/>
      <c r="F31" s="121"/>
      <c r="G31" s="121"/>
      <c r="H31" s="121"/>
      <c r="I31" s="121"/>
      <c r="J31" s="121"/>
      <c r="K31" s="121"/>
      <c r="L31" s="121"/>
      <c r="M31" s="12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>
      <c r="A32" s="60"/>
      <c r="B32" s="63">
        <v>4</v>
      </c>
      <c r="C32" s="63" t="s">
        <v>121</v>
      </c>
      <c r="D32" s="63"/>
      <c r="E32" s="174"/>
      <c r="F32" s="63"/>
      <c r="G32" s="63"/>
      <c r="H32" s="63"/>
      <c r="I32" s="63"/>
      <c r="J32" s="63"/>
      <c r="K32" s="63"/>
      <c r="L32" s="67">
        <f>SUM(L33:L38)</f>
        <v>212073.17999999996</v>
      </c>
      <c r="M32" s="77">
        <f t="shared" ref="M32:M38" si="10">L32/$L$161</f>
        <v>0.18909602718833213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4.5" customHeight="1">
      <c r="A33" s="136" t="s">
        <v>123</v>
      </c>
      <c r="B33" s="83" t="s">
        <v>124</v>
      </c>
      <c r="C33" s="83" t="s">
        <v>125</v>
      </c>
      <c r="D33" s="87" t="s">
        <v>126</v>
      </c>
      <c r="E33" s="175">
        <v>175</v>
      </c>
      <c r="F33" s="89">
        <v>11.72</v>
      </c>
      <c r="G33" s="89">
        <f t="shared" ref="G33:G38" si="11">ROUND((F33*(1+$G$13)*0.3),2)</f>
        <v>4.29</v>
      </c>
      <c r="H33" s="89">
        <f>ROUND((F33*(1+$G$13)*0.7),2)</f>
        <v>10</v>
      </c>
      <c r="I33" s="89">
        <f t="shared" ref="I33:I38" si="12">H33+G33</f>
        <v>14.29</v>
      </c>
      <c r="J33" s="89">
        <f t="shared" ref="J33:J38" si="13">ROUND(G33*E33,2)</f>
        <v>750.75</v>
      </c>
      <c r="K33" s="89">
        <f t="shared" ref="K33:K38" si="14">ROUND(H33*E33,2)</f>
        <v>1750</v>
      </c>
      <c r="L33" s="89">
        <f t="shared" ref="L33:L38" si="15">K33+J33</f>
        <v>2500.75</v>
      </c>
      <c r="M33" s="99">
        <f t="shared" si="10"/>
        <v>2.2298052492598151E-3</v>
      </c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6.75" customHeight="1">
      <c r="A34" s="136" t="s">
        <v>129</v>
      </c>
      <c r="B34" s="83" t="s">
        <v>130</v>
      </c>
      <c r="C34" s="83" t="s">
        <v>131</v>
      </c>
      <c r="D34" s="87" t="s">
        <v>126</v>
      </c>
      <c r="E34" s="175">
        <v>215</v>
      </c>
      <c r="F34" s="89">
        <v>649.12</v>
      </c>
      <c r="G34" s="89">
        <f t="shared" si="11"/>
        <v>237.48</v>
      </c>
      <c r="H34" s="89">
        <f t="shared" ref="H34:H38" si="16">ROUND((F34*(1+$G$13)*0.7),2)</f>
        <v>554.12</v>
      </c>
      <c r="I34" s="89">
        <f t="shared" si="12"/>
        <v>791.6</v>
      </c>
      <c r="J34" s="89">
        <f t="shared" si="13"/>
        <v>51058.2</v>
      </c>
      <c r="K34" s="89">
        <f t="shared" si="14"/>
        <v>119135.8</v>
      </c>
      <c r="L34" s="89">
        <f t="shared" si="15"/>
        <v>170194</v>
      </c>
      <c r="M34" s="99">
        <f t="shared" si="10"/>
        <v>0.15175426355794261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54" customHeight="1">
      <c r="A35" s="80" t="s">
        <v>132</v>
      </c>
      <c r="B35" s="83" t="s">
        <v>133</v>
      </c>
      <c r="C35" s="83" t="s">
        <v>134</v>
      </c>
      <c r="D35" s="87" t="s">
        <v>135</v>
      </c>
      <c r="E35" s="175">
        <v>7</v>
      </c>
      <c r="F35" s="89">
        <v>1717.75</v>
      </c>
      <c r="G35" s="89">
        <f t="shared" si="11"/>
        <v>628.44000000000005</v>
      </c>
      <c r="H35" s="89">
        <f t="shared" si="16"/>
        <v>1466.36</v>
      </c>
      <c r="I35" s="89">
        <f t="shared" si="12"/>
        <v>2094.8000000000002</v>
      </c>
      <c r="J35" s="89">
        <f t="shared" si="13"/>
        <v>4399.08</v>
      </c>
      <c r="K35" s="89">
        <f t="shared" si="14"/>
        <v>10264.52</v>
      </c>
      <c r="L35" s="89">
        <f t="shared" si="15"/>
        <v>14663.6</v>
      </c>
      <c r="M35" s="99">
        <f t="shared" si="10"/>
        <v>1.3074866441286106E-2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5.25" customHeight="1">
      <c r="A36" s="80">
        <v>97953</v>
      </c>
      <c r="B36" s="83" t="s">
        <v>136</v>
      </c>
      <c r="C36" s="83" t="s">
        <v>137</v>
      </c>
      <c r="D36" s="87" t="s">
        <v>135</v>
      </c>
      <c r="E36" s="175">
        <v>8</v>
      </c>
      <c r="F36" s="89">
        <v>1673.09</v>
      </c>
      <c r="G36" s="89">
        <f t="shared" si="11"/>
        <v>612.1</v>
      </c>
      <c r="H36" s="89">
        <f t="shared" si="16"/>
        <v>1428.23</v>
      </c>
      <c r="I36" s="89">
        <f t="shared" si="12"/>
        <v>2040.33</v>
      </c>
      <c r="J36" s="89">
        <f t="shared" si="13"/>
        <v>4896.8</v>
      </c>
      <c r="K36" s="89">
        <f t="shared" si="14"/>
        <v>11425.84</v>
      </c>
      <c r="L36" s="89">
        <f t="shared" si="15"/>
        <v>16322.64</v>
      </c>
      <c r="M36" s="99">
        <f t="shared" si="10"/>
        <v>1.4554157094382977E-2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1" customHeight="1">
      <c r="A37" s="80" t="s">
        <v>140</v>
      </c>
      <c r="B37" s="83" t="s">
        <v>141</v>
      </c>
      <c r="C37" s="83" t="s">
        <v>142</v>
      </c>
      <c r="D37" s="87" t="s">
        <v>135</v>
      </c>
      <c r="E37" s="175">
        <v>7</v>
      </c>
      <c r="F37" s="89">
        <v>674.61</v>
      </c>
      <c r="G37" s="89">
        <f t="shared" si="11"/>
        <v>246.81</v>
      </c>
      <c r="H37" s="89">
        <f t="shared" si="16"/>
        <v>575.88</v>
      </c>
      <c r="I37" s="89">
        <f t="shared" si="12"/>
        <v>822.69</v>
      </c>
      <c r="J37" s="89">
        <f t="shared" si="13"/>
        <v>1727.67</v>
      </c>
      <c r="K37" s="89">
        <f t="shared" si="14"/>
        <v>4031.16</v>
      </c>
      <c r="L37" s="89">
        <f t="shared" si="15"/>
        <v>5758.83</v>
      </c>
      <c r="M37" s="99">
        <f t="shared" si="10"/>
        <v>5.1348872792541843E-3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56.25" customHeight="1">
      <c r="A38" s="80">
        <v>92851</v>
      </c>
      <c r="B38" s="83" t="s">
        <v>143</v>
      </c>
      <c r="C38" s="83" t="s">
        <v>144</v>
      </c>
      <c r="D38" s="87" t="s">
        <v>145</v>
      </c>
      <c r="E38" s="175">
        <v>8</v>
      </c>
      <c r="F38" s="89">
        <v>269.92</v>
      </c>
      <c r="G38" s="89">
        <f t="shared" si="11"/>
        <v>98.75</v>
      </c>
      <c r="H38" s="89">
        <f t="shared" si="16"/>
        <v>230.42</v>
      </c>
      <c r="I38" s="89">
        <f t="shared" si="12"/>
        <v>329.16999999999996</v>
      </c>
      <c r="J38" s="89">
        <f t="shared" si="13"/>
        <v>790</v>
      </c>
      <c r="K38" s="89">
        <f t="shared" si="14"/>
        <v>1843.36</v>
      </c>
      <c r="L38" s="89">
        <f t="shared" si="15"/>
        <v>2633.3599999999997</v>
      </c>
      <c r="M38" s="99">
        <f t="shared" si="10"/>
        <v>2.3480475662064687E-3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" customHeight="1">
      <c r="A39" s="117"/>
      <c r="B39" s="118"/>
      <c r="C39" s="118"/>
      <c r="D39" s="119"/>
      <c r="E39" s="176"/>
      <c r="F39" s="121"/>
      <c r="G39" s="121"/>
      <c r="H39" s="121"/>
      <c r="I39" s="121"/>
      <c r="J39" s="121"/>
      <c r="K39" s="121"/>
      <c r="L39" s="121"/>
      <c r="M39" s="12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" customHeight="1">
      <c r="A40" s="60"/>
      <c r="B40" s="63">
        <v>5</v>
      </c>
      <c r="C40" s="63" t="s">
        <v>147</v>
      </c>
      <c r="D40" s="63"/>
      <c r="E40" s="174"/>
      <c r="F40" s="63"/>
      <c r="G40" s="63"/>
      <c r="H40" s="63"/>
      <c r="I40" s="63"/>
      <c r="J40" s="63"/>
      <c r="K40" s="63"/>
      <c r="L40" s="67">
        <f>SUM(L41:L51)</f>
        <v>70839.97</v>
      </c>
      <c r="M40" s="77">
        <f t="shared" ref="M40:M51" si="17">L40/$L$161</f>
        <v>6.316478534975821E-2</v>
      </c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7" customHeight="1">
      <c r="A41" s="80">
        <v>100576</v>
      </c>
      <c r="B41" s="83" t="s">
        <v>148</v>
      </c>
      <c r="C41" s="83" t="s">
        <v>149</v>
      </c>
      <c r="D41" s="87" t="s">
        <v>120</v>
      </c>
      <c r="E41" s="175">
        <f>ROUND(426.8*0.5,4)</f>
        <v>213.4</v>
      </c>
      <c r="F41" s="89">
        <v>3.03</v>
      </c>
      <c r="G41" s="89">
        <f t="shared" ref="G41:G51" si="18">ROUND((F41*(1+$G$13)*0.3),2)</f>
        <v>1.1100000000000001</v>
      </c>
      <c r="H41" s="89">
        <f t="shared" ref="H41:H51" si="19">ROUND((F41*(1+$G$13)*0.7),2)</f>
        <v>2.59</v>
      </c>
      <c r="I41" s="89">
        <f t="shared" ref="I41:I51" si="20">H41+G41</f>
        <v>3.7</v>
      </c>
      <c r="J41" s="89">
        <f t="shared" ref="J41:J51" si="21">ROUND(G41*E41,2)</f>
        <v>236.87</v>
      </c>
      <c r="K41" s="89">
        <f t="shared" ref="K41:K51" si="22">ROUND(H41*E41,2)</f>
        <v>552.71</v>
      </c>
      <c r="L41" s="89">
        <f t="shared" ref="L41:L51" si="23">K41+J41</f>
        <v>789.58</v>
      </c>
      <c r="M41" s="99">
        <f t="shared" si="17"/>
        <v>7.0403264169171848E-4</v>
      </c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42" customHeight="1">
      <c r="A42" s="80">
        <v>96399</v>
      </c>
      <c r="B42" s="83" t="s">
        <v>151</v>
      </c>
      <c r="C42" s="83" t="s">
        <v>152</v>
      </c>
      <c r="D42" s="87" t="s">
        <v>153</v>
      </c>
      <c r="E42" s="175">
        <f>ROUND(426.8*0.15,4)</f>
        <v>64.02</v>
      </c>
      <c r="F42" s="89">
        <v>123.04</v>
      </c>
      <c r="G42" s="89">
        <f t="shared" si="18"/>
        <v>45.01</v>
      </c>
      <c r="H42" s="89">
        <f t="shared" si="19"/>
        <v>105.03</v>
      </c>
      <c r="I42" s="89">
        <f t="shared" si="20"/>
        <v>150.04</v>
      </c>
      <c r="J42" s="89">
        <f t="shared" si="21"/>
        <v>2881.54</v>
      </c>
      <c r="K42" s="89">
        <f>ROUND(H42*E42,2)</f>
        <v>6724.02</v>
      </c>
      <c r="L42" s="89">
        <f>K42+J42</f>
        <v>9605.5600000000013</v>
      </c>
      <c r="M42" s="99">
        <f t="shared" si="17"/>
        <v>8.5648417914945974E-3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3.5" customHeight="1">
      <c r="A43" s="80">
        <v>95876</v>
      </c>
      <c r="B43" s="83" t="s">
        <v>156</v>
      </c>
      <c r="C43" s="83" t="s">
        <v>157</v>
      </c>
      <c r="D43" s="87" t="s">
        <v>158</v>
      </c>
      <c r="E43" s="175">
        <f>ROUND(E42*1.3*26,2)</f>
        <v>2163.88</v>
      </c>
      <c r="F43" s="89">
        <f>2.47</f>
        <v>2.4700000000000002</v>
      </c>
      <c r="G43" s="89">
        <f t="shared" si="18"/>
        <v>0.9</v>
      </c>
      <c r="H43" s="89">
        <f t="shared" si="19"/>
        <v>2.11</v>
      </c>
      <c r="I43" s="89">
        <f t="shared" si="20"/>
        <v>3.01</v>
      </c>
      <c r="J43" s="89">
        <f t="shared" si="21"/>
        <v>1947.49</v>
      </c>
      <c r="K43" s="89">
        <f t="shared" si="22"/>
        <v>4565.79</v>
      </c>
      <c r="L43" s="89">
        <f t="shared" si="23"/>
        <v>6513.28</v>
      </c>
      <c r="M43" s="99">
        <f t="shared" si="17"/>
        <v>5.8075960947311682E-3</v>
      </c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6" customHeight="1">
      <c r="A44" s="80">
        <v>96396</v>
      </c>
      <c r="B44" s="83" t="s">
        <v>159</v>
      </c>
      <c r="C44" s="83" t="s">
        <v>160</v>
      </c>
      <c r="D44" s="87" t="s">
        <v>161</v>
      </c>
      <c r="E44" s="175">
        <f>51*0.05</f>
        <v>2.5500000000000003</v>
      </c>
      <c r="F44" s="89">
        <v>180.32</v>
      </c>
      <c r="G44" s="89">
        <f t="shared" si="18"/>
        <v>65.97</v>
      </c>
      <c r="H44" s="89">
        <f t="shared" si="19"/>
        <v>153.93</v>
      </c>
      <c r="I44" s="89">
        <f t="shared" si="20"/>
        <v>219.9</v>
      </c>
      <c r="J44" s="89">
        <f t="shared" si="21"/>
        <v>168.22</v>
      </c>
      <c r="K44" s="89">
        <f>ROUND(H44*E44,2)+0.01</f>
        <v>392.53</v>
      </c>
      <c r="L44" s="89">
        <f>K44+J44</f>
        <v>560.75</v>
      </c>
      <c r="M44" s="99">
        <f t="shared" si="17"/>
        <v>4.9999531881333254E-4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50.25" customHeight="1">
      <c r="A45" s="80">
        <v>95876</v>
      </c>
      <c r="B45" s="83" t="s">
        <v>162</v>
      </c>
      <c r="C45" s="83" t="s">
        <v>163</v>
      </c>
      <c r="D45" s="87" t="s">
        <v>164</v>
      </c>
      <c r="E45" s="175">
        <f>ROUND(E44*1.3*26,2)</f>
        <v>86.19</v>
      </c>
      <c r="F45" s="89">
        <f>2.47</f>
        <v>2.4700000000000002</v>
      </c>
      <c r="G45" s="89">
        <f t="shared" si="18"/>
        <v>0.9</v>
      </c>
      <c r="H45" s="89">
        <f t="shared" si="19"/>
        <v>2.11</v>
      </c>
      <c r="I45" s="89">
        <f t="shared" si="20"/>
        <v>3.01</v>
      </c>
      <c r="J45" s="89">
        <f t="shared" si="21"/>
        <v>77.569999999999993</v>
      </c>
      <c r="K45" s="89">
        <f t="shared" si="22"/>
        <v>181.86</v>
      </c>
      <c r="L45" s="89">
        <f t="shared" si="23"/>
        <v>259.43</v>
      </c>
      <c r="M45" s="99">
        <f t="shared" si="17"/>
        <v>2.3132195374006754E-4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45" customHeight="1">
      <c r="A46" s="80">
        <v>94273</v>
      </c>
      <c r="B46" s="83" t="s">
        <v>166</v>
      </c>
      <c r="C46" s="83" t="s">
        <v>167</v>
      </c>
      <c r="D46" s="87" t="s">
        <v>169</v>
      </c>
      <c r="E46" s="175">
        <v>51</v>
      </c>
      <c r="F46" s="89">
        <v>53.35</v>
      </c>
      <c r="G46" s="89">
        <f t="shared" si="18"/>
        <v>19.52</v>
      </c>
      <c r="H46" s="89">
        <f t="shared" si="19"/>
        <v>45.54</v>
      </c>
      <c r="I46" s="89">
        <f t="shared" si="20"/>
        <v>65.06</v>
      </c>
      <c r="J46" s="89">
        <f t="shared" si="21"/>
        <v>995.52</v>
      </c>
      <c r="K46" s="89">
        <f t="shared" si="22"/>
        <v>2322.54</v>
      </c>
      <c r="L46" s="89">
        <f t="shared" si="23"/>
        <v>3318.06</v>
      </c>
      <c r="M46" s="99">
        <f t="shared" si="17"/>
        <v>2.9585634731016785E-3</v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42" customHeight="1">
      <c r="A47" s="80">
        <v>101855</v>
      </c>
      <c r="B47" s="83" t="s">
        <v>170</v>
      </c>
      <c r="C47" s="83" t="s">
        <v>171</v>
      </c>
      <c r="D47" s="87" t="s">
        <v>120</v>
      </c>
      <c r="E47" s="175">
        <v>303.8</v>
      </c>
      <c r="F47" s="89">
        <v>90.3</v>
      </c>
      <c r="G47" s="89">
        <f t="shared" si="18"/>
        <v>33.04</v>
      </c>
      <c r="H47" s="89">
        <f t="shared" si="19"/>
        <v>77.08</v>
      </c>
      <c r="I47" s="89">
        <f t="shared" si="20"/>
        <v>110.12</v>
      </c>
      <c r="J47" s="89">
        <f t="shared" si="21"/>
        <v>10037.549999999999</v>
      </c>
      <c r="K47" s="89">
        <f>ROUND(H47*E47,2)+0.01</f>
        <v>23416.91</v>
      </c>
      <c r="L47" s="89">
        <f t="shared" si="23"/>
        <v>33454.46</v>
      </c>
      <c r="M47" s="99">
        <f t="shared" si="17"/>
        <v>2.98298232606828E-2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56.25" customHeight="1">
      <c r="A48" s="80">
        <v>104626</v>
      </c>
      <c r="B48" s="83" t="s">
        <v>172</v>
      </c>
      <c r="C48" s="83" t="s">
        <v>173</v>
      </c>
      <c r="D48" s="87" t="s">
        <v>174</v>
      </c>
      <c r="E48" s="175">
        <f>ROUND((51+11)*0.05,2)</f>
        <v>3.1</v>
      </c>
      <c r="F48" s="89">
        <v>920.2</v>
      </c>
      <c r="G48" s="89">
        <f t="shared" si="18"/>
        <v>336.66</v>
      </c>
      <c r="H48" s="89">
        <f t="shared" si="19"/>
        <v>785.53</v>
      </c>
      <c r="I48" s="89">
        <f t="shared" si="20"/>
        <v>1122.19</v>
      </c>
      <c r="J48" s="89">
        <f t="shared" si="21"/>
        <v>1043.6500000000001</v>
      </c>
      <c r="K48" s="89">
        <f t="shared" si="22"/>
        <v>2435.14</v>
      </c>
      <c r="L48" s="89">
        <f t="shared" si="23"/>
        <v>3478.79</v>
      </c>
      <c r="M48" s="99">
        <f t="shared" si="17"/>
        <v>3.1018791174937731E-3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2" customHeight="1">
      <c r="A49" s="80">
        <v>104658</v>
      </c>
      <c r="B49" s="83" t="s">
        <v>176</v>
      </c>
      <c r="C49" s="83" t="s">
        <v>177</v>
      </c>
      <c r="D49" s="87" t="s">
        <v>120</v>
      </c>
      <c r="E49" s="175">
        <f>ROUND((214+11-39)*0.25,2)</f>
        <v>46.5</v>
      </c>
      <c r="F49" s="89">
        <v>155.61000000000001</v>
      </c>
      <c r="G49" s="89">
        <f t="shared" si="18"/>
        <v>56.93</v>
      </c>
      <c r="H49" s="89">
        <f t="shared" si="19"/>
        <v>132.84</v>
      </c>
      <c r="I49" s="89">
        <f t="shared" si="20"/>
        <v>189.77</v>
      </c>
      <c r="J49" s="89">
        <f t="shared" si="21"/>
        <v>2647.25</v>
      </c>
      <c r="K49" s="89">
        <f t="shared" si="22"/>
        <v>6177.06</v>
      </c>
      <c r="L49" s="89">
        <f t="shared" si="23"/>
        <v>8824.3100000000013</v>
      </c>
      <c r="M49" s="99">
        <f t="shared" si="17"/>
        <v>7.8682366326485592E-3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2" customHeight="1">
      <c r="A50" s="80">
        <v>104658</v>
      </c>
      <c r="B50" s="83" t="s">
        <v>178</v>
      </c>
      <c r="C50" s="83" t="s">
        <v>179</v>
      </c>
      <c r="D50" s="87" t="s">
        <v>120</v>
      </c>
      <c r="E50" s="175">
        <f>24*0.25</f>
        <v>6</v>
      </c>
      <c r="F50" s="89">
        <v>155.61000000000001</v>
      </c>
      <c r="G50" s="89">
        <f t="shared" si="18"/>
        <v>56.93</v>
      </c>
      <c r="H50" s="89">
        <f t="shared" si="19"/>
        <v>132.84</v>
      </c>
      <c r="I50" s="89">
        <f t="shared" si="20"/>
        <v>189.77</v>
      </c>
      <c r="J50" s="89">
        <f t="shared" si="21"/>
        <v>341.58</v>
      </c>
      <c r="K50" s="89">
        <f t="shared" si="22"/>
        <v>797.04</v>
      </c>
      <c r="L50" s="89">
        <f t="shared" si="23"/>
        <v>1138.6199999999999</v>
      </c>
      <c r="M50" s="99">
        <f t="shared" si="17"/>
        <v>1.0152557644355535E-3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45" customHeight="1">
      <c r="A51" s="80">
        <v>105002</v>
      </c>
      <c r="B51" s="83" t="s">
        <v>181</v>
      </c>
      <c r="C51" s="83" t="s">
        <v>182</v>
      </c>
      <c r="D51" s="87" t="s">
        <v>183</v>
      </c>
      <c r="E51" s="175">
        <v>3</v>
      </c>
      <c r="F51" s="89">
        <v>791.89</v>
      </c>
      <c r="G51" s="89">
        <f t="shared" si="18"/>
        <v>289.70999999999998</v>
      </c>
      <c r="H51" s="89">
        <f t="shared" si="19"/>
        <v>676</v>
      </c>
      <c r="I51" s="89">
        <f t="shared" si="20"/>
        <v>965.71</v>
      </c>
      <c r="J51" s="89">
        <f t="shared" si="21"/>
        <v>869.13</v>
      </c>
      <c r="K51" s="89">
        <f t="shared" si="22"/>
        <v>2028</v>
      </c>
      <c r="L51" s="89">
        <f t="shared" si="23"/>
        <v>2897.13</v>
      </c>
      <c r="M51" s="99">
        <f t="shared" si="17"/>
        <v>2.5832393009249579E-3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>
      <c r="A52" s="117"/>
      <c r="B52" s="118"/>
      <c r="C52" s="118"/>
      <c r="D52" s="119"/>
      <c r="E52" s="176"/>
      <c r="F52" s="121"/>
      <c r="G52" s="121"/>
      <c r="H52" s="121"/>
      <c r="I52" s="121"/>
      <c r="J52" s="121"/>
      <c r="K52" s="121"/>
      <c r="L52" s="121"/>
      <c r="M52" s="12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>
      <c r="A53" s="60"/>
      <c r="B53" s="63">
        <v>6</v>
      </c>
      <c r="C53" s="63" t="s">
        <v>185</v>
      </c>
      <c r="D53" s="63"/>
      <c r="E53" s="174"/>
      <c r="F53" s="63"/>
      <c r="G53" s="63"/>
      <c r="H53" s="63"/>
      <c r="I53" s="63"/>
      <c r="J53" s="63"/>
      <c r="K53" s="63"/>
      <c r="L53" s="67">
        <f>SUM(L54:L66)</f>
        <v>36879.209999999992</v>
      </c>
      <c r="M53" s="77">
        <f t="shared" ref="M53:M66" si="24">L53/$L$161</f>
        <v>3.2883517363412995E-2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1.25" customHeight="1">
      <c r="A54" s="80">
        <v>91283</v>
      </c>
      <c r="B54" s="83" t="s">
        <v>186</v>
      </c>
      <c r="C54" s="83" t="s">
        <v>187</v>
      </c>
      <c r="D54" s="87" t="s">
        <v>91</v>
      </c>
      <c r="E54" s="175">
        <v>8</v>
      </c>
      <c r="F54" s="89">
        <v>10.19</v>
      </c>
      <c r="G54" s="89">
        <f t="shared" ref="G54:G66" si="25">ROUND((F54*(1+$G$13)*0.3),2)</f>
        <v>3.73</v>
      </c>
      <c r="H54" s="89">
        <f t="shared" ref="H54:H66" si="26">ROUND((F54*(1+$G$13)*0.7),2)</f>
        <v>8.6999999999999993</v>
      </c>
      <c r="I54" s="89">
        <f t="shared" ref="I54:I66" si="27">H54+G54</f>
        <v>12.43</v>
      </c>
      <c r="J54" s="89">
        <f t="shared" ref="J54:J66" si="28">ROUND(G54*E54,2)</f>
        <v>29.84</v>
      </c>
      <c r="K54" s="89">
        <f t="shared" ref="K54:K66" si="29">ROUND(H54*E54,2)</f>
        <v>69.599999999999994</v>
      </c>
      <c r="L54" s="89">
        <f t="shared" ref="L54:L66" si="30">K54+J54</f>
        <v>99.44</v>
      </c>
      <c r="M54" s="99">
        <f t="shared" si="24"/>
        <v>8.8666133754432085E-5</v>
      </c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9.75" customHeight="1">
      <c r="A55" s="80">
        <v>91285</v>
      </c>
      <c r="B55" s="83" t="s">
        <v>189</v>
      </c>
      <c r="C55" s="83" t="s">
        <v>190</v>
      </c>
      <c r="D55" s="87" t="s">
        <v>92</v>
      </c>
      <c r="E55" s="175">
        <v>4</v>
      </c>
      <c r="F55" s="89">
        <v>0.56999999999999995</v>
      </c>
      <c r="G55" s="89">
        <f t="shared" si="25"/>
        <v>0.21</v>
      </c>
      <c r="H55" s="89">
        <f t="shared" si="26"/>
        <v>0.49</v>
      </c>
      <c r="I55" s="89">
        <f t="shared" si="27"/>
        <v>0.7</v>
      </c>
      <c r="J55" s="89">
        <f t="shared" si="28"/>
        <v>0.84</v>
      </c>
      <c r="K55" s="89">
        <f t="shared" si="29"/>
        <v>1.96</v>
      </c>
      <c r="L55" s="89">
        <f t="shared" si="30"/>
        <v>2.8</v>
      </c>
      <c r="M55" s="99">
        <f t="shared" si="24"/>
        <v>2.4966328893042014E-6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54" customHeight="1">
      <c r="A56" s="80">
        <v>101245</v>
      </c>
      <c r="B56" s="83" t="s">
        <v>192</v>
      </c>
      <c r="C56" s="83" t="s">
        <v>193</v>
      </c>
      <c r="D56" s="87" t="s">
        <v>194</v>
      </c>
      <c r="E56" s="175">
        <f>ROUND(2.2*2.2*42,2)</f>
        <v>203.28</v>
      </c>
      <c r="F56" s="89">
        <v>18.579999999999998</v>
      </c>
      <c r="G56" s="89">
        <f t="shared" si="25"/>
        <v>6.8</v>
      </c>
      <c r="H56" s="89">
        <f t="shared" si="26"/>
        <v>15.86</v>
      </c>
      <c r="I56" s="89">
        <f t="shared" si="27"/>
        <v>22.66</v>
      </c>
      <c r="J56" s="89">
        <f t="shared" si="28"/>
        <v>1382.3</v>
      </c>
      <c r="K56" s="89">
        <f t="shared" si="29"/>
        <v>3224.02</v>
      </c>
      <c r="L56" s="89">
        <f t="shared" si="30"/>
        <v>4606.32</v>
      </c>
      <c r="M56" s="99">
        <f t="shared" si="24"/>
        <v>4.1072464323784752E-3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80">
        <v>100574</v>
      </c>
      <c r="B57" s="83" t="s">
        <v>196</v>
      </c>
      <c r="C57" s="83" t="s">
        <v>110</v>
      </c>
      <c r="D57" s="87" t="s">
        <v>197</v>
      </c>
      <c r="E57" s="175">
        <f>ROUND((E56)*1.3,2)</f>
        <v>264.26</v>
      </c>
      <c r="F57" s="89">
        <v>1.48</v>
      </c>
      <c r="G57" s="89">
        <f t="shared" si="25"/>
        <v>0.54</v>
      </c>
      <c r="H57" s="89">
        <f t="shared" si="26"/>
        <v>1.26</v>
      </c>
      <c r="I57" s="89">
        <f t="shared" si="27"/>
        <v>1.8</v>
      </c>
      <c r="J57" s="89">
        <f t="shared" si="28"/>
        <v>142.69999999999999</v>
      </c>
      <c r="K57" s="89">
        <f t="shared" si="29"/>
        <v>332.97</v>
      </c>
      <c r="L57" s="89">
        <f t="shared" si="30"/>
        <v>475.67</v>
      </c>
      <c r="M57" s="99">
        <f t="shared" si="24"/>
        <v>4.2413334516261777E-4</v>
      </c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>
      <c r="A58" s="80">
        <v>100576</v>
      </c>
      <c r="B58" s="83" t="s">
        <v>198</v>
      </c>
      <c r="C58" s="83" t="s">
        <v>199</v>
      </c>
      <c r="D58" s="87" t="s">
        <v>120</v>
      </c>
      <c r="E58" s="175">
        <f>42*2.2</f>
        <v>92.4</v>
      </c>
      <c r="F58" s="89">
        <v>3.03</v>
      </c>
      <c r="G58" s="89">
        <f t="shared" si="25"/>
        <v>1.1100000000000001</v>
      </c>
      <c r="H58" s="89">
        <f t="shared" si="26"/>
        <v>2.59</v>
      </c>
      <c r="I58" s="89">
        <f t="shared" si="27"/>
        <v>3.7</v>
      </c>
      <c r="J58" s="89">
        <f t="shared" si="28"/>
        <v>102.56</v>
      </c>
      <c r="K58" s="89">
        <f t="shared" si="29"/>
        <v>239.32</v>
      </c>
      <c r="L58" s="89">
        <f t="shared" si="30"/>
        <v>341.88</v>
      </c>
      <c r="M58" s="99">
        <f t="shared" si="24"/>
        <v>3.0483887578404303E-4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42" customHeight="1">
      <c r="A59" s="80">
        <v>96399</v>
      </c>
      <c r="B59" s="83" t="s">
        <v>200</v>
      </c>
      <c r="C59" s="83" t="s">
        <v>201</v>
      </c>
      <c r="D59" s="87" t="s">
        <v>202</v>
      </c>
      <c r="E59" s="175">
        <f>42*2.2*0.5</f>
        <v>46.2</v>
      </c>
      <c r="F59" s="89">
        <v>123.04</v>
      </c>
      <c r="G59" s="89">
        <f t="shared" si="25"/>
        <v>45.01</v>
      </c>
      <c r="H59" s="89">
        <f t="shared" si="26"/>
        <v>105.03</v>
      </c>
      <c r="I59" s="89">
        <f t="shared" si="27"/>
        <v>150.04</v>
      </c>
      <c r="J59" s="89">
        <f t="shared" si="28"/>
        <v>2079.46</v>
      </c>
      <c r="K59" s="89">
        <f t="shared" si="29"/>
        <v>4852.3900000000003</v>
      </c>
      <c r="L59" s="89">
        <f t="shared" si="30"/>
        <v>6931.85</v>
      </c>
      <c r="M59" s="99">
        <f t="shared" si="24"/>
        <v>6.180815962044047E-3</v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43.5" customHeight="1">
      <c r="A60" s="80">
        <v>95876</v>
      </c>
      <c r="B60" s="83" t="s">
        <v>203</v>
      </c>
      <c r="C60" s="83" t="s">
        <v>204</v>
      </c>
      <c r="D60" s="87" t="s">
        <v>205</v>
      </c>
      <c r="E60" s="175">
        <f>ROUND(E59*1.3*26,2)</f>
        <v>1561.56</v>
      </c>
      <c r="F60" s="89">
        <v>2.4700000000000002</v>
      </c>
      <c r="G60" s="89">
        <f t="shared" si="25"/>
        <v>0.9</v>
      </c>
      <c r="H60" s="89">
        <f t="shared" si="26"/>
        <v>2.11</v>
      </c>
      <c r="I60" s="89">
        <f t="shared" si="27"/>
        <v>3.01</v>
      </c>
      <c r="J60" s="89">
        <f t="shared" si="28"/>
        <v>1405.4</v>
      </c>
      <c r="K60" s="89">
        <f>ROUND(H60*E60,2)+0.01</f>
        <v>3294.9</v>
      </c>
      <c r="L60" s="89">
        <f t="shared" si="30"/>
        <v>4700.3</v>
      </c>
      <c r="M60" s="99">
        <f t="shared" si="24"/>
        <v>4.191044131998764E-3</v>
      </c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7.75" customHeight="1">
      <c r="A61" s="80">
        <v>96396</v>
      </c>
      <c r="B61" s="83" t="s">
        <v>206</v>
      </c>
      <c r="C61" s="83" t="s">
        <v>207</v>
      </c>
      <c r="D61" s="87" t="s">
        <v>208</v>
      </c>
      <c r="E61" s="175">
        <f>ROUND(42*2.2*0.15,2)</f>
        <v>13.86</v>
      </c>
      <c r="F61" s="89">
        <v>180.31</v>
      </c>
      <c r="G61" s="89">
        <f t="shared" si="25"/>
        <v>65.97</v>
      </c>
      <c r="H61" s="89">
        <f t="shared" si="26"/>
        <v>153.91999999999999</v>
      </c>
      <c r="I61" s="89">
        <f t="shared" si="27"/>
        <v>219.89</v>
      </c>
      <c r="J61" s="89">
        <f t="shared" si="28"/>
        <v>914.34</v>
      </c>
      <c r="K61" s="89">
        <f>ROUND(H61*E61,2)+0.01</f>
        <v>2133.34</v>
      </c>
      <c r="L61" s="89">
        <f t="shared" si="30"/>
        <v>3047.6800000000003</v>
      </c>
      <c r="M61" s="99">
        <f t="shared" si="24"/>
        <v>2.717477901455225E-3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40.5" customHeight="1">
      <c r="A62" s="80">
        <v>95876</v>
      </c>
      <c r="B62" s="83" t="s">
        <v>209</v>
      </c>
      <c r="C62" s="83" t="s">
        <v>210</v>
      </c>
      <c r="D62" s="87" t="s">
        <v>211</v>
      </c>
      <c r="E62" s="175">
        <f>ROUND(E61*1.3*26,2)</f>
        <v>468.47</v>
      </c>
      <c r="F62" s="89">
        <f>2.47</f>
        <v>2.4700000000000002</v>
      </c>
      <c r="G62" s="89">
        <f t="shared" si="25"/>
        <v>0.9</v>
      </c>
      <c r="H62" s="89">
        <f t="shared" si="26"/>
        <v>2.11</v>
      </c>
      <c r="I62" s="89">
        <f t="shared" si="27"/>
        <v>3.01</v>
      </c>
      <c r="J62" s="89">
        <f t="shared" si="28"/>
        <v>421.62</v>
      </c>
      <c r="K62" s="89">
        <f>ROUND(H62*E62,2)</f>
        <v>988.47</v>
      </c>
      <c r="L62" s="89">
        <f>K62+J62</f>
        <v>1410.0900000000001</v>
      </c>
      <c r="M62" s="99">
        <f t="shared" si="24"/>
        <v>1.2573132395996293E-3</v>
      </c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7.75" customHeight="1">
      <c r="A63" s="80" t="s">
        <v>22</v>
      </c>
      <c r="B63" s="83" t="s">
        <v>212</v>
      </c>
      <c r="C63" s="83" t="s">
        <v>213</v>
      </c>
      <c r="D63" s="87" t="s">
        <v>120</v>
      </c>
      <c r="E63" s="175">
        <f>42*2.2</f>
        <v>92.4</v>
      </c>
      <c r="F63" s="89">
        <v>12.08</v>
      </c>
      <c r="G63" s="89">
        <f t="shared" si="25"/>
        <v>4.42</v>
      </c>
      <c r="H63" s="89">
        <f t="shared" si="26"/>
        <v>10.31</v>
      </c>
      <c r="I63" s="89">
        <f t="shared" si="27"/>
        <v>14.73</v>
      </c>
      <c r="J63" s="89">
        <f t="shared" si="28"/>
        <v>408.41</v>
      </c>
      <c r="K63" s="89">
        <f t="shared" si="29"/>
        <v>952.64</v>
      </c>
      <c r="L63" s="89">
        <f t="shared" si="30"/>
        <v>1361.05</v>
      </c>
      <c r="M63" s="99">
        <f t="shared" si="24"/>
        <v>1.2135864978526727E-3</v>
      </c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" customHeight="1">
      <c r="A64" s="80" t="s">
        <v>82</v>
      </c>
      <c r="B64" s="83" t="s">
        <v>214</v>
      </c>
      <c r="C64" s="83" t="s">
        <v>215</v>
      </c>
      <c r="D64" s="87" t="s">
        <v>120</v>
      </c>
      <c r="E64" s="175">
        <f>E63</f>
        <v>92.4</v>
      </c>
      <c r="F64" s="89">
        <v>3.12</v>
      </c>
      <c r="G64" s="89">
        <f t="shared" si="25"/>
        <v>1.1399999999999999</v>
      </c>
      <c r="H64" s="89">
        <f t="shared" si="26"/>
        <v>2.66</v>
      </c>
      <c r="I64" s="89">
        <f t="shared" si="27"/>
        <v>3.8</v>
      </c>
      <c r="J64" s="89">
        <f t="shared" si="28"/>
        <v>105.34</v>
      </c>
      <c r="K64" s="89">
        <f t="shared" si="29"/>
        <v>245.78</v>
      </c>
      <c r="L64" s="89">
        <f t="shared" si="30"/>
        <v>351.12</v>
      </c>
      <c r="M64" s="99">
        <f t="shared" si="24"/>
        <v>3.1307776431874689E-4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7.75" customHeight="1">
      <c r="A65" s="80">
        <v>95995</v>
      </c>
      <c r="B65" s="83" t="s">
        <v>216</v>
      </c>
      <c r="C65" s="83" t="s">
        <v>217</v>
      </c>
      <c r="D65" s="87" t="s">
        <v>218</v>
      </c>
      <c r="E65" s="175">
        <f>ROUND(42*2.2*0.05,2)</f>
        <v>4.62</v>
      </c>
      <c r="F65" s="89">
        <v>2341.0100000000002</v>
      </c>
      <c r="G65" s="89">
        <f t="shared" si="25"/>
        <v>856.46</v>
      </c>
      <c r="H65" s="89">
        <f t="shared" si="26"/>
        <v>1998.4</v>
      </c>
      <c r="I65" s="89">
        <f t="shared" si="27"/>
        <v>2854.86</v>
      </c>
      <c r="J65" s="89">
        <f t="shared" si="28"/>
        <v>3956.85</v>
      </c>
      <c r="K65" s="89">
        <f>ROUND(H65*E65,2)-0.01</f>
        <v>9232.6</v>
      </c>
      <c r="L65" s="89">
        <f>K65+J65</f>
        <v>13189.45</v>
      </c>
      <c r="M65" s="99">
        <f t="shared" si="24"/>
        <v>1.1760433807797609E-2</v>
      </c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40.5" customHeight="1">
      <c r="A66" s="80">
        <v>95876</v>
      </c>
      <c r="B66" s="83" t="s">
        <v>219</v>
      </c>
      <c r="C66" s="83" t="s">
        <v>220</v>
      </c>
      <c r="D66" s="87" t="s">
        <v>221</v>
      </c>
      <c r="E66" s="175">
        <f>ROUND(E65*26,2)</f>
        <v>120.12</v>
      </c>
      <c r="F66" s="89">
        <v>2.4700000000000002</v>
      </c>
      <c r="G66" s="89">
        <f t="shared" si="25"/>
        <v>0.9</v>
      </c>
      <c r="H66" s="89">
        <f t="shared" si="26"/>
        <v>2.11</v>
      </c>
      <c r="I66" s="89">
        <f t="shared" si="27"/>
        <v>3.01</v>
      </c>
      <c r="J66" s="89">
        <f t="shared" si="28"/>
        <v>108.11</v>
      </c>
      <c r="K66" s="89">
        <f t="shared" si="29"/>
        <v>253.45</v>
      </c>
      <c r="L66" s="89">
        <f t="shared" si="30"/>
        <v>361.56</v>
      </c>
      <c r="M66" s="99">
        <f t="shared" si="24"/>
        <v>3.2238663837743829E-4</v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>
      <c r="A67" s="117"/>
      <c r="B67" s="118"/>
      <c r="C67" s="118"/>
      <c r="D67" s="119"/>
      <c r="E67" s="176"/>
      <c r="F67" s="121"/>
      <c r="G67" s="121"/>
      <c r="H67" s="121"/>
      <c r="I67" s="121"/>
      <c r="J67" s="121"/>
      <c r="K67" s="121"/>
      <c r="L67" s="121"/>
      <c r="M67" s="12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>
      <c r="A68" s="60"/>
      <c r="B68" s="63">
        <v>7</v>
      </c>
      <c r="C68" s="63" t="s">
        <v>222</v>
      </c>
      <c r="D68" s="63"/>
      <c r="E68" s="174"/>
      <c r="F68" s="63"/>
      <c r="G68" s="63"/>
      <c r="H68" s="63"/>
      <c r="I68" s="63"/>
      <c r="J68" s="63"/>
      <c r="K68" s="63"/>
      <c r="L68" s="67">
        <f>SUM(L69)</f>
        <v>108000</v>
      </c>
      <c r="M68" s="77">
        <f t="shared" ref="M68:M69" si="31">L68/$L$161</f>
        <v>9.6298697158876359E-2</v>
      </c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155" t="s">
        <v>223</v>
      </c>
      <c r="B69" s="83" t="s">
        <v>224</v>
      </c>
      <c r="C69" s="83" t="s">
        <v>225</v>
      </c>
      <c r="D69" s="87" t="s">
        <v>226</v>
      </c>
      <c r="E69" s="175">
        <v>10</v>
      </c>
      <c r="F69" s="89">
        <v>10000</v>
      </c>
      <c r="G69" s="89">
        <f>ROUND((F69*(1+0.08)*0.3),2)</f>
        <v>3240</v>
      </c>
      <c r="H69" s="89">
        <f>ROUND((F69*(1+0.08)*0.7),2)</f>
        <v>7560</v>
      </c>
      <c r="I69" s="89">
        <f>H69+G69</f>
        <v>10800</v>
      </c>
      <c r="J69" s="89">
        <f>ROUND(G69*E69,2)</f>
        <v>32400</v>
      </c>
      <c r="K69" s="89">
        <f>ROUND(H69*E69,2)</f>
        <v>75600</v>
      </c>
      <c r="L69" s="89">
        <f t="shared" ref="L69" si="32">K69+J69</f>
        <v>108000</v>
      </c>
      <c r="M69" s="99">
        <f t="shared" si="31"/>
        <v>9.6298697158876359E-2</v>
      </c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" customHeight="1">
      <c r="A70" s="117"/>
      <c r="B70" s="118"/>
      <c r="C70" s="118"/>
      <c r="D70" s="119"/>
      <c r="E70" s="176"/>
      <c r="F70" s="121"/>
      <c r="G70" s="121"/>
      <c r="H70" s="121"/>
      <c r="I70" s="121"/>
      <c r="J70" s="121"/>
      <c r="K70" s="121"/>
      <c r="L70" s="121"/>
      <c r="M70" s="12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" customHeight="1">
      <c r="A71" s="60"/>
      <c r="B71" s="63">
        <v>8</v>
      </c>
      <c r="C71" s="63" t="s">
        <v>227</v>
      </c>
      <c r="D71" s="63"/>
      <c r="E71" s="174"/>
      <c r="F71" s="63"/>
      <c r="G71" s="63"/>
      <c r="H71" s="63"/>
      <c r="I71" s="63"/>
      <c r="J71" s="63"/>
      <c r="K71" s="63"/>
      <c r="L71" s="67">
        <f>SUM(L72)</f>
        <v>1138.48</v>
      </c>
      <c r="M71" s="77">
        <f t="shared" ref="M71:M72" si="33">L71/$L$161</f>
        <v>1.0151309327910884E-3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80">
        <v>98519</v>
      </c>
      <c r="B72" s="83" t="s">
        <v>228</v>
      </c>
      <c r="C72" s="83" t="s">
        <v>229</v>
      </c>
      <c r="D72" s="87" t="s">
        <v>120</v>
      </c>
      <c r="E72" s="175">
        <v>214</v>
      </c>
      <c r="F72" s="89">
        <v>4.3600000000000003</v>
      </c>
      <c r="G72" s="89">
        <f>ROUND((F72*(1+$G$13)*0.3),2)</f>
        <v>1.6</v>
      </c>
      <c r="H72" s="89">
        <f>ROUND((F72*(1+$G$13)*0.7),2)</f>
        <v>3.72</v>
      </c>
      <c r="I72" s="89">
        <f>H72+G72</f>
        <v>5.32</v>
      </c>
      <c r="J72" s="89">
        <f>ROUND(G72*E72,2)</f>
        <v>342.4</v>
      </c>
      <c r="K72" s="89">
        <f>ROUND(H72*E72,2)</f>
        <v>796.08</v>
      </c>
      <c r="L72" s="89">
        <f t="shared" ref="L72" si="34">K72+J72</f>
        <v>1138.48</v>
      </c>
      <c r="M72" s="99">
        <f t="shared" si="33"/>
        <v>1.0151309327910884E-3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" customHeight="1">
      <c r="A73" s="117"/>
      <c r="B73" s="118"/>
      <c r="C73" s="118"/>
      <c r="D73" s="119"/>
      <c r="E73" s="176"/>
      <c r="F73" s="121"/>
      <c r="G73" s="121"/>
      <c r="H73" s="121"/>
      <c r="I73" s="121"/>
      <c r="J73" s="121"/>
      <c r="K73" s="121"/>
      <c r="L73" s="121"/>
      <c r="M73" s="12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>
      <c r="A74" s="156"/>
      <c r="B74" s="157"/>
      <c r="C74" s="157"/>
      <c r="D74" s="158"/>
      <c r="E74" s="178"/>
      <c r="F74" s="159"/>
      <c r="G74" s="159"/>
      <c r="H74" s="159"/>
      <c r="I74" s="159"/>
      <c r="J74" s="159"/>
      <c r="K74" s="159"/>
      <c r="L74" s="159"/>
      <c r="M74" s="160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3.5" customHeight="1">
      <c r="A75" s="1"/>
      <c r="B75" s="141"/>
      <c r="C75" s="141"/>
      <c r="D75" s="141"/>
      <c r="E75" s="179"/>
      <c r="F75" s="141"/>
      <c r="G75" s="141"/>
      <c r="H75" s="141"/>
      <c r="I75" s="141"/>
      <c r="J75" s="161"/>
      <c r="K75" s="161"/>
      <c r="L75" s="161"/>
      <c r="M75" s="162"/>
    </row>
    <row r="76" spans="1:26" ht="13.5" customHeight="1">
      <c r="A76" s="163"/>
      <c r="B76" s="164"/>
      <c r="C76" s="164" t="s">
        <v>230</v>
      </c>
      <c r="D76" s="164"/>
      <c r="E76" s="180"/>
      <c r="F76" s="164"/>
      <c r="G76" s="164"/>
      <c r="H76" s="164"/>
      <c r="I76" s="165"/>
      <c r="J76" s="165"/>
      <c r="K76" s="165"/>
      <c r="L76" s="165"/>
      <c r="M76" s="165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60"/>
      <c r="B77" s="63">
        <v>9</v>
      </c>
      <c r="C77" s="63" t="s">
        <v>52</v>
      </c>
      <c r="D77" s="63"/>
      <c r="E77" s="174"/>
      <c r="F77" s="63"/>
      <c r="G77" s="63"/>
      <c r="H77" s="63"/>
      <c r="I77" s="63"/>
      <c r="J77" s="63"/>
      <c r="K77" s="63"/>
      <c r="L77" s="67">
        <f>SUM(L78:L80)</f>
        <v>4251.1900000000005</v>
      </c>
      <c r="M77" s="77">
        <f t="shared" ref="M77:M80" si="35">L77/$L$161</f>
        <v>3.790593133100404E-3</v>
      </c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>
      <c r="A78" s="80">
        <v>90781</v>
      </c>
      <c r="B78" s="83" t="s">
        <v>231</v>
      </c>
      <c r="C78" s="83" t="s">
        <v>68</v>
      </c>
      <c r="D78" s="87" t="s">
        <v>69</v>
      </c>
      <c r="E78" s="175">
        <v>7</v>
      </c>
      <c r="F78" s="89">
        <v>47.82</v>
      </c>
      <c r="G78" s="89">
        <f t="shared" ref="G78:G80" si="36">ROUND((F78*(1+$G$13)*0.3),2)</f>
        <v>17.489999999999998</v>
      </c>
      <c r="H78" s="89">
        <f t="shared" ref="H78:H80" si="37">ROUND((F78*(1+$G$13)*0.7),2)</f>
        <v>40.82</v>
      </c>
      <c r="I78" s="89">
        <f t="shared" ref="I78:I80" si="38">H78+G78</f>
        <v>58.31</v>
      </c>
      <c r="J78" s="89">
        <f t="shared" ref="J78:J80" si="39">ROUND(G78*E78,2)</f>
        <v>122.43</v>
      </c>
      <c r="K78" s="89">
        <f t="shared" ref="K78:K80" si="40">ROUND(H78*E78,2)</f>
        <v>285.74</v>
      </c>
      <c r="L78" s="89">
        <f t="shared" ref="L78:L80" si="41">K78+J78</f>
        <v>408.17</v>
      </c>
      <c r="M78" s="99">
        <f t="shared" si="35"/>
        <v>3.6394665943832E-4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3.5" customHeight="1">
      <c r="A79" s="80">
        <v>88253</v>
      </c>
      <c r="B79" s="83" t="s">
        <v>232</v>
      </c>
      <c r="C79" s="83" t="s">
        <v>79</v>
      </c>
      <c r="D79" s="87" t="s">
        <v>69</v>
      </c>
      <c r="E79" s="175">
        <v>7</v>
      </c>
      <c r="F79" s="89">
        <v>24.37</v>
      </c>
      <c r="G79" s="89">
        <f t="shared" si="36"/>
        <v>8.92</v>
      </c>
      <c r="H79" s="89">
        <f t="shared" si="37"/>
        <v>20.8</v>
      </c>
      <c r="I79" s="89">
        <f t="shared" si="38"/>
        <v>29.72</v>
      </c>
      <c r="J79" s="89">
        <f t="shared" si="39"/>
        <v>62.44</v>
      </c>
      <c r="K79" s="89">
        <f t="shared" si="40"/>
        <v>145.6</v>
      </c>
      <c r="L79" s="89">
        <f t="shared" si="41"/>
        <v>208.04</v>
      </c>
      <c r="M79" s="99">
        <f t="shared" si="35"/>
        <v>1.8549982367530219E-4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39.75" customHeight="1">
      <c r="A80" s="80">
        <v>103689</v>
      </c>
      <c r="B80" s="83" t="s">
        <v>233</v>
      </c>
      <c r="C80" s="83" t="s">
        <v>85</v>
      </c>
      <c r="D80" s="87" t="s">
        <v>234</v>
      </c>
      <c r="E80" s="175">
        <f>2*3</f>
        <v>6</v>
      </c>
      <c r="F80" s="89">
        <v>496.79</v>
      </c>
      <c r="G80" s="89">
        <f t="shared" si="36"/>
        <v>181.75</v>
      </c>
      <c r="H80" s="89">
        <f t="shared" si="37"/>
        <v>424.08</v>
      </c>
      <c r="I80" s="89">
        <f t="shared" si="38"/>
        <v>605.82999999999993</v>
      </c>
      <c r="J80" s="89">
        <f t="shared" si="39"/>
        <v>1090.5</v>
      </c>
      <c r="K80" s="89">
        <f t="shared" si="40"/>
        <v>2544.48</v>
      </c>
      <c r="L80" s="89">
        <f t="shared" si="41"/>
        <v>3634.98</v>
      </c>
      <c r="M80" s="99">
        <f t="shared" si="35"/>
        <v>3.2411466499867813E-3</v>
      </c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3.5" customHeight="1">
      <c r="A81" s="117"/>
      <c r="B81" s="118"/>
      <c r="C81" s="118"/>
      <c r="D81" s="119"/>
      <c r="E81" s="176"/>
      <c r="F81" s="121"/>
      <c r="G81" s="121"/>
      <c r="H81" s="121"/>
      <c r="I81" s="121"/>
      <c r="J81" s="121"/>
      <c r="K81" s="121"/>
      <c r="L81" s="121"/>
      <c r="M81" s="12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3.5" customHeight="1">
      <c r="A82" s="60"/>
      <c r="B82" s="124">
        <v>10</v>
      </c>
      <c r="C82" s="124" t="s">
        <v>101</v>
      </c>
      <c r="D82" s="125"/>
      <c r="E82" s="177"/>
      <c r="F82" s="126"/>
      <c r="G82" s="126"/>
      <c r="H82" s="126"/>
      <c r="I82" s="126"/>
      <c r="J82" s="126"/>
      <c r="K82" s="126"/>
      <c r="L82" s="131">
        <f>SUM(L83:L88)</f>
        <v>13325.16</v>
      </c>
      <c r="M82" s="77">
        <f t="shared" ref="M82:M88" si="42">L82/$L$161</f>
        <v>1.1881440254014563E-2</v>
      </c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72.75" customHeight="1">
      <c r="A83" s="80">
        <v>102278</v>
      </c>
      <c r="B83" s="83" t="s">
        <v>235</v>
      </c>
      <c r="C83" s="83" t="s">
        <v>236</v>
      </c>
      <c r="D83" s="87" t="s">
        <v>237</v>
      </c>
      <c r="E83" s="175">
        <v>161.16999999999999</v>
      </c>
      <c r="F83" s="89">
        <v>9.2899999999999991</v>
      </c>
      <c r="G83" s="89">
        <f t="shared" ref="G83:G88" si="43">ROUND((F83*(1+$G$13)*0.3),2)</f>
        <v>3.4</v>
      </c>
      <c r="H83" s="89">
        <f t="shared" ref="H83:H88" si="44">ROUND((F83*(1+$G$13)*0.7),2)</f>
        <v>7.93</v>
      </c>
      <c r="I83" s="89">
        <f t="shared" ref="I83:I88" si="45">H83+G83</f>
        <v>11.33</v>
      </c>
      <c r="J83" s="89">
        <f t="shared" ref="J83:J88" si="46">ROUND(G83*E83,2)</f>
        <v>547.98</v>
      </c>
      <c r="K83" s="89">
        <f t="shared" ref="K83:K88" si="47">ROUND(H83*E83,2)</f>
        <v>1278.08</v>
      </c>
      <c r="L83" s="89">
        <f t="shared" ref="L83:L88" si="48">K83+J83</f>
        <v>1826.06</v>
      </c>
      <c r="M83" s="99">
        <f t="shared" si="42"/>
        <v>1.6282148049438681E-3</v>
      </c>
      <c r="N83" s="2"/>
      <c r="O83" s="2"/>
      <c r="P83" s="2"/>
      <c r="Q83" s="2"/>
      <c r="R83" s="3"/>
      <c r="S83" s="2"/>
      <c r="T83" s="2"/>
      <c r="U83" s="2"/>
      <c r="V83" s="2"/>
      <c r="W83" s="2"/>
      <c r="X83" s="2"/>
      <c r="Y83" s="2"/>
      <c r="Z83" s="2"/>
    </row>
    <row r="84" spans="1:26" ht="63.75" customHeight="1">
      <c r="A84" s="80">
        <v>102312</v>
      </c>
      <c r="B84" s="83" t="s">
        <v>238</v>
      </c>
      <c r="C84" s="83" t="s">
        <v>239</v>
      </c>
      <c r="D84" s="87" t="s">
        <v>240</v>
      </c>
      <c r="E84" s="175">
        <v>94.5</v>
      </c>
      <c r="F84" s="89">
        <v>11.17</v>
      </c>
      <c r="G84" s="89">
        <f t="shared" si="43"/>
        <v>4.09</v>
      </c>
      <c r="H84" s="89">
        <f t="shared" si="44"/>
        <v>9.5399999999999991</v>
      </c>
      <c r="I84" s="89">
        <f t="shared" si="45"/>
        <v>13.629999999999999</v>
      </c>
      <c r="J84" s="89">
        <f t="shared" si="46"/>
        <v>386.51</v>
      </c>
      <c r="K84" s="89">
        <f t="shared" si="47"/>
        <v>901.53</v>
      </c>
      <c r="L84" s="89">
        <f t="shared" si="48"/>
        <v>1288.04</v>
      </c>
      <c r="M84" s="99">
        <f t="shared" si="42"/>
        <v>1.1484867952640657E-3</v>
      </c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54.75" customHeight="1">
      <c r="A85" s="80">
        <v>102355</v>
      </c>
      <c r="B85" s="83" t="s">
        <v>241</v>
      </c>
      <c r="C85" s="83" t="s">
        <v>242</v>
      </c>
      <c r="D85" s="87" t="s">
        <v>243</v>
      </c>
      <c r="E85" s="175">
        <v>15.11</v>
      </c>
      <c r="F85" s="89">
        <v>203.74</v>
      </c>
      <c r="G85" s="89">
        <f t="shared" si="43"/>
        <v>74.540000000000006</v>
      </c>
      <c r="H85" s="89">
        <f t="shared" si="44"/>
        <v>173.92</v>
      </c>
      <c r="I85" s="89">
        <f t="shared" si="45"/>
        <v>248.45999999999998</v>
      </c>
      <c r="J85" s="89">
        <f t="shared" si="46"/>
        <v>1126.3</v>
      </c>
      <c r="K85" s="89">
        <f t="shared" si="47"/>
        <v>2627.93</v>
      </c>
      <c r="L85" s="89">
        <f t="shared" si="48"/>
        <v>3754.2299999999996</v>
      </c>
      <c r="M85" s="99">
        <f t="shared" si="42"/>
        <v>3.3474764614330401E-3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40.5" customHeight="1">
      <c r="A86" s="136" t="s">
        <v>244</v>
      </c>
      <c r="B86" s="83" t="s">
        <v>245</v>
      </c>
      <c r="C86" s="83" t="s">
        <v>246</v>
      </c>
      <c r="D86" s="87" t="s">
        <v>99</v>
      </c>
      <c r="E86" s="175">
        <v>25.18</v>
      </c>
      <c r="F86" s="89">
        <v>22.16</v>
      </c>
      <c r="G86" s="89">
        <f t="shared" si="43"/>
        <v>8.11</v>
      </c>
      <c r="H86" s="89">
        <f t="shared" si="44"/>
        <v>18.920000000000002</v>
      </c>
      <c r="I86" s="89">
        <f t="shared" si="45"/>
        <v>27.03</v>
      </c>
      <c r="J86" s="89">
        <f t="shared" si="46"/>
        <v>204.21</v>
      </c>
      <c r="K86" s="89">
        <f t="shared" si="47"/>
        <v>476.41</v>
      </c>
      <c r="L86" s="89">
        <f t="shared" si="48"/>
        <v>680.62</v>
      </c>
      <c r="M86" s="99">
        <f t="shared" si="42"/>
        <v>6.0687795611365203E-4</v>
      </c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>
      <c r="A87" s="80">
        <v>100574</v>
      </c>
      <c r="B87" s="83" t="s">
        <v>247</v>
      </c>
      <c r="C87" s="83" t="s">
        <v>110</v>
      </c>
      <c r="D87" s="87" t="s">
        <v>248</v>
      </c>
      <c r="E87" s="175">
        <f>ROUND(E83+E84+E85+E86,2)</f>
        <v>295.95999999999998</v>
      </c>
      <c r="F87" s="89">
        <v>1.48</v>
      </c>
      <c r="G87" s="89">
        <f t="shared" si="43"/>
        <v>0.54</v>
      </c>
      <c r="H87" s="89">
        <f t="shared" si="44"/>
        <v>1.26</v>
      </c>
      <c r="I87" s="89">
        <f t="shared" si="45"/>
        <v>1.8</v>
      </c>
      <c r="J87" s="89">
        <f t="shared" si="46"/>
        <v>159.82</v>
      </c>
      <c r="K87" s="89">
        <f>ROUND(H87*E87,2)</f>
        <v>372.91</v>
      </c>
      <c r="L87" s="89">
        <f>K87+J87</f>
        <v>532.73</v>
      </c>
      <c r="M87" s="99">
        <f t="shared" si="42"/>
        <v>4.7501115682822408E-4</v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7" customHeight="1">
      <c r="A88" s="80">
        <v>104740</v>
      </c>
      <c r="B88" s="83" t="s">
        <v>249</v>
      </c>
      <c r="C88" s="83" t="s">
        <v>250</v>
      </c>
      <c r="D88" s="87" t="s">
        <v>251</v>
      </c>
      <c r="E88" s="175">
        <v>138.46</v>
      </c>
      <c r="F88" s="89">
        <v>31.05</v>
      </c>
      <c r="G88" s="89">
        <f t="shared" si="43"/>
        <v>11.36</v>
      </c>
      <c r="H88" s="89">
        <f t="shared" si="44"/>
        <v>26.51</v>
      </c>
      <c r="I88" s="89">
        <f t="shared" si="45"/>
        <v>37.870000000000005</v>
      </c>
      <c r="J88" s="89">
        <f t="shared" si="46"/>
        <v>1572.91</v>
      </c>
      <c r="K88" s="89">
        <f t="shared" si="47"/>
        <v>3670.57</v>
      </c>
      <c r="L88" s="89">
        <f t="shared" si="48"/>
        <v>5243.4800000000005</v>
      </c>
      <c r="M88" s="99">
        <f t="shared" si="42"/>
        <v>4.675373079431713E-3</v>
      </c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3.5" customHeight="1">
      <c r="A89" s="117"/>
      <c r="B89" s="118"/>
      <c r="C89" s="118"/>
      <c r="D89" s="119"/>
      <c r="E89" s="176"/>
      <c r="F89" s="121"/>
      <c r="G89" s="121"/>
      <c r="H89" s="121"/>
      <c r="I89" s="121"/>
      <c r="J89" s="121"/>
      <c r="K89" s="121"/>
      <c r="L89" s="121"/>
      <c r="M89" s="12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3.5" customHeight="1">
      <c r="A90" s="60"/>
      <c r="B90" s="63">
        <v>11</v>
      </c>
      <c r="C90" s="63" t="s">
        <v>121</v>
      </c>
      <c r="D90" s="63"/>
      <c r="E90" s="174"/>
      <c r="F90" s="63"/>
      <c r="G90" s="63"/>
      <c r="H90" s="63"/>
      <c r="I90" s="63"/>
      <c r="J90" s="63"/>
      <c r="K90" s="63"/>
      <c r="L90" s="67">
        <f>SUM(L91:L93)</f>
        <v>179069.5</v>
      </c>
      <c r="M90" s="77">
        <f t="shared" ref="M90:M93" si="49">L90/$L$161</f>
        <v>0.15966814398973528</v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59.25" customHeight="1">
      <c r="A91" s="136">
        <v>104491</v>
      </c>
      <c r="B91" s="83" t="s">
        <v>252</v>
      </c>
      <c r="C91" s="83" t="s">
        <v>253</v>
      </c>
      <c r="D91" s="87" t="s">
        <v>135</v>
      </c>
      <c r="E91" s="175">
        <v>28</v>
      </c>
      <c r="F91" s="89">
        <v>4754.17</v>
      </c>
      <c r="G91" s="89">
        <f t="shared" ref="G91:G93" si="50">ROUND((F91*(1+$G$13)*0.3),2)</f>
        <v>1739.31</v>
      </c>
      <c r="H91" s="89">
        <f t="shared" ref="H91:H92" si="51">ROUND((F91*(1+$G$13)*0.7),2)</f>
        <v>4058.4</v>
      </c>
      <c r="I91" s="89">
        <f t="shared" ref="I91:I93" si="52">H91+G91</f>
        <v>5797.71</v>
      </c>
      <c r="J91" s="89">
        <f t="shared" ref="J91:J93" si="53">ROUND(G91*E91,2)</f>
        <v>48700.68</v>
      </c>
      <c r="K91" s="89">
        <f t="shared" ref="K91:K93" si="54">ROUND(H91*E91,2)</f>
        <v>113635.2</v>
      </c>
      <c r="L91" s="89">
        <f t="shared" ref="L91:L93" si="55">K91+J91</f>
        <v>162335.88</v>
      </c>
      <c r="M91" s="99">
        <f t="shared" si="49"/>
        <v>0.14474753468647863</v>
      </c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2.25" customHeight="1">
      <c r="A92" s="136" t="s">
        <v>254</v>
      </c>
      <c r="B92" s="83" t="s">
        <v>255</v>
      </c>
      <c r="C92" s="83" t="s">
        <v>256</v>
      </c>
      <c r="D92" s="87" t="s">
        <v>135</v>
      </c>
      <c r="E92" s="175">
        <v>10</v>
      </c>
      <c r="F92" s="89">
        <v>11.72</v>
      </c>
      <c r="G92" s="89">
        <f t="shared" si="50"/>
        <v>4.29</v>
      </c>
      <c r="H92" s="89">
        <f t="shared" si="51"/>
        <v>10</v>
      </c>
      <c r="I92" s="89">
        <f t="shared" si="52"/>
        <v>14.29</v>
      </c>
      <c r="J92" s="89">
        <f t="shared" si="53"/>
        <v>42.9</v>
      </c>
      <c r="K92" s="89">
        <f t="shared" si="54"/>
        <v>100</v>
      </c>
      <c r="L92" s="89">
        <f t="shared" si="55"/>
        <v>142.9</v>
      </c>
      <c r="M92" s="99">
        <f t="shared" si="49"/>
        <v>1.2741744281484659E-4</v>
      </c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46.5" customHeight="1">
      <c r="A93" s="136" t="s">
        <v>257</v>
      </c>
      <c r="B93" s="83" t="s">
        <v>258</v>
      </c>
      <c r="C93" s="83" t="s">
        <v>259</v>
      </c>
      <c r="D93" s="87" t="s">
        <v>135</v>
      </c>
      <c r="E93" s="175">
        <v>2</v>
      </c>
      <c r="F93" s="89">
        <f>1192.88*7.2*1.8*0.44</f>
        <v>6802.2789120000007</v>
      </c>
      <c r="G93" s="89">
        <f t="shared" si="50"/>
        <v>2488.61</v>
      </c>
      <c r="H93" s="89">
        <f>ROUND((F93*(1+$G$13)*0.7),2)-0.02</f>
        <v>5806.75</v>
      </c>
      <c r="I93" s="89">
        <f t="shared" si="52"/>
        <v>8295.36</v>
      </c>
      <c r="J93" s="89">
        <f t="shared" si="53"/>
        <v>4977.22</v>
      </c>
      <c r="K93" s="89">
        <f t="shared" si="54"/>
        <v>11613.5</v>
      </c>
      <c r="L93" s="89">
        <f t="shared" si="55"/>
        <v>16590.72</v>
      </c>
      <c r="M93" s="99">
        <f t="shared" si="49"/>
        <v>1.479319186044179E-2</v>
      </c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3.5" customHeight="1">
      <c r="A94" s="117"/>
      <c r="B94" s="118"/>
      <c r="C94" s="118"/>
      <c r="D94" s="119"/>
      <c r="E94" s="176"/>
      <c r="F94" s="121"/>
      <c r="G94" s="121"/>
      <c r="H94" s="121"/>
      <c r="I94" s="121"/>
      <c r="J94" s="121"/>
      <c r="K94" s="121"/>
      <c r="L94" s="121"/>
      <c r="M94" s="12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3.5" customHeight="1">
      <c r="A95" s="60"/>
      <c r="B95" s="63">
        <v>12</v>
      </c>
      <c r="C95" s="63" t="s">
        <v>185</v>
      </c>
      <c r="D95" s="63"/>
      <c r="E95" s="174"/>
      <c r="F95" s="63"/>
      <c r="G95" s="63"/>
      <c r="H95" s="63"/>
      <c r="I95" s="63"/>
      <c r="J95" s="63"/>
      <c r="K95" s="63"/>
      <c r="L95" s="67">
        <f>SUM(L96:L106)</f>
        <v>30575</v>
      </c>
      <c r="M95" s="77">
        <f t="shared" ref="M95:M106" si="56">L95/$L$161</f>
        <v>2.7262339496598561E-2</v>
      </c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40.5" customHeight="1">
      <c r="A96" s="80">
        <v>91283</v>
      </c>
      <c r="B96" s="83" t="s">
        <v>260</v>
      </c>
      <c r="C96" s="83" t="s">
        <v>187</v>
      </c>
      <c r="D96" s="87" t="s">
        <v>91</v>
      </c>
      <c r="E96" s="175">
        <f>8*2</f>
        <v>16</v>
      </c>
      <c r="F96" s="89">
        <v>10.19</v>
      </c>
      <c r="G96" s="89">
        <f t="shared" ref="G96:G106" si="57">ROUND((F96*(1+$G$13)*0.3),2)</f>
        <v>3.73</v>
      </c>
      <c r="H96" s="89">
        <f t="shared" ref="H96:H106" si="58">ROUND((F96*(1+$G$13)*0.7),2)</f>
        <v>8.6999999999999993</v>
      </c>
      <c r="I96" s="89">
        <f t="shared" ref="I96:I106" si="59">H96+G96</f>
        <v>12.43</v>
      </c>
      <c r="J96" s="89">
        <f t="shared" ref="J96:J106" si="60">ROUND(G96*E96,2)</f>
        <v>59.68</v>
      </c>
      <c r="K96" s="89">
        <f t="shared" ref="K96:K106" si="61">ROUND(H96*E96,2)</f>
        <v>139.19999999999999</v>
      </c>
      <c r="L96" s="89">
        <f t="shared" ref="L96:L106" si="62">K96+J96</f>
        <v>198.88</v>
      </c>
      <c r="M96" s="99">
        <f t="shared" si="56"/>
        <v>1.7733226750886417E-4</v>
      </c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39" customHeight="1">
      <c r="A97" s="80">
        <v>91285</v>
      </c>
      <c r="B97" s="83" t="s">
        <v>261</v>
      </c>
      <c r="C97" s="83" t="s">
        <v>190</v>
      </c>
      <c r="D97" s="87" t="s">
        <v>191</v>
      </c>
      <c r="E97" s="175">
        <f>4*2</f>
        <v>8</v>
      </c>
      <c r="F97" s="89">
        <v>0.56999999999999995</v>
      </c>
      <c r="G97" s="89">
        <f t="shared" si="57"/>
        <v>0.21</v>
      </c>
      <c r="H97" s="89">
        <f t="shared" si="58"/>
        <v>0.49</v>
      </c>
      <c r="I97" s="89">
        <f t="shared" si="59"/>
        <v>0.7</v>
      </c>
      <c r="J97" s="89">
        <f t="shared" si="60"/>
        <v>1.68</v>
      </c>
      <c r="K97" s="89">
        <f t="shared" si="61"/>
        <v>3.92</v>
      </c>
      <c r="L97" s="89">
        <f t="shared" si="62"/>
        <v>5.6</v>
      </c>
      <c r="M97" s="99">
        <f t="shared" si="56"/>
        <v>4.9932657786084029E-6</v>
      </c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1" customHeight="1">
      <c r="A98" s="80">
        <v>100576</v>
      </c>
      <c r="B98" s="83" t="s">
        <v>262</v>
      </c>
      <c r="C98" s="83" t="s">
        <v>263</v>
      </c>
      <c r="D98" s="87" t="s">
        <v>120</v>
      </c>
      <c r="E98" s="175">
        <v>131.69999999999999</v>
      </c>
      <c r="F98" s="89">
        <v>3.03</v>
      </c>
      <c r="G98" s="89">
        <f t="shared" si="57"/>
        <v>1.1100000000000001</v>
      </c>
      <c r="H98" s="89">
        <f t="shared" si="58"/>
        <v>2.59</v>
      </c>
      <c r="I98" s="89">
        <f t="shared" si="59"/>
        <v>3.7</v>
      </c>
      <c r="J98" s="89">
        <f t="shared" si="60"/>
        <v>146.19</v>
      </c>
      <c r="K98" s="89">
        <f t="shared" si="61"/>
        <v>341.1</v>
      </c>
      <c r="L98" s="89">
        <f t="shared" si="62"/>
        <v>487.29</v>
      </c>
      <c r="M98" s="99">
        <f t="shared" si="56"/>
        <v>4.3449437165323017E-4</v>
      </c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43.5" customHeight="1">
      <c r="A99" s="80">
        <v>96399</v>
      </c>
      <c r="B99" s="83" t="s">
        <v>264</v>
      </c>
      <c r="C99" s="83" t="s">
        <v>265</v>
      </c>
      <c r="D99" s="87" t="s">
        <v>266</v>
      </c>
      <c r="E99" s="175">
        <f>ROUND(128.22*0.17,2)</f>
        <v>21.8</v>
      </c>
      <c r="F99" s="89">
        <v>123.04</v>
      </c>
      <c r="G99" s="89">
        <f t="shared" si="57"/>
        <v>45.01</v>
      </c>
      <c r="H99" s="89">
        <f t="shared" si="58"/>
        <v>105.03</v>
      </c>
      <c r="I99" s="89">
        <f t="shared" si="59"/>
        <v>150.04</v>
      </c>
      <c r="J99" s="89">
        <f t="shared" si="60"/>
        <v>981.22</v>
      </c>
      <c r="K99" s="89">
        <f t="shared" si="61"/>
        <v>2289.65</v>
      </c>
      <c r="L99" s="89">
        <f t="shared" si="62"/>
        <v>3270.87</v>
      </c>
      <c r="M99" s="99">
        <f t="shared" si="56"/>
        <v>2.9164862923708695E-3</v>
      </c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45" customHeight="1">
      <c r="A100" s="80">
        <v>95876</v>
      </c>
      <c r="B100" s="83" t="s">
        <v>267</v>
      </c>
      <c r="C100" s="83" t="s">
        <v>268</v>
      </c>
      <c r="D100" s="87" t="s">
        <v>269</v>
      </c>
      <c r="E100" s="175">
        <f>ROUND((E99*1.3*26),2)</f>
        <v>736.84</v>
      </c>
      <c r="F100" s="89">
        <v>2.4700000000000002</v>
      </c>
      <c r="G100" s="89">
        <f t="shared" si="57"/>
        <v>0.9</v>
      </c>
      <c r="H100" s="89">
        <f t="shared" si="58"/>
        <v>2.11</v>
      </c>
      <c r="I100" s="89">
        <f t="shared" si="59"/>
        <v>3.01</v>
      </c>
      <c r="J100" s="89">
        <f t="shared" si="60"/>
        <v>663.16</v>
      </c>
      <c r="K100" s="89">
        <f>ROUND(H100*E100,2)</f>
        <v>1554.73</v>
      </c>
      <c r="L100" s="89">
        <f>K100+J100</f>
        <v>2217.89</v>
      </c>
      <c r="M100" s="99">
        <f t="shared" si="56"/>
        <v>1.9775918281638915E-3</v>
      </c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2.25" customHeight="1">
      <c r="A101" s="80">
        <v>96396</v>
      </c>
      <c r="B101" s="83" t="s">
        <v>270</v>
      </c>
      <c r="C101" s="166" t="s">
        <v>271</v>
      </c>
      <c r="D101" s="87" t="s">
        <v>272</v>
      </c>
      <c r="E101" s="175">
        <f>ROUND(0.15*121.47,2)</f>
        <v>18.22</v>
      </c>
      <c r="F101" s="89">
        <v>180.32</v>
      </c>
      <c r="G101" s="89">
        <f t="shared" si="57"/>
        <v>65.97</v>
      </c>
      <c r="H101" s="89">
        <f t="shared" si="58"/>
        <v>153.93</v>
      </c>
      <c r="I101" s="89">
        <f t="shared" si="59"/>
        <v>219.9</v>
      </c>
      <c r="J101" s="89">
        <f t="shared" si="60"/>
        <v>1201.97</v>
      </c>
      <c r="K101" s="89">
        <f>ROUND(H101*E101,2)+0.01</f>
        <v>2804.61</v>
      </c>
      <c r="L101" s="89">
        <f t="shared" si="62"/>
        <v>4006.58</v>
      </c>
      <c r="M101" s="99">
        <f t="shared" si="56"/>
        <v>3.5724855005815816E-3</v>
      </c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42" customHeight="1">
      <c r="A102" s="80">
        <v>95876</v>
      </c>
      <c r="B102" s="167" t="s">
        <v>273</v>
      </c>
      <c r="C102" s="83" t="s">
        <v>274</v>
      </c>
      <c r="D102" s="87" t="s">
        <v>275</v>
      </c>
      <c r="E102" s="175">
        <f>ROUND(E101*1.3*26,2)</f>
        <v>615.84</v>
      </c>
      <c r="F102" s="89">
        <v>2.4700000000000002</v>
      </c>
      <c r="G102" s="89">
        <f t="shared" si="57"/>
        <v>0.9</v>
      </c>
      <c r="H102" s="89">
        <f t="shared" si="58"/>
        <v>2.11</v>
      </c>
      <c r="I102" s="89">
        <f t="shared" si="59"/>
        <v>3.01</v>
      </c>
      <c r="J102" s="89">
        <f t="shared" si="60"/>
        <v>554.26</v>
      </c>
      <c r="K102" s="89">
        <f t="shared" si="61"/>
        <v>1299.42</v>
      </c>
      <c r="L102" s="89">
        <f t="shared" si="62"/>
        <v>1853.68</v>
      </c>
      <c r="M102" s="99">
        <f t="shared" si="56"/>
        <v>1.6528423050876475E-3</v>
      </c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33.75" customHeight="1">
      <c r="A103" s="80" t="s">
        <v>22</v>
      </c>
      <c r="B103" s="167" t="s">
        <v>276</v>
      </c>
      <c r="C103" s="83" t="s">
        <v>213</v>
      </c>
      <c r="D103" s="87" t="s">
        <v>120</v>
      </c>
      <c r="E103" s="175">
        <v>118.55</v>
      </c>
      <c r="F103" s="89">
        <v>12.08</v>
      </c>
      <c r="G103" s="89">
        <f t="shared" si="57"/>
        <v>4.42</v>
      </c>
      <c r="H103" s="89">
        <f t="shared" si="58"/>
        <v>10.31</v>
      </c>
      <c r="I103" s="89">
        <f t="shared" si="59"/>
        <v>14.73</v>
      </c>
      <c r="J103" s="89">
        <f t="shared" si="60"/>
        <v>523.99</v>
      </c>
      <c r="K103" s="89">
        <f t="shared" si="61"/>
        <v>1222.25</v>
      </c>
      <c r="L103" s="89">
        <f t="shared" si="62"/>
        <v>1746.24</v>
      </c>
      <c r="M103" s="99">
        <f t="shared" si="56"/>
        <v>1.5570429345066318E-3</v>
      </c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8" customHeight="1">
      <c r="A104" s="80" t="s">
        <v>82</v>
      </c>
      <c r="B104" s="167" t="s">
        <v>277</v>
      </c>
      <c r="C104" s="83" t="s">
        <v>83</v>
      </c>
      <c r="D104" s="87" t="s">
        <v>120</v>
      </c>
      <c r="E104" s="175">
        <f>E103</f>
        <v>118.55</v>
      </c>
      <c r="F104" s="89">
        <v>3.12</v>
      </c>
      <c r="G104" s="89">
        <f t="shared" si="57"/>
        <v>1.1399999999999999</v>
      </c>
      <c r="H104" s="89">
        <f t="shared" si="58"/>
        <v>2.66</v>
      </c>
      <c r="I104" s="89">
        <f t="shared" si="59"/>
        <v>3.8</v>
      </c>
      <c r="J104" s="89">
        <f t="shared" si="60"/>
        <v>135.15</v>
      </c>
      <c r="K104" s="89">
        <f t="shared" si="61"/>
        <v>315.33999999999997</v>
      </c>
      <c r="L104" s="89">
        <f t="shared" si="62"/>
        <v>450.49</v>
      </c>
      <c r="M104" s="99">
        <f t="shared" si="56"/>
        <v>4.016814822509464E-4</v>
      </c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0.75" customHeight="1">
      <c r="A105" s="80">
        <v>95995</v>
      </c>
      <c r="B105" s="167" t="s">
        <v>278</v>
      </c>
      <c r="C105" s="83" t="s">
        <v>279</v>
      </c>
      <c r="D105" s="87" t="s">
        <v>280</v>
      </c>
      <c r="E105" s="175">
        <f>ROUND(111.32*0.05,2)</f>
        <v>5.57</v>
      </c>
      <c r="F105" s="89">
        <v>2341.0100000000002</v>
      </c>
      <c r="G105" s="89">
        <f t="shared" si="57"/>
        <v>856.46</v>
      </c>
      <c r="H105" s="89">
        <f t="shared" si="58"/>
        <v>1998.4</v>
      </c>
      <c r="I105" s="89">
        <f t="shared" si="59"/>
        <v>2854.86</v>
      </c>
      <c r="J105" s="89">
        <f t="shared" si="60"/>
        <v>4770.4799999999996</v>
      </c>
      <c r="K105" s="89">
        <f>ROUND(H105*E105,2)</f>
        <v>11131.09</v>
      </c>
      <c r="L105" s="89">
        <f>K105+J105</f>
        <v>15901.57</v>
      </c>
      <c r="M105" s="99">
        <f t="shared" si="56"/>
        <v>1.4178708090561791E-2</v>
      </c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43.5" customHeight="1">
      <c r="A106" s="80">
        <v>95876</v>
      </c>
      <c r="B106" s="167" t="s">
        <v>281</v>
      </c>
      <c r="C106" s="83" t="s">
        <v>282</v>
      </c>
      <c r="D106" s="87" t="s">
        <v>283</v>
      </c>
      <c r="E106" s="175">
        <f>ROUND(E105*26,2)</f>
        <v>144.82</v>
      </c>
      <c r="F106" s="89">
        <v>2.4700000000000002</v>
      </c>
      <c r="G106" s="89">
        <f t="shared" si="57"/>
        <v>0.9</v>
      </c>
      <c r="H106" s="89">
        <f t="shared" si="58"/>
        <v>2.11</v>
      </c>
      <c r="I106" s="89">
        <f t="shared" si="59"/>
        <v>3.01</v>
      </c>
      <c r="J106" s="89">
        <f t="shared" si="60"/>
        <v>130.34</v>
      </c>
      <c r="K106" s="89">
        <f t="shared" si="61"/>
        <v>305.57</v>
      </c>
      <c r="L106" s="89">
        <f t="shared" si="62"/>
        <v>435.90999999999997</v>
      </c>
      <c r="M106" s="99">
        <f t="shared" si="56"/>
        <v>3.8868115813449805E-4</v>
      </c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3.5" customHeight="1">
      <c r="A107" s="117"/>
      <c r="B107" s="118"/>
      <c r="C107" s="118"/>
      <c r="D107" s="119"/>
      <c r="E107" s="176"/>
      <c r="F107" s="121"/>
      <c r="G107" s="121"/>
      <c r="H107" s="121"/>
      <c r="I107" s="121"/>
      <c r="J107" s="121"/>
      <c r="K107" s="121"/>
      <c r="L107" s="121"/>
      <c r="M107" s="12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3.5" customHeight="1">
      <c r="A108" s="60"/>
      <c r="B108" s="63">
        <v>13</v>
      </c>
      <c r="C108" s="63" t="s">
        <v>227</v>
      </c>
      <c r="D108" s="63"/>
      <c r="E108" s="174"/>
      <c r="F108" s="63"/>
      <c r="G108" s="63"/>
      <c r="H108" s="63"/>
      <c r="I108" s="63"/>
      <c r="J108" s="63"/>
      <c r="K108" s="63"/>
      <c r="L108" s="67">
        <f>SUM(L109)</f>
        <v>521.36</v>
      </c>
      <c r="M108" s="77">
        <f t="shared" ref="M108:M109" si="63">L108/$L$161</f>
        <v>4.6487304398844237E-4</v>
      </c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.5" customHeight="1">
      <c r="A109" s="80">
        <v>98519</v>
      </c>
      <c r="B109" s="83" t="s">
        <v>284</v>
      </c>
      <c r="C109" s="83" t="s">
        <v>229</v>
      </c>
      <c r="D109" s="87" t="s">
        <v>120</v>
      </c>
      <c r="E109" s="175">
        <v>98</v>
      </c>
      <c r="F109" s="89">
        <v>4.3600000000000003</v>
      </c>
      <c r="G109" s="89">
        <f t="shared" ref="G109" si="64">ROUND((F109*(1+$G$13)*0.3),2)</f>
        <v>1.6</v>
      </c>
      <c r="H109" s="89">
        <f t="shared" ref="H109" si="65">ROUND((F109*(1+$G$13)*0.7),2)</f>
        <v>3.72</v>
      </c>
      <c r="I109" s="89">
        <f t="shared" ref="I109" si="66">H109+G109</f>
        <v>5.32</v>
      </c>
      <c r="J109" s="89">
        <f t="shared" ref="J109" si="67">ROUND(G109*E109,2)</f>
        <v>156.80000000000001</v>
      </c>
      <c r="K109" s="89">
        <f t="shared" ref="K109" si="68">ROUND(H109*E109,2)</f>
        <v>364.56</v>
      </c>
      <c r="L109" s="89">
        <f t="shared" ref="L109" si="69">K109+J109</f>
        <v>521.36</v>
      </c>
      <c r="M109" s="99">
        <f t="shared" si="63"/>
        <v>4.6487304398844237E-4</v>
      </c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3.5" customHeight="1">
      <c r="A110" s="117"/>
      <c r="B110" s="118"/>
      <c r="C110" s="118"/>
      <c r="D110" s="119"/>
      <c r="E110" s="176"/>
      <c r="F110" s="121"/>
      <c r="G110" s="121"/>
      <c r="H110" s="121"/>
      <c r="I110" s="121"/>
      <c r="J110" s="121"/>
      <c r="K110" s="121"/>
      <c r="L110" s="121"/>
      <c r="M110" s="12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3.5" customHeight="1">
      <c r="A111" s="156"/>
      <c r="B111" s="157"/>
      <c r="C111" s="157"/>
      <c r="D111" s="158"/>
      <c r="E111" s="178"/>
      <c r="F111" s="159"/>
      <c r="G111" s="159"/>
      <c r="H111" s="159"/>
      <c r="I111" s="159"/>
      <c r="J111" s="159"/>
      <c r="K111" s="159"/>
      <c r="L111" s="159"/>
      <c r="M111" s="160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3.5" customHeight="1">
      <c r="A112" s="1"/>
      <c r="B112" s="141"/>
      <c r="C112" s="141"/>
      <c r="D112" s="141"/>
      <c r="E112" s="179"/>
      <c r="F112" s="141"/>
      <c r="G112" s="141"/>
      <c r="H112" s="141"/>
      <c r="I112" s="141"/>
      <c r="J112" s="161"/>
      <c r="K112" s="161"/>
      <c r="L112" s="161"/>
      <c r="M112" s="168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3.5" customHeight="1">
      <c r="A113" s="163"/>
      <c r="B113" s="164"/>
      <c r="C113" s="164" t="s">
        <v>165</v>
      </c>
      <c r="D113" s="164"/>
      <c r="E113" s="180"/>
      <c r="F113" s="164"/>
      <c r="G113" s="164"/>
      <c r="H113" s="164"/>
      <c r="I113" s="165"/>
      <c r="J113" s="165"/>
      <c r="K113" s="165"/>
      <c r="L113" s="165"/>
      <c r="M113" s="165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" customHeight="1">
      <c r="A114" s="60"/>
      <c r="B114" s="63">
        <v>14</v>
      </c>
      <c r="C114" s="63" t="s">
        <v>52</v>
      </c>
      <c r="D114" s="63"/>
      <c r="E114" s="174"/>
      <c r="F114" s="63"/>
      <c r="G114" s="63"/>
      <c r="H114" s="63"/>
      <c r="I114" s="63"/>
      <c r="J114" s="63"/>
      <c r="K114" s="63"/>
      <c r="L114" s="67">
        <f>SUM(L115:L118)</f>
        <v>4777.9400000000005</v>
      </c>
      <c r="M114" s="77">
        <f t="shared" ref="M114:M118" si="70">L114/$L$161</f>
        <v>4.2602721954007571E-3</v>
      </c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" customHeight="1">
      <c r="A115" s="80">
        <v>90781</v>
      </c>
      <c r="B115" s="83" t="s">
        <v>285</v>
      </c>
      <c r="C115" s="83" t="s">
        <v>68</v>
      </c>
      <c r="D115" s="87" t="s">
        <v>69</v>
      </c>
      <c r="E115" s="175">
        <v>7</v>
      </c>
      <c r="F115" s="89">
        <v>47.82</v>
      </c>
      <c r="G115" s="89">
        <f t="shared" ref="G115:G118" si="71">ROUND((F115*(1+$G$13)*0.3),2)</f>
        <v>17.489999999999998</v>
      </c>
      <c r="H115" s="89">
        <f t="shared" ref="H115:H118" si="72">ROUND((F115*(1+$G$13)*0.7),2)</f>
        <v>40.82</v>
      </c>
      <c r="I115" s="89">
        <f t="shared" ref="I115:I118" si="73">H115+G115</f>
        <v>58.31</v>
      </c>
      <c r="J115" s="89">
        <f t="shared" ref="J115:J118" si="74">ROUND(G115*E115,2)</f>
        <v>122.43</v>
      </c>
      <c r="K115" s="89">
        <f t="shared" ref="K115:K117" si="75">ROUND(H115*E115,2)</f>
        <v>285.74</v>
      </c>
      <c r="L115" s="89">
        <f t="shared" ref="L115:L117" si="76">K115+J115</f>
        <v>408.17</v>
      </c>
      <c r="M115" s="99">
        <f t="shared" si="70"/>
        <v>3.6394665943832E-4</v>
      </c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" customHeight="1">
      <c r="A116" s="80">
        <v>88253</v>
      </c>
      <c r="B116" s="83" t="s">
        <v>286</v>
      </c>
      <c r="C116" s="83" t="s">
        <v>79</v>
      </c>
      <c r="D116" s="87" t="s">
        <v>69</v>
      </c>
      <c r="E116" s="175">
        <v>7</v>
      </c>
      <c r="F116" s="89">
        <v>24.37</v>
      </c>
      <c r="G116" s="89">
        <f t="shared" si="71"/>
        <v>8.92</v>
      </c>
      <c r="H116" s="89">
        <f t="shared" si="72"/>
        <v>20.8</v>
      </c>
      <c r="I116" s="89">
        <f t="shared" si="73"/>
        <v>29.72</v>
      </c>
      <c r="J116" s="89">
        <f t="shared" si="74"/>
        <v>62.44</v>
      </c>
      <c r="K116" s="89">
        <f t="shared" si="75"/>
        <v>145.6</v>
      </c>
      <c r="L116" s="89">
        <f t="shared" si="76"/>
        <v>208.04</v>
      </c>
      <c r="M116" s="99">
        <f t="shared" si="70"/>
        <v>1.8549982367530219E-4</v>
      </c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41.25" customHeight="1">
      <c r="A117" s="80">
        <v>103689</v>
      </c>
      <c r="B117" s="83" t="s">
        <v>287</v>
      </c>
      <c r="C117" s="83" t="s">
        <v>85</v>
      </c>
      <c r="D117" s="87" t="s">
        <v>288</v>
      </c>
      <c r="E117" s="175">
        <f>2*3</f>
        <v>6</v>
      </c>
      <c r="F117" s="89">
        <v>496.79</v>
      </c>
      <c r="G117" s="89">
        <f t="shared" si="71"/>
        <v>181.75</v>
      </c>
      <c r="H117" s="89">
        <f t="shared" si="72"/>
        <v>424.08</v>
      </c>
      <c r="I117" s="89">
        <f t="shared" si="73"/>
        <v>605.82999999999993</v>
      </c>
      <c r="J117" s="89">
        <f t="shared" si="74"/>
        <v>1090.5</v>
      </c>
      <c r="K117" s="89">
        <f t="shared" si="75"/>
        <v>2544.48</v>
      </c>
      <c r="L117" s="89">
        <f t="shared" si="76"/>
        <v>3634.98</v>
      </c>
      <c r="M117" s="99">
        <f t="shared" si="70"/>
        <v>3.2411466499867813E-3</v>
      </c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36.75" customHeight="1">
      <c r="A118" s="80">
        <v>98525</v>
      </c>
      <c r="B118" s="83" t="s">
        <v>289</v>
      </c>
      <c r="C118" s="83" t="s">
        <v>290</v>
      </c>
      <c r="D118" s="87" t="s">
        <v>291</v>
      </c>
      <c r="E118" s="175">
        <f>245*2.5</f>
        <v>612.5</v>
      </c>
      <c r="F118" s="89">
        <v>0.7</v>
      </c>
      <c r="G118" s="89">
        <f t="shared" si="71"/>
        <v>0.26</v>
      </c>
      <c r="H118" s="89">
        <f t="shared" si="72"/>
        <v>0.6</v>
      </c>
      <c r="I118" s="89">
        <f t="shared" si="73"/>
        <v>0.86</v>
      </c>
      <c r="J118" s="89">
        <f t="shared" si="74"/>
        <v>159.25</v>
      </c>
      <c r="K118" s="89">
        <f>ROUND(H118*E118,2)</f>
        <v>367.5</v>
      </c>
      <c r="L118" s="89">
        <f>K118+J118</f>
        <v>526.75</v>
      </c>
      <c r="M118" s="99">
        <f t="shared" si="70"/>
        <v>4.6967906230035295E-4</v>
      </c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" customHeight="1">
      <c r="A119" s="117"/>
      <c r="B119" s="118"/>
      <c r="C119" s="118"/>
      <c r="D119" s="119"/>
      <c r="E119" s="176"/>
      <c r="F119" s="121"/>
      <c r="G119" s="121"/>
      <c r="H119" s="121"/>
      <c r="I119" s="121"/>
      <c r="J119" s="121"/>
      <c r="K119" s="121"/>
      <c r="L119" s="121"/>
      <c r="M119" s="12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60"/>
      <c r="B120" s="124">
        <v>15</v>
      </c>
      <c r="C120" s="124" t="s">
        <v>101</v>
      </c>
      <c r="D120" s="125"/>
      <c r="E120" s="177"/>
      <c r="F120" s="126"/>
      <c r="G120" s="126"/>
      <c r="H120" s="126"/>
      <c r="I120" s="126"/>
      <c r="J120" s="126"/>
      <c r="K120" s="126"/>
      <c r="L120" s="131">
        <f>SUM(L121:L123)</f>
        <v>53695.42</v>
      </c>
      <c r="M120" s="77">
        <f t="shared" ref="M120:M123" si="77">L120/$L$161</f>
        <v>4.7877768420358076E-2</v>
      </c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" customHeight="1">
      <c r="A121" s="80">
        <v>101245</v>
      </c>
      <c r="B121" s="83" t="s">
        <v>292</v>
      </c>
      <c r="C121" s="83" t="s">
        <v>293</v>
      </c>
      <c r="D121" s="87" t="s">
        <v>294</v>
      </c>
      <c r="E121" s="175">
        <v>977.4</v>
      </c>
      <c r="F121" s="89">
        <v>18.579999999999998</v>
      </c>
      <c r="G121" s="89">
        <f t="shared" ref="G121:G123" si="78">ROUND((F121*(1+$G$13)*0.3),2)</f>
        <v>6.8</v>
      </c>
      <c r="H121" s="89">
        <f t="shared" ref="H121:H123" si="79">ROUND((F121*(1+$G$13)*0.7),2)</f>
        <v>15.86</v>
      </c>
      <c r="I121" s="89">
        <f t="shared" ref="I121:I123" si="80">H121+G121</f>
        <v>22.66</v>
      </c>
      <c r="J121" s="89">
        <f t="shared" ref="J121:J123" si="81">ROUND(G121*E121,2)</f>
        <v>6646.32</v>
      </c>
      <c r="K121" s="89">
        <f>ROUND(H121*E121,2)</f>
        <v>15501.56</v>
      </c>
      <c r="L121" s="89">
        <f>K121+J121</f>
        <v>22147.879999999997</v>
      </c>
      <c r="M121" s="99">
        <f t="shared" si="77"/>
        <v>1.9748259155843835E-2</v>
      </c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" customHeight="1">
      <c r="A122" s="80">
        <v>100574</v>
      </c>
      <c r="B122" s="83" t="s">
        <v>295</v>
      </c>
      <c r="C122" s="83" t="s">
        <v>110</v>
      </c>
      <c r="D122" s="87" t="s">
        <v>296</v>
      </c>
      <c r="E122" s="175">
        <f>ROUND((E121)*1.3,2)</f>
        <v>1270.6199999999999</v>
      </c>
      <c r="F122" s="89">
        <v>1.48</v>
      </c>
      <c r="G122" s="89">
        <f t="shared" si="78"/>
        <v>0.54</v>
      </c>
      <c r="H122" s="89">
        <f t="shared" si="79"/>
        <v>1.26</v>
      </c>
      <c r="I122" s="89">
        <f t="shared" si="80"/>
        <v>1.8</v>
      </c>
      <c r="J122" s="89">
        <f t="shared" si="81"/>
        <v>686.13</v>
      </c>
      <c r="K122" s="89">
        <f>ROUND(H122*E122,2)+0.01</f>
        <v>1600.99</v>
      </c>
      <c r="L122" s="89">
        <f t="shared" ref="L122:L123" si="82">K122+J122</f>
        <v>2287.12</v>
      </c>
      <c r="M122" s="99">
        <f t="shared" si="77"/>
        <v>2.0393210763519375E-3</v>
      </c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" customHeight="1">
      <c r="A123" s="80">
        <v>93382</v>
      </c>
      <c r="B123" s="83" t="s">
        <v>297</v>
      </c>
      <c r="C123" s="83" t="s">
        <v>114</v>
      </c>
      <c r="D123" s="87" t="s">
        <v>298</v>
      </c>
      <c r="E123" s="175">
        <v>774.7</v>
      </c>
      <c r="F123" s="89">
        <v>30.97</v>
      </c>
      <c r="G123" s="89">
        <f t="shared" si="78"/>
        <v>11.33</v>
      </c>
      <c r="H123" s="89">
        <f t="shared" si="79"/>
        <v>26.44</v>
      </c>
      <c r="I123" s="89">
        <f t="shared" si="80"/>
        <v>37.770000000000003</v>
      </c>
      <c r="J123" s="89">
        <f t="shared" si="81"/>
        <v>8777.35</v>
      </c>
      <c r="K123" s="89">
        <f t="shared" ref="K123" si="83">ROUND(H123*E123,2)</f>
        <v>20483.07</v>
      </c>
      <c r="L123" s="89">
        <f t="shared" si="82"/>
        <v>29260.42</v>
      </c>
      <c r="M123" s="99">
        <f t="shared" si="77"/>
        <v>2.6090188188162302E-2</v>
      </c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" customHeight="1">
      <c r="A124" s="117"/>
      <c r="B124" s="118"/>
      <c r="C124" s="118"/>
      <c r="D124" s="119"/>
      <c r="E124" s="176"/>
      <c r="F124" s="121"/>
      <c r="G124" s="121"/>
      <c r="H124" s="121"/>
      <c r="I124" s="121"/>
      <c r="J124" s="121"/>
      <c r="K124" s="121"/>
      <c r="L124" s="121"/>
      <c r="M124" s="12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" customHeight="1">
      <c r="A125" s="60"/>
      <c r="B125" s="63">
        <v>16</v>
      </c>
      <c r="C125" s="63" t="s">
        <v>121</v>
      </c>
      <c r="D125" s="63"/>
      <c r="E125" s="174"/>
      <c r="F125" s="63"/>
      <c r="G125" s="63"/>
      <c r="H125" s="63"/>
      <c r="I125" s="63"/>
      <c r="J125" s="63"/>
      <c r="K125" s="63"/>
      <c r="L125" s="67">
        <f>SUM(L126:L130)</f>
        <v>236237.91999999995</v>
      </c>
      <c r="M125" s="77">
        <f t="shared" ref="M125:M130" si="84">L125/$L$161</f>
        <v>0.21064262884743384</v>
      </c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7.75" customHeight="1">
      <c r="A126" s="136" t="s">
        <v>129</v>
      </c>
      <c r="B126" s="83" t="s">
        <v>299</v>
      </c>
      <c r="C126" s="83" t="s">
        <v>131</v>
      </c>
      <c r="D126" s="87" t="s">
        <v>126</v>
      </c>
      <c r="E126" s="175">
        <v>245</v>
      </c>
      <c r="F126" s="89">
        <v>649.12</v>
      </c>
      <c r="G126" s="89">
        <f t="shared" ref="G126:G130" si="85">ROUND((F126*(1+$G$13)*0.3),2)</f>
        <v>237.48</v>
      </c>
      <c r="H126" s="89">
        <f t="shared" ref="H126:H130" si="86">ROUND((F126*(1+$G$13)*0.7),2)</f>
        <v>554.12</v>
      </c>
      <c r="I126" s="89">
        <f t="shared" ref="I126:I130" si="87">H126+G126</f>
        <v>791.6</v>
      </c>
      <c r="J126" s="89">
        <f t="shared" ref="J126:J130" si="88">ROUND(G126*E126,2)</f>
        <v>58182.6</v>
      </c>
      <c r="K126" s="89">
        <f t="shared" ref="K126:K130" si="89">ROUND(H126*E126,2)</f>
        <v>135759.4</v>
      </c>
      <c r="L126" s="89">
        <f t="shared" ref="L126:L130" si="90">K126+J126</f>
        <v>193942</v>
      </c>
      <c r="M126" s="99">
        <f t="shared" si="84"/>
        <v>0.17292927707765554</v>
      </c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57" customHeight="1">
      <c r="A127" s="80" t="s">
        <v>132</v>
      </c>
      <c r="B127" s="83" t="s">
        <v>300</v>
      </c>
      <c r="C127" s="83" t="s">
        <v>134</v>
      </c>
      <c r="D127" s="87" t="s">
        <v>135</v>
      </c>
      <c r="E127" s="175">
        <v>8</v>
      </c>
      <c r="F127" s="89">
        <v>1717.75</v>
      </c>
      <c r="G127" s="89">
        <f t="shared" si="85"/>
        <v>628.44000000000005</v>
      </c>
      <c r="H127" s="89">
        <f t="shared" si="86"/>
        <v>1466.36</v>
      </c>
      <c r="I127" s="89">
        <f t="shared" si="87"/>
        <v>2094.8000000000002</v>
      </c>
      <c r="J127" s="89">
        <f t="shared" si="88"/>
        <v>5027.5200000000004</v>
      </c>
      <c r="K127" s="89">
        <f t="shared" si="89"/>
        <v>11730.88</v>
      </c>
      <c r="L127" s="89">
        <f t="shared" si="90"/>
        <v>16758.400000000001</v>
      </c>
      <c r="M127" s="99">
        <f t="shared" si="84"/>
        <v>1.4942704504326979E-2</v>
      </c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6.75" customHeight="1">
      <c r="A128" s="80">
        <v>97953</v>
      </c>
      <c r="B128" s="83" t="s">
        <v>301</v>
      </c>
      <c r="C128" s="83" t="s">
        <v>353</v>
      </c>
      <c r="D128" s="87" t="s">
        <v>135</v>
      </c>
      <c r="E128" s="175">
        <v>8</v>
      </c>
      <c r="F128" s="89">
        <v>1673.09</v>
      </c>
      <c r="G128" s="89">
        <f t="shared" si="85"/>
        <v>612.1</v>
      </c>
      <c r="H128" s="89">
        <f t="shared" si="86"/>
        <v>1428.23</v>
      </c>
      <c r="I128" s="89">
        <f t="shared" si="87"/>
        <v>2040.33</v>
      </c>
      <c r="J128" s="89">
        <f t="shared" si="88"/>
        <v>4896.8</v>
      </c>
      <c r="K128" s="89">
        <f t="shared" si="89"/>
        <v>11425.84</v>
      </c>
      <c r="L128" s="89">
        <f t="shared" si="90"/>
        <v>16322.64</v>
      </c>
      <c r="M128" s="99">
        <f t="shared" si="84"/>
        <v>1.4554157094382977E-2</v>
      </c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6.25" customHeight="1">
      <c r="A129" s="80" t="s">
        <v>140</v>
      </c>
      <c r="B129" s="83" t="s">
        <v>302</v>
      </c>
      <c r="C129" s="83" t="s">
        <v>142</v>
      </c>
      <c r="D129" s="87" t="s">
        <v>135</v>
      </c>
      <c r="E129" s="175">
        <v>8</v>
      </c>
      <c r="F129" s="89">
        <v>674.61</v>
      </c>
      <c r="G129" s="89">
        <f t="shared" si="85"/>
        <v>246.81</v>
      </c>
      <c r="H129" s="89">
        <f t="shared" si="86"/>
        <v>575.88</v>
      </c>
      <c r="I129" s="89">
        <f t="shared" si="87"/>
        <v>822.69</v>
      </c>
      <c r="J129" s="89">
        <f t="shared" si="88"/>
        <v>1974.48</v>
      </c>
      <c r="K129" s="89">
        <f t="shared" si="89"/>
        <v>4607.04</v>
      </c>
      <c r="L129" s="89">
        <f t="shared" si="90"/>
        <v>6581.52</v>
      </c>
      <c r="M129" s="99">
        <f t="shared" si="84"/>
        <v>5.8684426048619251E-3</v>
      </c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9.25" customHeight="1">
      <c r="A130" s="80">
        <v>92851</v>
      </c>
      <c r="B130" s="83" t="s">
        <v>303</v>
      </c>
      <c r="C130" s="83" t="s">
        <v>144</v>
      </c>
      <c r="D130" s="87" t="s">
        <v>145</v>
      </c>
      <c r="E130" s="175">
        <v>8</v>
      </c>
      <c r="F130" s="89">
        <v>269.92</v>
      </c>
      <c r="G130" s="89">
        <f t="shared" si="85"/>
        <v>98.75</v>
      </c>
      <c r="H130" s="89">
        <f t="shared" si="86"/>
        <v>230.42</v>
      </c>
      <c r="I130" s="89">
        <f t="shared" si="87"/>
        <v>329.16999999999996</v>
      </c>
      <c r="J130" s="89">
        <f t="shared" si="88"/>
        <v>790</v>
      </c>
      <c r="K130" s="89">
        <f t="shared" si="89"/>
        <v>1843.36</v>
      </c>
      <c r="L130" s="89">
        <f t="shared" si="90"/>
        <v>2633.3599999999997</v>
      </c>
      <c r="M130" s="99">
        <f t="shared" si="84"/>
        <v>2.3480475662064687E-3</v>
      </c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1" customHeight="1">
      <c r="A131" s="117"/>
      <c r="B131" s="118"/>
      <c r="C131" s="118"/>
      <c r="D131" s="119"/>
      <c r="E131" s="176"/>
      <c r="F131" s="121"/>
      <c r="G131" s="121"/>
      <c r="H131" s="121"/>
      <c r="I131" s="121"/>
      <c r="J131" s="121"/>
      <c r="K131" s="121"/>
      <c r="L131" s="121"/>
      <c r="M131" s="12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1" customHeight="1">
      <c r="A132" s="60"/>
      <c r="B132" s="63">
        <v>17</v>
      </c>
      <c r="C132" s="63" t="s">
        <v>147</v>
      </c>
      <c r="D132" s="63"/>
      <c r="E132" s="174"/>
      <c r="F132" s="63"/>
      <c r="G132" s="63"/>
      <c r="H132" s="63"/>
      <c r="I132" s="63"/>
      <c r="J132" s="63"/>
      <c r="K132" s="63"/>
      <c r="L132" s="67">
        <f>SUM(L133:L142)</f>
        <v>99124.08</v>
      </c>
      <c r="M132" s="77">
        <f t="shared" ref="M132:M142" si="91">L132/$L$161</f>
        <v>8.8384442232150306E-2</v>
      </c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9.25" customHeight="1">
      <c r="A133" s="80">
        <v>100576</v>
      </c>
      <c r="B133" s="83" t="s">
        <v>304</v>
      </c>
      <c r="C133" s="83" t="s">
        <v>149</v>
      </c>
      <c r="D133" s="87" t="s">
        <v>120</v>
      </c>
      <c r="E133" s="175">
        <f>ROUND(612.5*0.5,2)</f>
        <v>306.25</v>
      </c>
      <c r="F133" s="89">
        <v>3.03</v>
      </c>
      <c r="G133" s="89">
        <f t="shared" ref="G133:G142" si="92">ROUND((F133*(1+$G$13)*0.3),2)</f>
        <v>1.1100000000000001</v>
      </c>
      <c r="H133" s="89">
        <f t="shared" ref="H133:H142" si="93">ROUND((F133*(1+$G$13)*0.7),2)</f>
        <v>2.59</v>
      </c>
      <c r="I133" s="89">
        <f t="shared" ref="I133:I142" si="94">H133+G133</f>
        <v>3.7</v>
      </c>
      <c r="J133" s="89">
        <f t="shared" ref="J133:J142" si="95">ROUND(G133*E133,2)</f>
        <v>339.94</v>
      </c>
      <c r="K133" s="89">
        <f t="shared" ref="K133:K142" si="96">ROUND(H133*E133,2)</f>
        <v>793.19</v>
      </c>
      <c r="L133" s="89">
        <f t="shared" ref="L133:L142" si="97">K133+J133</f>
        <v>1133.1300000000001</v>
      </c>
      <c r="M133" s="99">
        <f t="shared" si="91"/>
        <v>1.0103605806633109E-3</v>
      </c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>
      <c r="A134" s="80">
        <v>96399</v>
      </c>
      <c r="B134" s="83" t="s">
        <v>305</v>
      </c>
      <c r="C134" s="83" t="s">
        <v>152</v>
      </c>
      <c r="D134" s="87" t="s">
        <v>306</v>
      </c>
      <c r="E134" s="175">
        <f>ROUND(612.5*0.15,2)</f>
        <v>91.88</v>
      </c>
      <c r="F134" s="89">
        <v>123.04</v>
      </c>
      <c r="G134" s="89">
        <f t="shared" si="92"/>
        <v>45.01</v>
      </c>
      <c r="H134" s="89">
        <f t="shared" si="93"/>
        <v>105.03</v>
      </c>
      <c r="I134" s="89">
        <f t="shared" si="94"/>
        <v>150.04</v>
      </c>
      <c r="J134" s="89">
        <f t="shared" si="95"/>
        <v>4135.5200000000004</v>
      </c>
      <c r="K134" s="89">
        <f t="shared" si="96"/>
        <v>9650.16</v>
      </c>
      <c r="L134" s="89">
        <f t="shared" si="97"/>
        <v>13785.68</v>
      </c>
      <c r="M134" s="99">
        <f t="shared" si="91"/>
        <v>1.2292065031936838E-2</v>
      </c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7" customHeight="1">
      <c r="A135" s="80">
        <v>95876</v>
      </c>
      <c r="B135" s="83" t="s">
        <v>307</v>
      </c>
      <c r="C135" s="83" t="s">
        <v>308</v>
      </c>
      <c r="D135" s="87" t="s">
        <v>309</v>
      </c>
      <c r="E135" s="175">
        <f>ROUND(E134*1.3*26,2)</f>
        <v>3105.54</v>
      </c>
      <c r="F135" s="89">
        <f>2.47</f>
        <v>2.4700000000000002</v>
      </c>
      <c r="G135" s="89">
        <f t="shared" si="92"/>
        <v>0.9</v>
      </c>
      <c r="H135" s="89">
        <f t="shared" si="93"/>
        <v>2.11</v>
      </c>
      <c r="I135" s="89">
        <f t="shared" si="94"/>
        <v>3.01</v>
      </c>
      <c r="J135" s="89">
        <f t="shared" si="95"/>
        <v>2794.99</v>
      </c>
      <c r="K135" s="89">
        <f t="shared" si="96"/>
        <v>6552.69</v>
      </c>
      <c r="L135" s="89">
        <f t="shared" si="97"/>
        <v>9347.68</v>
      </c>
      <c r="M135" s="99">
        <f t="shared" si="91"/>
        <v>8.3349019023896791E-3</v>
      </c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33.75" customHeight="1">
      <c r="A136" s="80">
        <v>96396</v>
      </c>
      <c r="B136" s="83" t="s">
        <v>310</v>
      </c>
      <c r="C136" s="83" t="s">
        <v>311</v>
      </c>
      <c r="D136" s="87" t="s">
        <v>312</v>
      </c>
      <c r="E136" s="175">
        <f>ROUND(612.5*0.05,2)</f>
        <v>30.63</v>
      </c>
      <c r="F136" s="89">
        <v>180.32</v>
      </c>
      <c r="G136" s="89">
        <f t="shared" si="92"/>
        <v>65.97</v>
      </c>
      <c r="H136" s="89">
        <f t="shared" si="93"/>
        <v>153.93</v>
      </c>
      <c r="I136" s="89">
        <f t="shared" si="94"/>
        <v>219.9</v>
      </c>
      <c r="J136" s="89">
        <f t="shared" si="95"/>
        <v>2020.66</v>
      </c>
      <c r="K136" s="89">
        <f t="shared" si="96"/>
        <v>4714.88</v>
      </c>
      <c r="L136" s="89">
        <f t="shared" si="97"/>
        <v>6735.54</v>
      </c>
      <c r="M136" s="99">
        <f t="shared" si="91"/>
        <v>6.0057752468657228E-3</v>
      </c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43.5" customHeight="1">
      <c r="A137" s="80">
        <v>95876</v>
      </c>
      <c r="B137" s="83" t="s">
        <v>313</v>
      </c>
      <c r="C137" s="83" t="s">
        <v>314</v>
      </c>
      <c r="D137" s="87" t="s">
        <v>315</v>
      </c>
      <c r="E137" s="175">
        <f>ROUND(E136*1.3*26,2)</f>
        <v>1035.29</v>
      </c>
      <c r="F137" s="89">
        <f>2.47</f>
        <v>2.4700000000000002</v>
      </c>
      <c r="G137" s="89">
        <f t="shared" si="92"/>
        <v>0.9</v>
      </c>
      <c r="H137" s="89">
        <f t="shared" si="93"/>
        <v>2.11</v>
      </c>
      <c r="I137" s="89">
        <f t="shared" si="94"/>
        <v>3.01</v>
      </c>
      <c r="J137" s="89">
        <f t="shared" si="95"/>
        <v>931.76</v>
      </c>
      <c r="K137" s="89">
        <f t="shared" si="96"/>
        <v>2184.46</v>
      </c>
      <c r="L137" s="89">
        <f t="shared" si="97"/>
        <v>3116.2200000000003</v>
      </c>
      <c r="M137" s="99">
        <f t="shared" si="91"/>
        <v>2.7785919079669789E-3</v>
      </c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7.75" customHeight="1">
      <c r="A138" s="80">
        <v>94273</v>
      </c>
      <c r="B138" s="83" t="s">
        <v>316</v>
      </c>
      <c r="C138" s="83" t="s">
        <v>167</v>
      </c>
      <c r="D138" s="87" t="s">
        <v>169</v>
      </c>
      <c r="E138" s="175">
        <v>245</v>
      </c>
      <c r="F138" s="89">
        <v>53.35</v>
      </c>
      <c r="G138" s="89">
        <f t="shared" si="92"/>
        <v>19.52</v>
      </c>
      <c r="H138" s="89">
        <f t="shared" si="93"/>
        <v>45.54</v>
      </c>
      <c r="I138" s="89">
        <f t="shared" si="94"/>
        <v>65.06</v>
      </c>
      <c r="J138" s="89">
        <f t="shared" si="95"/>
        <v>4782.3999999999996</v>
      </c>
      <c r="K138" s="89">
        <f t="shared" si="96"/>
        <v>11157.3</v>
      </c>
      <c r="L138" s="89">
        <f t="shared" si="97"/>
        <v>15939.699999999999</v>
      </c>
      <c r="M138" s="99">
        <f t="shared" si="91"/>
        <v>1.4212706880586493E-2</v>
      </c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58.5" customHeight="1">
      <c r="A139" s="80">
        <v>104626</v>
      </c>
      <c r="B139" s="83" t="s">
        <v>317</v>
      </c>
      <c r="C139" s="83" t="s">
        <v>173</v>
      </c>
      <c r="D139" s="87" t="s">
        <v>318</v>
      </c>
      <c r="E139" s="175">
        <f>ROUND(612.5*0.05,2)</f>
        <v>30.63</v>
      </c>
      <c r="F139" s="89">
        <v>920.2</v>
      </c>
      <c r="G139" s="89">
        <f t="shared" si="92"/>
        <v>336.66</v>
      </c>
      <c r="H139" s="89">
        <f t="shared" si="93"/>
        <v>785.53</v>
      </c>
      <c r="I139" s="89">
        <f t="shared" si="94"/>
        <v>1122.19</v>
      </c>
      <c r="J139" s="89">
        <f t="shared" si="95"/>
        <v>10311.9</v>
      </c>
      <c r="K139" s="89">
        <f t="shared" si="96"/>
        <v>24060.78</v>
      </c>
      <c r="L139" s="89">
        <f t="shared" si="97"/>
        <v>34372.68</v>
      </c>
      <c r="M139" s="99">
        <f t="shared" si="91"/>
        <v>3.0648558350545984E-2</v>
      </c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45" customHeight="1">
      <c r="A140" s="80">
        <v>104658</v>
      </c>
      <c r="B140" s="83" t="s">
        <v>319</v>
      </c>
      <c r="C140" s="83" t="s">
        <v>177</v>
      </c>
      <c r="D140" s="87" t="s">
        <v>120</v>
      </c>
      <c r="E140" s="175">
        <f>ROUND((245)*0.25,2)</f>
        <v>61.25</v>
      </c>
      <c r="F140" s="89">
        <v>155.61000000000001</v>
      </c>
      <c r="G140" s="89">
        <f t="shared" si="92"/>
        <v>56.93</v>
      </c>
      <c r="H140" s="89">
        <f t="shared" si="93"/>
        <v>132.84</v>
      </c>
      <c r="I140" s="89">
        <f t="shared" si="94"/>
        <v>189.77</v>
      </c>
      <c r="J140" s="89">
        <f t="shared" si="95"/>
        <v>3486.96</v>
      </c>
      <c r="K140" s="89">
        <f t="shared" si="96"/>
        <v>8136.45</v>
      </c>
      <c r="L140" s="89">
        <f t="shared" si="97"/>
        <v>11623.41</v>
      </c>
      <c r="M140" s="99">
        <f t="shared" si="91"/>
        <v>1.0364067032809768E-2</v>
      </c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42" customHeight="1">
      <c r="A141" s="80">
        <v>104658</v>
      </c>
      <c r="B141" s="83" t="s">
        <v>320</v>
      </c>
      <c r="C141" s="83" t="s">
        <v>179</v>
      </c>
      <c r="D141" s="87" t="s">
        <v>120</v>
      </c>
      <c r="E141" s="175">
        <f>24*0.25</f>
        <v>6</v>
      </c>
      <c r="F141" s="89">
        <v>155.61000000000001</v>
      </c>
      <c r="G141" s="89">
        <f t="shared" si="92"/>
        <v>56.93</v>
      </c>
      <c r="H141" s="89">
        <f t="shared" si="93"/>
        <v>132.84</v>
      </c>
      <c r="I141" s="89">
        <f t="shared" si="94"/>
        <v>189.77</v>
      </c>
      <c r="J141" s="89">
        <f t="shared" si="95"/>
        <v>341.58</v>
      </c>
      <c r="K141" s="89">
        <f t="shared" si="96"/>
        <v>797.04</v>
      </c>
      <c r="L141" s="89">
        <f t="shared" si="97"/>
        <v>1138.6199999999999</v>
      </c>
      <c r="M141" s="99">
        <f t="shared" si="91"/>
        <v>1.0152557644355535E-3</v>
      </c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46.5" customHeight="1">
      <c r="A142" s="80">
        <v>105002</v>
      </c>
      <c r="B142" s="83" t="s">
        <v>321</v>
      </c>
      <c r="C142" s="83" t="s">
        <v>182</v>
      </c>
      <c r="D142" s="87" t="s">
        <v>183</v>
      </c>
      <c r="E142" s="175">
        <v>2</v>
      </c>
      <c r="F142" s="89">
        <v>791.89</v>
      </c>
      <c r="G142" s="89">
        <f t="shared" si="92"/>
        <v>289.70999999999998</v>
      </c>
      <c r="H142" s="89">
        <f t="shared" si="93"/>
        <v>676</v>
      </c>
      <c r="I142" s="89">
        <f t="shared" si="94"/>
        <v>965.71</v>
      </c>
      <c r="J142" s="89">
        <f t="shared" si="95"/>
        <v>579.41999999999996</v>
      </c>
      <c r="K142" s="89">
        <f t="shared" si="96"/>
        <v>1352</v>
      </c>
      <c r="L142" s="89">
        <f t="shared" si="97"/>
        <v>1931.42</v>
      </c>
      <c r="M142" s="99">
        <f t="shared" si="91"/>
        <v>1.7221595339499719E-3</v>
      </c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17"/>
      <c r="B143" s="118"/>
      <c r="C143" s="118"/>
      <c r="D143" s="119"/>
      <c r="E143" s="176"/>
      <c r="F143" s="121"/>
      <c r="G143" s="121"/>
      <c r="H143" s="121"/>
      <c r="I143" s="121"/>
      <c r="J143" s="121"/>
      <c r="K143" s="121"/>
      <c r="L143" s="121"/>
      <c r="M143" s="12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60"/>
      <c r="B144" s="63">
        <v>18</v>
      </c>
      <c r="C144" s="63" t="s">
        <v>185</v>
      </c>
      <c r="D144" s="63"/>
      <c r="E144" s="174"/>
      <c r="F144" s="63"/>
      <c r="G144" s="63"/>
      <c r="H144" s="63"/>
      <c r="I144" s="63"/>
      <c r="J144" s="63"/>
      <c r="K144" s="63"/>
      <c r="L144" s="67">
        <f>SUM(L145:L155)</f>
        <v>8409.67</v>
      </c>
      <c r="M144" s="77">
        <f t="shared" ref="M144:M155" si="98">L144/$L$161</f>
        <v>7.4985209679267377E-3</v>
      </c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45" customHeight="1">
      <c r="A145" s="80">
        <v>91283</v>
      </c>
      <c r="B145" s="83" t="s">
        <v>322</v>
      </c>
      <c r="C145" s="83" t="s">
        <v>187</v>
      </c>
      <c r="D145" s="87" t="s">
        <v>91</v>
      </c>
      <c r="E145" s="175">
        <v>8</v>
      </c>
      <c r="F145" s="89">
        <v>10.19</v>
      </c>
      <c r="G145" s="89">
        <f t="shared" ref="G145:G155" si="99">ROUND((F145*(1+$G$13)*0.3),2)</f>
        <v>3.73</v>
      </c>
      <c r="H145" s="89">
        <f t="shared" ref="H145:H155" si="100">ROUND((F145*(1+$G$13)*0.7),2)</f>
        <v>8.6999999999999993</v>
      </c>
      <c r="I145" s="89">
        <f t="shared" ref="I145:I155" si="101">H145+G145</f>
        <v>12.43</v>
      </c>
      <c r="J145" s="89">
        <f t="shared" ref="J145:J155" si="102">ROUND(G145*E145,2)</f>
        <v>29.84</v>
      </c>
      <c r="K145" s="89">
        <f t="shared" ref="K145:K155" si="103">ROUND(H145*E145,2)</f>
        <v>69.599999999999994</v>
      </c>
      <c r="L145" s="89">
        <f t="shared" ref="L145:L155" si="104">K145+J145</f>
        <v>99.44</v>
      </c>
      <c r="M145" s="99">
        <f t="shared" si="98"/>
        <v>8.8666133754432085E-5</v>
      </c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" customHeight="1">
      <c r="A146" s="80">
        <v>91285</v>
      </c>
      <c r="B146" s="83" t="s">
        <v>323</v>
      </c>
      <c r="C146" s="83" t="s">
        <v>190</v>
      </c>
      <c r="D146" s="87" t="s">
        <v>92</v>
      </c>
      <c r="E146" s="175">
        <v>4</v>
      </c>
      <c r="F146" s="89">
        <v>0.56999999999999995</v>
      </c>
      <c r="G146" s="89">
        <f t="shared" si="99"/>
        <v>0.21</v>
      </c>
      <c r="H146" s="89">
        <f t="shared" si="100"/>
        <v>0.49</v>
      </c>
      <c r="I146" s="89">
        <f t="shared" si="101"/>
        <v>0.7</v>
      </c>
      <c r="J146" s="89">
        <f t="shared" si="102"/>
        <v>0.84</v>
      </c>
      <c r="K146" s="89">
        <f t="shared" si="103"/>
        <v>1.96</v>
      </c>
      <c r="L146" s="89">
        <f t="shared" si="104"/>
        <v>2.8</v>
      </c>
      <c r="M146" s="99">
        <f t="shared" si="98"/>
        <v>2.4966328893042014E-6</v>
      </c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9.75" customHeight="1">
      <c r="A147" s="80">
        <v>100576</v>
      </c>
      <c r="B147" s="83" t="s">
        <v>324</v>
      </c>
      <c r="C147" s="83" t="s">
        <v>325</v>
      </c>
      <c r="D147" s="87" t="s">
        <v>120</v>
      </c>
      <c r="E147" s="175">
        <f>14.5*2.2</f>
        <v>31.900000000000002</v>
      </c>
      <c r="F147" s="89">
        <v>3.03</v>
      </c>
      <c r="G147" s="89">
        <f t="shared" si="99"/>
        <v>1.1100000000000001</v>
      </c>
      <c r="H147" s="89">
        <f t="shared" si="100"/>
        <v>2.59</v>
      </c>
      <c r="I147" s="89">
        <f t="shared" si="101"/>
        <v>3.7</v>
      </c>
      <c r="J147" s="89">
        <f t="shared" si="102"/>
        <v>35.409999999999997</v>
      </c>
      <c r="K147" s="89">
        <f t="shared" si="103"/>
        <v>82.62</v>
      </c>
      <c r="L147" s="89">
        <f t="shared" si="104"/>
        <v>118.03</v>
      </c>
      <c r="M147" s="99">
        <f t="shared" si="98"/>
        <v>1.0524199283020534E-4</v>
      </c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54" customHeight="1">
      <c r="A148" s="80">
        <v>96399</v>
      </c>
      <c r="B148" s="83" t="s">
        <v>326</v>
      </c>
      <c r="C148" s="83" t="s">
        <v>327</v>
      </c>
      <c r="D148" s="87" t="s">
        <v>328</v>
      </c>
      <c r="E148" s="175">
        <f>ROUND(14.5*2.2*0.17,2)</f>
        <v>5.42</v>
      </c>
      <c r="F148" s="89">
        <v>123.04</v>
      </c>
      <c r="G148" s="89">
        <f t="shared" si="99"/>
        <v>45.01</v>
      </c>
      <c r="H148" s="89">
        <f t="shared" si="100"/>
        <v>105.03</v>
      </c>
      <c r="I148" s="89">
        <f t="shared" si="101"/>
        <v>150.04</v>
      </c>
      <c r="J148" s="89">
        <f t="shared" si="102"/>
        <v>243.95</v>
      </c>
      <c r="K148" s="89">
        <f>ROUND(H148*E148,2)+0.01</f>
        <v>569.27</v>
      </c>
      <c r="L148" s="89">
        <f t="shared" si="104"/>
        <v>813.22</v>
      </c>
      <c r="M148" s="99">
        <f t="shared" si="98"/>
        <v>7.2511135651427249E-4</v>
      </c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" customHeight="1">
      <c r="A149" s="80">
        <v>95876</v>
      </c>
      <c r="B149" s="83" t="s">
        <v>329</v>
      </c>
      <c r="C149" s="83" t="s">
        <v>330</v>
      </c>
      <c r="D149" s="87" t="s">
        <v>331</v>
      </c>
      <c r="E149" s="175">
        <f>ROUND(E148*1.3*26,2)</f>
        <v>183.2</v>
      </c>
      <c r="F149" s="89">
        <v>2.4700000000000002</v>
      </c>
      <c r="G149" s="89">
        <f t="shared" si="99"/>
        <v>0.9</v>
      </c>
      <c r="H149" s="89">
        <f t="shared" si="100"/>
        <v>2.11</v>
      </c>
      <c r="I149" s="89">
        <f t="shared" si="101"/>
        <v>3.01</v>
      </c>
      <c r="J149" s="89">
        <f t="shared" si="102"/>
        <v>164.88</v>
      </c>
      <c r="K149" s="89">
        <f t="shared" si="103"/>
        <v>386.55</v>
      </c>
      <c r="L149" s="89">
        <f t="shared" si="104"/>
        <v>551.43000000000006</v>
      </c>
      <c r="M149" s="99">
        <f t="shared" si="98"/>
        <v>4.9168509791036293E-4</v>
      </c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33.75" customHeight="1">
      <c r="A150" s="80">
        <v>96396</v>
      </c>
      <c r="B150" s="83" t="s">
        <v>332</v>
      </c>
      <c r="C150" s="83" t="s">
        <v>333</v>
      </c>
      <c r="D150" s="87" t="s">
        <v>334</v>
      </c>
      <c r="E150" s="175">
        <f>ROUND(14.5*2.2*0.15,2)</f>
        <v>4.79</v>
      </c>
      <c r="F150" s="89">
        <v>180.32</v>
      </c>
      <c r="G150" s="89">
        <f t="shared" si="99"/>
        <v>65.97</v>
      </c>
      <c r="H150" s="89">
        <f t="shared" si="100"/>
        <v>153.93</v>
      </c>
      <c r="I150" s="89">
        <f t="shared" si="101"/>
        <v>219.9</v>
      </c>
      <c r="J150" s="89">
        <f t="shared" si="102"/>
        <v>316</v>
      </c>
      <c r="K150" s="89">
        <f t="shared" si="103"/>
        <v>737.32</v>
      </c>
      <c r="L150" s="89">
        <f t="shared" si="104"/>
        <v>1053.3200000000002</v>
      </c>
      <c r="M150" s="99">
        <f t="shared" si="98"/>
        <v>9.3919762677210797E-4</v>
      </c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42" customHeight="1">
      <c r="A151" s="80">
        <v>95876</v>
      </c>
      <c r="B151" s="83" t="s">
        <v>335</v>
      </c>
      <c r="C151" s="83" t="s">
        <v>336</v>
      </c>
      <c r="D151" s="87" t="s">
        <v>337</v>
      </c>
      <c r="E151" s="175">
        <f>ROUND(E150*1.3*26,2)</f>
        <v>161.9</v>
      </c>
      <c r="F151" s="89">
        <v>2.4700000000000002</v>
      </c>
      <c r="G151" s="89">
        <f t="shared" si="99"/>
        <v>0.9</v>
      </c>
      <c r="H151" s="89">
        <f t="shared" si="100"/>
        <v>2.11</v>
      </c>
      <c r="I151" s="89">
        <f t="shared" si="101"/>
        <v>3.01</v>
      </c>
      <c r="J151" s="89">
        <f t="shared" si="102"/>
        <v>145.71</v>
      </c>
      <c r="K151" s="89">
        <f t="shared" si="103"/>
        <v>341.61</v>
      </c>
      <c r="L151" s="89">
        <f t="shared" si="104"/>
        <v>487.32000000000005</v>
      </c>
      <c r="M151" s="99">
        <f t="shared" si="98"/>
        <v>4.3452112129132989E-4</v>
      </c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43.5" customHeight="1">
      <c r="A152" s="80" t="s">
        <v>22</v>
      </c>
      <c r="B152" s="166" t="s">
        <v>352</v>
      </c>
      <c r="C152" s="83" t="s">
        <v>339</v>
      </c>
      <c r="D152" s="87" t="s">
        <v>120</v>
      </c>
      <c r="E152" s="175">
        <f>14.5*2.2</f>
        <v>31.900000000000002</v>
      </c>
      <c r="F152" s="89">
        <v>12.08</v>
      </c>
      <c r="G152" s="89">
        <f t="shared" si="99"/>
        <v>4.42</v>
      </c>
      <c r="H152" s="89">
        <f t="shared" si="100"/>
        <v>10.31</v>
      </c>
      <c r="I152" s="89">
        <f t="shared" si="101"/>
        <v>14.73</v>
      </c>
      <c r="J152" s="89">
        <f t="shared" si="102"/>
        <v>141</v>
      </c>
      <c r="K152" s="89">
        <f>ROUND(H152*E152,2)</f>
        <v>328.89</v>
      </c>
      <c r="L152" s="89">
        <f>K152+J152</f>
        <v>469.89</v>
      </c>
      <c r="M152" s="99">
        <f t="shared" si="98"/>
        <v>4.1897958155541118E-4</v>
      </c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7.75" customHeight="1">
      <c r="A153" s="80" t="s">
        <v>82</v>
      </c>
      <c r="B153" s="166" t="s">
        <v>338</v>
      </c>
      <c r="C153" s="83" t="s">
        <v>341</v>
      </c>
      <c r="D153" s="87" t="s">
        <v>120</v>
      </c>
      <c r="E153" s="175">
        <f>E152</f>
        <v>31.900000000000002</v>
      </c>
      <c r="F153" s="89">
        <v>3.12</v>
      </c>
      <c r="G153" s="89">
        <f t="shared" si="99"/>
        <v>1.1399999999999999</v>
      </c>
      <c r="H153" s="89">
        <f t="shared" si="100"/>
        <v>2.66</v>
      </c>
      <c r="I153" s="89">
        <f t="shared" si="101"/>
        <v>3.8</v>
      </c>
      <c r="J153" s="89">
        <f t="shared" si="102"/>
        <v>36.369999999999997</v>
      </c>
      <c r="K153" s="89">
        <f>ROUND(H153*E153,2)</f>
        <v>84.85</v>
      </c>
      <c r="L153" s="89">
        <f>K153+J153</f>
        <v>121.22</v>
      </c>
      <c r="M153" s="99">
        <f t="shared" si="98"/>
        <v>1.0808637101480547E-4</v>
      </c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40.5" customHeight="1">
      <c r="A154" s="80">
        <v>95995</v>
      </c>
      <c r="B154" s="166" t="s">
        <v>340</v>
      </c>
      <c r="C154" s="83" t="s">
        <v>343</v>
      </c>
      <c r="D154" s="87" t="s">
        <v>344</v>
      </c>
      <c r="E154" s="175">
        <f>ROUND(14.5*2.2*0.05,2)</f>
        <v>1.6</v>
      </c>
      <c r="F154" s="89">
        <v>2341.0100000000002</v>
      </c>
      <c r="G154" s="89">
        <f t="shared" si="99"/>
        <v>856.46</v>
      </c>
      <c r="H154" s="89">
        <f t="shared" si="100"/>
        <v>1998.4</v>
      </c>
      <c r="I154" s="89">
        <f t="shared" si="101"/>
        <v>2854.86</v>
      </c>
      <c r="J154" s="89">
        <f t="shared" si="102"/>
        <v>1370.34</v>
      </c>
      <c r="K154" s="89">
        <f t="shared" si="103"/>
        <v>3197.44</v>
      </c>
      <c r="L154" s="89">
        <f t="shared" si="104"/>
        <v>4567.78</v>
      </c>
      <c r="M154" s="99">
        <f t="shared" si="98"/>
        <v>4.0728820639664093E-3</v>
      </c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45" customHeight="1">
      <c r="A155" s="80">
        <v>95876</v>
      </c>
      <c r="B155" s="166" t="s">
        <v>342</v>
      </c>
      <c r="C155" s="83" t="s">
        <v>345</v>
      </c>
      <c r="D155" s="87" t="s">
        <v>346</v>
      </c>
      <c r="E155" s="175">
        <f>ROUND(E154*26,2)</f>
        <v>41.6</v>
      </c>
      <c r="F155" s="89">
        <v>2.4700000000000002</v>
      </c>
      <c r="G155" s="89">
        <f t="shared" si="99"/>
        <v>0.9</v>
      </c>
      <c r="H155" s="89">
        <f t="shared" si="100"/>
        <v>2.11</v>
      </c>
      <c r="I155" s="89">
        <f t="shared" si="101"/>
        <v>3.01</v>
      </c>
      <c r="J155" s="89">
        <f t="shared" si="102"/>
        <v>37.44</v>
      </c>
      <c r="K155" s="89">
        <f t="shared" si="103"/>
        <v>87.78</v>
      </c>
      <c r="L155" s="89">
        <f t="shared" si="104"/>
        <v>125.22</v>
      </c>
      <c r="M155" s="99">
        <f t="shared" si="98"/>
        <v>1.116529894280972E-4</v>
      </c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" customHeight="1">
      <c r="A156" s="117"/>
      <c r="B156" s="118"/>
      <c r="C156" s="118"/>
      <c r="D156" s="119"/>
      <c r="E156" s="176"/>
      <c r="F156" s="121"/>
      <c r="G156" s="121"/>
      <c r="H156" s="121"/>
      <c r="I156" s="121"/>
      <c r="J156" s="121"/>
      <c r="K156" s="121"/>
      <c r="L156" s="121"/>
      <c r="M156" s="12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" customHeight="1">
      <c r="A157" s="60"/>
      <c r="B157" s="63">
        <v>19</v>
      </c>
      <c r="C157" s="63" t="s">
        <v>227</v>
      </c>
      <c r="D157" s="63"/>
      <c r="E157" s="174"/>
      <c r="F157" s="63"/>
      <c r="G157" s="63"/>
      <c r="H157" s="63"/>
      <c r="I157" s="63"/>
      <c r="J157" s="63"/>
      <c r="K157" s="63"/>
      <c r="L157" s="67">
        <f>SUM(L158)</f>
        <v>3258.5</v>
      </c>
      <c r="M157" s="77">
        <f t="shared" ref="M157:M158" si="105">L157/$L$161</f>
        <v>2.9054565249277647E-3</v>
      </c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" customHeight="1">
      <c r="A158" s="80">
        <v>98519</v>
      </c>
      <c r="B158" s="83" t="s">
        <v>347</v>
      </c>
      <c r="C158" s="83" t="s">
        <v>229</v>
      </c>
      <c r="D158" s="87" t="s">
        <v>120</v>
      </c>
      <c r="E158" s="175">
        <v>612.5</v>
      </c>
      <c r="F158" s="89">
        <v>4.3600000000000003</v>
      </c>
      <c r="G158" s="89">
        <f t="shared" ref="G158" si="106">ROUND((F158*(1+$G$13)*0.3),2)</f>
        <v>1.6</v>
      </c>
      <c r="H158" s="89">
        <f t="shared" ref="H158" si="107">ROUND((F158*(1+$G$13)*0.7),2)</f>
        <v>3.72</v>
      </c>
      <c r="I158" s="89">
        <f t="shared" ref="I158" si="108">H158+G158</f>
        <v>5.32</v>
      </c>
      <c r="J158" s="89">
        <f t="shared" ref="J158" si="109">ROUND(G158*E158,2)</f>
        <v>980</v>
      </c>
      <c r="K158" s="89">
        <f t="shared" ref="K158" si="110">ROUND(H158*E158,2)</f>
        <v>2278.5</v>
      </c>
      <c r="L158" s="89">
        <f t="shared" ref="L158" si="111">K158+J158</f>
        <v>3258.5</v>
      </c>
      <c r="M158" s="99">
        <f t="shared" si="105"/>
        <v>2.9054565249277647E-3</v>
      </c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3.5" customHeight="1">
      <c r="A159" s="117"/>
      <c r="B159" s="118"/>
      <c r="C159" s="118"/>
      <c r="D159" s="119"/>
      <c r="E159" s="176"/>
      <c r="F159" s="121"/>
      <c r="G159" s="121"/>
      <c r="H159" s="121"/>
      <c r="I159" s="121"/>
      <c r="J159" s="121"/>
      <c r="K159" s="121"/>
      <c r="L159" s="121"/>
      <c r="M159" s="12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" customHeight="1">
      <c r="A160" s="156"/>
      <c r="B160" s="157"/>
      <c r="C160" s="157"/>
      <c r="D160" s="158"/>
      <c r="E160" s="178"/>
      <c r="F160" s="159"/>
      <c r="G160" s="159"/>
      <c r="H160" s="159"/>
      <c r="I160" s="159"/>
      <c r="J160" s="159"/>
      <c r="K160" s="159"/>
      <c r="L160" s="159"/>
      <c r="M160" s="160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3.5" customHeight="1">
      <c r="A161" s="1"/>
      <c r="B161" s="2"/>
      <c r="C161" s="2"/>
      <c r="D161" s="2"/>
      <c r="E161" s="171"/>
      <c r="F161" s="2"/>
      <c r="G161" s="2"/>
      <c r="H161" s="2"/>
      <c r="I161" s="141" t="s">
        <v>348</v>
      </c>
      <c r="J161" s="161">
        <f>SUM(J19:J160)</f>
        <v>336432.39000000013</v>
      </c>
      <c r="K161" s="161">
        <f>SUM(K19:K160)</f>
        <v>785078.10999999975</v>
      </c>
      <c r="L161" s="161">
        <f>J161+K161</f>
        <v>1121510.5</v>
      </c>
      <c r="M161" s="168">
        <f>M18+M24+M27+M32+M40+M53+M68+M71+M77+M82+M90+M95+M108+M114+M120+M125+M132+M144+M157</f>
        <v>0.99999999999999989</v>
      </c>
      <c r="N161" s="168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3.5" customHeight="1">
      <c r="A162" s="1"/>
      <c r="B162" s="2"/>
      <c r="C162" s="2"/>
      <c r="D162" s="2"/>
      <c r="E162" s="171"/>
      <c r="F162" s="2"/>
      <c r="G162" s="2"/>
      <c r="H162" s="2"/>
      <c r="I162" s="169"/>
      <c r="J162" s="169" t="s">
        <v>349</v>
      </c>
      <c r="K162" s="169" t="s">
        <v>350</v>
      </c>
      <c r="L162" s="169" t="s">
        <v>38</v>
      </c>
      <c r="M162" s="169"/>
      <c r="N162" s="169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3.5" customHeight="1">
      <c r="A163" s="1"/>
      <c r="B163" s="142"/>
      <c r="C163" s="142"/>
      <c r="D163" s="142"/>
      <c r="E163" s="181"/>
      <c r="F163" s="142"/>
      <c r="G163" s="142"/>
      <c r="H163" s="142"/>
      <c r="I163" s="169"/>
      <c r="J163" s="169"/>
      <c r="K163" s="169"/>
      <c r="L163" s="169"/>
      <c r="M163" s="169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3.5" customHeight="1">
      <c r="A164" s="1"/>
      <c r="B164" s="194" t="s">
        <v>351</v>
      </c>
      <c r="C164" s="187"/>
      <c r="D164" s="187"/>
      <c r="E164" s="187"/>
      <c r="F164" s="187"/>
      <c r="G164" s="187"/>
      <c r="H164" s="188"/>
      <c r="I164" s="169"/>
      <c r="J164" s="169"/>
      <c r="K164" s="169"/>
      <c r="L164" s="169"/>
      <c r="M164" s="169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7.75" customHeight="1">
      <c r="A165" s="1"/>
      <c r="B165" s="194"/>
      <c r="C165" s="187"/>
      <c r="D165" s="187"/>
      <c r="E165" s="187"/>
      <c r="F165" s="187"/>
      <c r="G165" s="187"/>
      <c r="H165" s="187"/>
      <c r="I165" s="188"/>
      <c r="J165" s="169"/>
      <c r="K165" s="169"/>
      <c r="L165" s="169"/>
      <c r="M165" s="169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3.5" customHeight="1">
      <c r="A166" s="1"/>
      <c r="B166" s="141"/>
      <c r="C166" s="142"/>
      <c r="D166" s="141"/>
      <c r="E166" s="179"/>
      <c r="F166" s="141"/>
      <c r="G166" s="141"/>
      <c r="H166" s="141"/>
      <c r="I166" s="189"/>
      <c r="J166" s="188"/>
      <c r="K166" s="186"/>
      <c r="L166" s="187"/>
      <c r="M166" s="188"/>
    </row>
    <row r="167" spans="1:26" ht="13.5" customHeight="1">
      <c r="A167" s="1"/>
      <c r="B167" s="141"/>
      <c r="C167" s="142" t="s">
        <v>355</v>
      </c>
      <c r="D167" s="141"/>
      <c r="E167" s="179"/>
      <c r="F167" s="141"/>
      <c r="G167" s="141"/>
      <c r="H167" s="141"/>
      <c r="I167" s="189"/>
      <c r="J167" s="188"/>
      <c r="K167" s="186"/>
      <c r="L167" s="187"/>
      <c r="M167" s="188"/>
    </row>
    <row r="168" spans="1:26" ht="13.5" customHeight="1">
      <c r="A168" s="1"/>
      <c r="B168" s="141"/>
      <c r="C168" s="142"/>
      <c r="D168" s="141"/>
      <c r="E168" s="179"/>
      <c r="F168" s="141"/>
      <c r="G168" s="141"/>
      <c r="H168" s="141"/>
      <c r="I168" s="189"/>
      <c r="J168" s="188"/>
      <c r="K168" s="186"/>
      <c r="L168" s="187"/>
      <c r="M168" s="188"/>
    </row>
    <row r="169" spans="1:26" ht="13.5" customHeight="1">
      <c r="A169" s="1"/>
      <c r="B169" s="143"/>
      <c r="C169" s="2"/>
      <c r="D169" s="144"/>
      <c r="E169" s="182"/>
      <c r="F169" s="144"/>
      <c r="G169" s="144"/>
      <c r="H169" s="2"/>
      <c r="I169" s="2"/>
      <c r="J169" s="2"/>
      <c r="K169" s="2"/>
      <c r="L169" s="2"/>
      <c r="M169" s="2"/>
    </row>
    <row r="170" spans="1:26" ht="13.5" customHeight="1">
      <c r="A170" s="1"/>
      <c r="D170" s="190" t="s">
        <v>62</v>
      </c>
      <c r="E170" s="191"/>
      <c r="F170" s="191"/>
      <c r="G170" s="191"/>
    </row>
    <row r="171" spans="1:26" ht="13.5" customHeight="1">
      <c r="A171" s="1"/>
      <c r="D171" s="192" t="s">
        <v>154</v>
      </c>
      <c r="E171" s="193"/>
      <c r="F171" s="193"/>
      <c r="G171" s="193"/>
    </row>
    <row r="172" spans="1:26" ht="13.5" customHeight="1">
      <c r="A172" s="1"/>
      <c r="E172" s="171"/>
    </row>
    <row r="173" spans="1:26" ht="13.5" customHeight="1">
      <c r="A173" s="1"/>
      <c r="B173" s="74" t="s">
        <v>356</v>
      </c>
      <c r="E173" s="171"/>
    </row>
    <row r="174" spans="1:26" ht="13.5" customHeight="1">
      <c r="A174" s="1"/>
      <c r="B174" s="74" t="s">
        <v>357</v>
      </c>
      <c r="E174" s="171"/>
      <c r="K174" s="170"/>
    </row>
    <row r="175" spans="1:26" ht="13.5" customHeight="1">
      <c r="A175" s="1"/>
      <c r="E175" s="171"/>
      <c r="K175" s="170"/>
    </row>
    <row r="176" spans="1:26" ht="13.5" customHeight="1">
      <c r="A176" s="1"/>
      <c r="E176" s="171"/>
      <c r="K176" s="170"/>
    </row>
    <row r="177" spans="1:5" ht="13.5" customHeight="1">
      <c r="A177" s="1"/>
      <c r="E177" s="171"/>
    </row>
    <row r="178" spans="1:5" ht="13.5" customHeight="1">
      <c r="A178" s="1"/>
      <c r="E178" s="171"/>
    </row>
    <row r="179" spans="1:5" ht="13.5" customHeight="1">
      <c r="A179" s="1"/>
      <c r="E179" s="171"/>
    </row>
    <row r="180" spans="1:5" ht="13.5" customHeight="1">
      <c r="A180" s="1"/>
      <c r="E180" s="171"/>
    </row>
    <row r="181" spans="1:5" ht="13.5" customHeight="1">
      <c r="A181" s="1"/>
      <c r="E181" s="171"/>
    </row>
    <row r="182" spans="1:5" ht="13.5" customHeight="1">
      <c r="A182" s="1"/>
      <c r="E182" s="171"/>
    </row>
    <row r="183" spans="1:5" ht="13.5" customHeight="1">
      <c r="A183" s="1"/>
      <c r="E183" s="171"/>
    </row>
    <row r="184" spans="1:5" ht="13.5" customHeight="1">
      <c r="A184" s="1"/>
      <c r="E184" s="171"/>
    </row>
    <row r="185" spans="1:5" ht="13.5" customHeight="1">
      <c r="A185" s="1"/>
      <c r="E185" s="171"/>
    </row>
    <row r="186" spans="1:5" ht="13.5" customHeight="1">
      <c r="A186" s="1"/>
      <c r="E186" s="171"/>
    </row>
    <row r="187" spans="1:5" ht="13.5" customHeight="1">
      <c r="A187" s="1"/>
      <c r="E187" s="171"/>
    </row>
    <row r="188" spans="1:5" ht="13.5" customHeight="1">
      <c r="A188" s="1"/>
      <c r="E188" s="171"/>
    </row>
    <row r="189" spans="1:5" ht="13.5" customHeight="1">
      <c r="A189" s="1"/>
      <c r="E189" s="171"/>
    </row>
    <row r="190" spans="1:5" ht="13.5" customHeight="1">
      <c r="A190" s="1"/>
      <c r="E190" s="171"/>
    </row>
    <row r="191" spans="1:5" ht="13.5" customHeight="1">
      <c r="A191" s="1"/>
      <c r="E191" s="171"/>
    </row>
    <row r="192" spans="1:5" ht="13.5" customHeight="1">
      <c r="A192" s="1"/>
      <c r="E192" s="171"/>
    </row>
    <row r="193" spans="1:5" ht="13.5" customHeight="1">
      <c r="A193" s="1"/>
      <c r="E193" s="171"/>
    </row>
    <row r="194" spans="1:5" ht="13.5" customHeight="1">
      <c r="A194" s="1"/>
      <c r="E194" s="171"/>
    </row>
    <row r="195" spans="1:5" ht="13.5" customHeight="1">
      <c r="A195" s="1"/>
      <c r="E195" s="171"/>
    </row>
    <row r="196" spans="1:5" ht="13.5" customHeight="1">
      <c r="A196" s="1"/>
      <c r="E196" s="171"/>
    </row>
    <row r="197" spans="1:5" ht="13.5" customHeight="1">
      <c r="A197" s="1"/>
      <c r="E197" s="171"/>
    </row>
    <row r="198" spans="1:5" ht="13.5" customHeight="1">
      <c r="A198" s="1"/>
      <c r="E198" s="171"/>
    </row>
    <row r="199" spans="1:5" ht="13.5" customHeight="1">
      <c r="A199" s="1"/>
      <c r="E199" s="171"/>
    </row>
    <row r="200" spans="1:5" ht="13.5" customHeight="1">
      <c r="A200" s="1"/>
      <c r="E200" s="171"/>
    </row>
    <row r="201" spans="1:5" ht="13.5" customHeight="1">
      <c r="A201" s="1"/>
      <c r="E201" s="171"/>
    </row>
    <row r="202" spans="1:5" ht="13.5" customHeight="1">
      <c r="A202" s="1"/>
      <c r="E202" s="171"/>
    </row>
    <row r="203" spans="1:5" ht="13.5" customHeight="1">
      <c r="A203" s="1"/>
      <c r="E203" s="171"/>
    </row>
    <row r="204" spans="1:5" ht="13.5" customHeight="1">
      <c r="A204" s="1"/>
      <c r="E204" s="171"/>
    </row>
    <row r="205" spans="1:5" ht="13.5" customHeight="1">
      <c r="A205" s="1"/>
      <c r="E205" s="171"/>
    </row>
    <row r="206" spans="1:5" ht="13.5" customHeight="1">
      <c r="A206" s="1"/>
      <c r="E206" s="171"/>
    </row>
    <row r="207" spans="1:5" ht="13.5" customHeight="1">
      <c r="A207" s="1"/>
      <c r="E207" s="171"/>
    </row>
    <row r="208" spans="1:5" ht="13.5" customHeight="1">
      <c r="A208" s="1"/>
      <c r="E208" s="171"/>
    </row>
    <row r="209" spans="1:5" ht="13.5" customHeight="1">
      <c r="A209" s="1"/>
      <c r="E209" s="171"/>
    </row>
    <row r="210" spans="1:5" ht="13.5" customHeight="1">
      <c r="A210" s="1"/>
      <c r="E210" s="171"/>
    </row>
    <row r="211" spans="1:5" ht="13.5" customHeight="1">
      <c r="A211" s="1"/>
      <c r="E211" s="171"/>
    </row>
    <row r="212" spans="1:5" ht="13.5" customHeight="1">
      <c r="A212" s="1"/>
      <c r="E212" s="171"/>
    </row>
    <row r="213" spans="1:5" ht="13.5" customHeight="1">
      <c r="A213" s="1"/>
      <c r="E213" s="171"/>
    </row>
    <row r="214" spans="1:5" ht="13.5" customHeight="1">
      <c r="A214" s="1"/>
      <c r="E214" s="171"/>
    </row>
    <row r="215" spans="1:5" ht="13.5" customHeight="1">
      <c r="A215" s="1"/>
      <c r="E215" s="171"/>
    </row>
    <row r="216" spans="1:5" ht="13.5" customHeight="1">
      <c r="A216" s="1"/>
      <c r="E216" s="171"/>
    </row>
    <row r="217" spans="1:5" ht="13.5" customHeight="1">
      <c r="A217" s="1"/>
      <c r="E217" s="171"/>
    </row>
    <row r="218" spans="1:5" ht="13.5" customHeight="1">
      <c r="A218" s="1"/>
      <c r="E218" s="171"/>
    </row>
    <row r="219" spans="1:5" ht="13.5" customHeight="1">
      <c r="A219" s="1"/>
      <c r="E219" s="171"/>
    </row>
    <row r="220" spans="1:5" ht="13.5" customHeight="1">
      <c r="A220" s="1"/>
      <c r="E220" s="171"/>
    </row>
    <row r="221" spans="1:5" ht="13.5" customHeight="1">
      <c r="A221" s="1"/>
      <c r="E221" s="171"/>
    </row>
    <row r="222" spans="1:5" ht="13.5" customHeight="1">
      <c r="A222" s="1"/>
      <c r="E222" s="171"/>
    </row>
    <row r="223" spans="1:5" ht="13.5" customHeight="1">
      <c r="A223" s="1"/>
      <c r="E223" s="171"/>
    </row>
    <row r="224" spans="1:5" ht="13.5" customHeight="1">
      <c r="A224" s="1"/>
      <c r="E224" s="171"/>
    </row>
    <row r="225" spans="1:5" ht="13.5" customHeight="1">
      <c r="A225" s="1"/>
      <c r="E225" s="171"/>
    </row>
    <row r="226" spans="1:5" ht="13.5" customHeight="1">
      <c r="A226" s="1"/>
      <c r="E226" s="171"/>
    </row>
    <row r="227" spans="1:5" ht="13.5" customHeight="1">
      <c r="A227" s="1"/>
      <c r="E227" s="171"/>
    </row>
    <row r="228" spans="1:5" ht="13.5" customHeight="1">
      <c r="A228" s="1"/>
      <c r="E228" s="171"/>
    </row>
    <row r="229" spans="1:5" ht="13.5" customHeight="1">
      <c r="A229" s="1"/>
      <c r="E229" s="171"/>
    </row>
    <row r="230" spans="1:5" ht="13.5" customHeight="1">
      <c r="A230" s="1"/>
      <c r="E230" s="171"/>
    </row>
    <row r="231" spans="1:5" ht="13.5" customHeight="1">
      <c r="A231" s="1"/>
      <c r="E231" s="171"/>
    </row>
    <row r="232" spans="1:5" ht="13.5" customHeight="1">
      <c r="A232" s="1"/>
      <c r="E232" s="171"/>
    </row>
    <row r="233" spans="1:5" ht="13.5" customHeight="1">
      <c r="A233" s="1"/>
      <c r="E233" s="171"/>
    </row>
    <row r="234" spans="1:5" ht="13.5" customHeight="1">
      <c r="A234" s="1"/>
      <c r="E234" s="171"/>
    </row>
    <row r="235" spans="1:5" ht="13.5" customHeight="1">
      <c r="A235" s="1"/>
      <c r="E235" s="171"/>
    </row>
    <row r="236" spans="1:5" ht="13.5" customHeight="1">
      <c r="A236" s="1"/>
      <c r="E236" s="171"/>
    </row>
    <row r="237" spans="1:5" ht="13.5" customHeight="1">
      <c r="A237" s="1"/>
      <c r="E237" s="171"/>
    </row>
    <row r="238" spans="1:5" ht="13.5" customHeight="1">
      <c r="A238" s="1"/>
      <c r="E238" s="171"/>
    </row>
    <row r="239" spans="1:5" ht="13.5" customHeight="1">
      <c r="A239" s="1"/>
      <c r="E239" s="171"/>
    </row>
    <row r="240" spans="1:5" ht="13.5" customHeight="1">
      <c r="A240" s="1"/>
      <c r="E240" s="171"/>
    </row>
    <row r="241" spans="1:5" ht="13.5" customHeight="1">
      <c r="A241" s="1"/>
      <c r="E241" s="171"/>
    </row>
    <row r="242" spans="1:5" ht="13.5" customHeight="1">
      <c r="A242" s="1"/>
      <c r="E242" s="171"/>
    </row>
    <row r="243" spans="1:5" ht="13.5" customHeight="1">
      <c r="A243" s="1"/>
      <c r="E243" s="171"/>
    </row>
    <row r="244" spans="1:5" ht="13.5" customHeight="1">
      <c r="A244" s="1"/>
      <c r="E244" s="171"/>
    </row>
    <row r="245" spans="1:5" ht="13.5" customHeight="1">
      <c r="A245" s="1"/>
      <c r="E245" s="171"/>
    </row>
    <row r="246" spans="1:5" ht="13.5" customHeight="1">
      <c r="A246" s="1"/>
      <c r="E246" s="171"/>
    </row>
    <row r="247" spans="1:5" ht="13.5" customHeight="1">
      <c r="A247" s="1"/>
      <c r="E247" s="171"/>
    </row>
    <row r="248" spans="1:5" ht="13.5" customHeight="1">
      <c r="A248" s="1"/>
      <c r="E248" s="171"/>
    </row>
    <row r="249" spans="1:5" ht="13.5" customHeight="1">
      <c r="A249" s="1"/>
      <c r="E249" s="171"/>
    </row>
    <row r="250" spans="1:5" ht="13.5" customHeight="1">
      <c r="A250" s="1"/>
      <c r="E250" s="171"/>
    </row>
    <row r="251" spans="1:5" ht="13.5" customHeight="1">
      <c r="A251" s="1"/>
      <c r="E251" s="171"/>
    </row>
    <row r="252" spans="1:5" ht="13.5" customHeight="1">
      <c r="A252" s="1"/>
      <c r="E252" s="171"/>
    </row>
    <row r="253" spans="1:5" ht="13.5" customHeight="1">
      <c r="A253" s="1"/>
      <c r="E253" s="171"/>
    </row>
    <row r="254" spans="1:5" ht="13.5" customHeight="1">
      <c r="A254" s="1"/>
      <c r="E254" s="171"/>
    </row>
    <row r="255" spans="1:5" ht="13.5" customHeight="1">
      <c r="A255" s="1"/>
      <c r="E255" s="171"/>
    </row>
    <row r="256" spans="1:5" ht="13.5" customHeight="1">
      <c r="A256" s="1"/>
      <c r="E256" s="171"/>
    </row>
    <row r="257" spans="1:5" ht="13.5" customHeight="1">
      <c r="A257" s="1"/>
      <c r="E257" s="171"/>
    </row>
    <row r="258" spans="1:5" ht="13.5" customHeight="1">
      <c r="A258" s="1"/>
      <c r="E258" s="171"/>
    </row>
    <row r="259" spans="1:5" ht="13.5" customHeight="1">
      <c r="A259" s="1"/>
      <c r="E259" s="171"/>
    </row>
    <row r="260" spans="1:5" ht="13.5" customHeight="1">
      <c r="A260" s="1"/>
      <c r="E260" s="171"/>
    </row>
    <row r="261" spans="1:5" ht="13.5" customHeight="1">
      <c r="A261" s="1"/>
      <c r="E261" s="171"/>
    </row>
    <row r="262" spans="1:5" ht="13.5" customHeight="1">
      <c r="A262" s="1"/>
      <c r="E262" s="171"/>
    </row>
    <row r="263" spans="1:5" ht="13.5" customHeight="1">
      <c r="A263" s="1"/>
      <c r="E263" s="171"/>
    </row>
    <row r="264" spans="1:5" ht="13.5" customHeight="1">
      <c r="A264" s="1"/>
      <c r="E264" s="171"/>
    </row>
    <row r="265" spans="1:5" ht="13.5" customHeight="1">
      <c r="A265" s="1"/>
      <c r="E265" s="171"/>
    </row>
    <row r="266" spans="1:5" ht="13.5" customHeight="1">
      <c r="A266" s="1"/>
      <c r="E266" s="171"/>
    </row>
    <row r="267" spans="1:5" ht="13.5" customHeight="1">
      <c r="A267" s="1"/>
      <c r="E267" s="171"/>
    </row>
    <row r="268" spans="1:5" ht="13.5" customHeight="1">
      <c r="A268" s="1"/>
      <c r="E268" s="171"/>
    </row>
    <row r="269" spans="1:5" ht="13.5" customHeight="1">
      <c r="A269" s="1"/>
      <c r="E269" s="171"/>
    </row>
    <row r="270" spans="1:5" ht="13.5" customHeight="1">
      <c r="A270" s="1"/>
      <c r="E270" s="171"/>
    </row>
    <row r="271" spans="1:5" ht="13.5" customHeight="1">
      <c r="A271" s="1"/>
      <c r="E271" s="171"/>
    </row>
    <row r="272" spans="1:5" ht="13.5" customHeight="1">
      <c r="A272" s="1"/>
      <c r="E272" s="171"/>
    </row>
    <row r="273" spans="1:5" ht="13.5" customHeight="1">
      <c r="A273" s="1"/>
      <c r="E273" s="171"/>
    </row>
    <row r="274" spans="1:5" ht="13.5" customHeight="1">
      <c r="A274" s="1"/>
      <c r="E274" s="171"/>
    </row>
    <row r="275" spans="1:5" ht="13.5" customHeight="1">
      <c r="A275" s="1"/>
      <c r="E275" s="171"/>
    </row>
    <row r="276" spans="1:5" ht="13.5" customHeight="1">
      <c r="A276" s="1"/>
      <c r="E276" s="171"/>
    </row>
    <row r="277" spans="1:5" ht="13.5" customHeight="1">
      <c r="A277" s="1"/>
      <c r="E277" s="171"/>
    </row>
    <row r="278" spans="1:5" ht="13.5" customHeight="1">
      <c r="A278" s="1"/>
      <c r="E278" s="171"/>
    </row>
    <row r="279" spans="1:5" ht="13.5" customHeight="1">
      <c r="A279" s="1"/>
      <c r="E279" s="171"/>
    </row>
    <row r="280" spans="1:5" ht="13.5" customHeight="1">
      <c r="A280" s="1"/>
      <c r="E280" s="171"/>
    </row>
    <row r="281" spans="1:5" ht="13.5" customHeight="1">
      <c r="A281" s="1"/>
      <c r="E281" s="171"/>
    </row>
    <row r="282" spans="1:5" ht="13.5" customHeight="1">
      <c r="A282" s="1"/>
      <c r="E282" s="171"/>
    </row>
    <row r="283" spans="1:5" ht="13.5" customHeight="1">
      <c r="A283" s="1"/>
      <c r="E283" s="171"/>
    </row>
    <row r="284" spans="1:5" ht="13.5" customHeight="1">
      <c r="A284" s="1"/>
      <c r="E284" s="171"/>
    </row>
    <row r="285" spans="1:5" ht="13.5" customHeight="1">
      <c r="A285" s="1"/>
      <c r="E285" s="171"/>
    </row>
    <row r="286" spans="1:5" ht="13.5" customHeight="1">
      <c r="A286" s="1"/>
      <c r="E286" s="171"/>
    </row>
    <row r="287" spans="1:5" ht="13.5" customHeight="1">
      <c r="A287" s="1"/>
      <c r="E287" s="171"/>
    </row>
    <row r="288" spans="1:5" ht="13.5" customHeight="1">
      <c r="A288" s="1"/>
      <c r="E288" s="171"/>
    </row>
    <row r="289" spans="1:5" ht="13.5" customHeight="1">
      <c r="A289" s="1"/>
      <c r="E289" s="171"/>
    </row>
    <row r="290" spans="1:5" ht="13.5" customHeight="1">
      <c r="A290" s="1"/>
      <c r="E290" s="171"/>
    </row>
    <row r="291" spans="1:5" ht="13.5" customHeight="1">
      <c r="A291" s="1"/>
      <c r="E291" s="171"/>
    </row>
    <row r="292" spans="1:5" ht="13.5" customHeight="1">
      <c r="A292" s="1"/>
      <c r="E292" s="171"/>
    </row>
    <row r="293" spans="1:5" ht="13.5" customHeight="1">
      <c r="A293" s="1"/>
      <c r="E293" s="171"/>
    </row>
    <row r="294" spans="1:5" ht="13.5" customHeight="1">
      <c r="A294" s="1"/>
      <c r="E294" s="171"/>
    </row>
    <row r="295" spans="1:5" ht="13.5" customHeight="1">
      <c r="A295" s="1"/>
      <c r="E295" s="171"/>
    </row>
    <row r="296" spans="1:5" ht="13.5" customHeight="1">
      <c r="A296" s="1"/>
      <c r="E296" s="171"/>
    </row>
    <row r="297" spans="1:5" ht="13.5" customHeight="1">
      <c r="A297" s="1"/>
      <c r="E297" s="171"/>
    </row>
    <row r="298" spans="1:5" ht="13.5" customHeight="1">
      <c r="A298" s="1"/>
      <c r="E298" s="171"/>
    </row>
    <row r="299" spans="1:5" ht="13.5" customHeight="1">
      <c r="A299" s="1"/>
      <c r="E299" s="171"/>
    </row>
    <row r="300" spans="1:5" ht="13.5" customHeight="1">
      <c r="A300" s="1"/>
      <c r="E300" s="171"/>
    </row>
    <row r="301" spans="1:5" ht="13.5" customHeight="1">
      <c r="A301" s="1"/>
      <c r="E301" s="171"/>
    </row>
    <row r="302" spans="1:5" ht="13.5" customHeight="1">
      <c r="A302" s="1"/>
      <c r="E302" s="171"/>
    </row>
    <row r="303" spans="1:5" ht="13.5" customHeight="1">
      <c r="A303" s="1"/>
      <c r="E303" s="171"/>
    </row>
    <row r="304" spans="1:5" ht="13.5" customHeight="1">
      <c r="A304" s="1"/>
      <c r="E304" s="171"/>
    </row>
    <row r="305" spans="1:5" ht="13.5" customHeight="1">
      <c r="A305" s="1"/>
      <c r="E305" s="171"/>
    </row>
    <row r="306" spans="1:5" ht="13.5" customHeight="1">
      <c r="A306" s="1"/>
      <c r="E306" s="171"/>
    </row>
    <row r="307" spans="1:5" ht="13.5" customHeight="1">
      <c r="A307" s="1"/>
      <c r="E307" s="171"/>
    </row>
    <row r="308" spans="1:5" ht="13.5" customHeight="1">
      <c r="A308" s="1"/>
      <c r="E308" s="171"/>
    </row>
    <row r="309" spans="1:5" ht="13.5" customHeight="1">
      <c r="A309" s="1"/>
      <c r="E309" s="171"/>
    </row>
    <row r="310" spans="1:5" ht="13.5" customHeight="1">
      <c r="A310" s="1"/>
      <c r="E310" s="171"/>
    </row>
    <row r="311" spans="1:5" ht="13.5" customHeight="1">
      <c r="A311" s="1"/>
      <c r="E311" s="171"/>
    </row>
    <row r="312" spans="1:5" ht="13.5" customHeight="1">
      <c r="A312" s="1"/>
      <c r="E312" s="171"/>
    </row>
    <row r="313" spans="1:5" ht="13.5" customHeight="1">
      <c r="A313" s="1"/>
      <c r="E313" s="171"/>
    </row>
    <row r="314" spans="1:5" ht="13.5" customHeight="1">
      <c r="A314" s="1"/>
      <c r="E314" s="171"/>
    </row>
    <row r="315" spans="1:5" ht="13.5" customHeight="1">
      <c r="A315" s="1"/>
      <c r="E315" s="171"/>
    </row>
    <row r="316" spans="1:5" ht="13.5" customHeight="1">
      <c r="A316" s="1"/>
      <c r="E316" s="171"/>
    </row>
    <row r="317" spans="1:5" ht="13.5" customHeight="1">
      <c r="A317" s="1"/>
      <c r="E317" s="171"/>
    </row>
    <row r="318" spans="1:5" ht="13.5" customHeight="1">
      <c r="A318" s="1"/>
      <c r="E318" s="171"/>
    </row>
    <row r="319" spans="1:5" ht="13.5" customHeight="1">
      <c r="A319" s="1"/>
      <c r="E319" s="171"/>
    </row>
    <row r="320" spans="1:5" ht="13.5" customHeight="1">
      <c r="A320" s="1"/>
      <c r="E320" s="171"/>
    </row>
    <row r="321" spans="1:5" ht="13.5" customHeight="1">
      <c r="A321" s="1"/>
      <c r="E321" s="171"/>
    </row>
    <row r="322" spans="1:5" ht="13.5" customHeight="1">
      <c r="A322" s="1"/>
      <c r="E322" s="171"/>
    </row>
    <row r="323" spans="1:5" ht="13.5" customHeight="1">
      <c r="A323" s="1"/>
      <c r="E323" s="171"/>
    </row>
    <row r="324" spans="1:5" ht="13.5" customHeight="1">
      <c r="A324" s="1"/>
      <c r="E324" s="171"/>
    </row>
    <row r="325" spans="1:5" ht="13.5" customHeight="1">
      <c r="A325" s="1"/>
      <c r="E325" s="171"/>
    </row>
    <row r="326" spans="1:5" ht="13.5" customHeight="1">
      <c r="A326" s="1"/>
      <c r="E326" s="171"/>
    </row>
    <row r="327" spans="1:5" ht="13.5" customHeight="1">
      <c r="A327" s="1"/>
      <c r="E327" s="171"/>
    </row>
    <row r="328" spans="1:5" ht="13.5" customHeight="1">
      <c r="A328" s="1"/>
      <c r="E328" s="171"/>
    </row>
    <row r="329" spans="1:5" ht="13.5" customHeight="1">
      <c r="A329" s="1"/>
      <c r="E329" s="171"/>
    </row>
    <row r="330" spans="1:5" ht="13.5" customHeight="1">
      <c r="A330" s="1"/>
      <c r="E330" s="171"/>
    </row>
    <row r="331" spans="1:5" ht="13.5" customHeight="1">
      <c r="A331" s="1"/>
      <c r="E331" s="171"/>
    </row>
    <row r="332" spans="1:5" ht="13.5" customHeight="1">
      <c r="A332" s="1"/>
      <c r="E332" s="171"/>
    </row>
    <row r="333" spans="1:5" ht="13.5" customHeight="1">
      <c r="A333" s="1"/>
      <c r="E333" s="171"/>
    </row>
    <row r="334" spans="1:5" ht="13.5" customHeight="1">
      <c r="A334" s="1"/>
      <c r="E334" s="171"/>
    </row>
    <row r="335" spans="1:5" ht="13.5" customHeight="1">
      <c r="A335" s="1"/>
      <c r="E335" s="171"/>
    </row>
    <row r="336" spans="1:5" ht="13.5" customHeight="1">
      <c r="A336" s="1"/>
      <c r="E336" s="171"/>
    </row>
    <row r="337" spans="1:5" ht="13.5" customHeight="1">
      <c r="A337" s="1"/>
      <c r="E337" s="171"/>
    </row>
    <row r="338" spans="1:5" ht="13.5" customHeight="1">
      <c r="A338" s="1"/>
      <c r="E338" s="171"/>
    </row>
    <row r="339" spans="1:5" ht="13.5" customHeight="1">
      <c r="A339" s="1"/>
      <c r="E339" s="171"/>
    </row>
    <row r="340" spans="1:5" ht="13.5" customHeight="1">
      <c r="A340" s="1"/>
      <c r="E340" s="171"/>
    </row>
    <row r="341" spans="1:5" ht="13.5" customHeight="1">
      <c r="A341" s="1"/>
      <c r="E341" s="171"/>
    </row>
    <row r="342" spans="1:5" ht="13.5" customHeight="1">
      <c r="A342" s="1"/>
      <c r="E342" s="171"/>
    </row>
    <row r="343" spans="1:5" ht="13.5" customHeight="1">
      <c r="A343" s="1"/>
      <c r="E343" s="171"/>
    </row>
    <row r="344" spans="1:5" ht="13.5" customHeight="1">
      <c r="A344" s="1"/>
      <c r="E344" s="171"/>
    </row>
    <row r="345" spans="1:5" ht="13.5" customHeight="1">
      <c r="A345" s="1"/>
      <c r="E345" s="171"/>
    </row>
    <row r="346" spans="1:5" ht="13.5" customHeight="1">
      <c r="A346" s="1"/>
      <c r="E346" s="171"/>
    </row>
    <row r="347" spans="1:5" ht="13.5" customHeight="1">
      <c r="A347" s="1"/>
      <c r="E347" s="171"/>
    </row>
    <row r="348" spans="1:5" ht="13.5" customHeight="1">
      <c r="A348" s="1"/>
      <c r="E348" s="171"/>
    </row>
    <row r="349" spans="1:5" ht="13.5" customHeight="1">
      <c r="A349" s="1"/>
      <c r="E349" s="171"/>
    </row>
    <row r="350" spans="1:5" ht="13.5" customHeight="1">
      <c r="A350" s="1"/>
      <c r="E350" s="171"/>
    </row>
    <row r="351" spans="1:5" ht="13.5" customHeight="1">
      <c r="A351" s="1"/>
      <c r="E351" s="171"/>
    </row>
    <row r="352" spans="1:5" ht="13.5" customHeight="1">
      <c r="A352" s="1"/>
      <c r="E352" s="171"/>
    </row>
    <row r="353" spans="1:5" ht="13.5" customHeight="1">
      <c r="A353" s="1"/>
      <c r="E353" s="171"/>
    </row>
    <row r="354" spans="1:5" ht="13.5" customHeight="1">
      <c r="A354" s="1"/>
      <c r="E354" s="171"/>
    </row>
    <row r="355" spans="1:5" ht="13.5" customHeight="1">
      <c r="A355" s="1"/>
      <c r="E355" s="171"/>
    </row>
    <row r="356" spans="1:5" ht="13.5" customHeight="1">
      <c r="A356" s="1"/>
      <c r="E356" s="171"/>
    </row>
    <row r="357" spans="1:5" ht="13.5" customHeight="1">
      <c r="A357" s="1"/>
      <c r="E357" s="171"/>
    </row>
    <row r="358" spans="1:5" ht="13.5" customHeight="1">
      <c r="A358" s="1"/>
      <c r="E358" s="171"/>
    </row>
    <row r="359" spans="1:5" ht="13.5" customHeight="1">
      <c r="A359" s="1"/>
      <c r="E359" s="171"/>
    </row>
    <row r="360" spans="1:5" ht="13.5" customHeight="1">
      <c r="A360" s="1"/>
      <c r="E360" s="171"/>
    </row>
    <row r="361" spans="1:5" ht="13.5" customHeight="1">
      <c r="A361" s="1"/>
      <c r="E361" s="171"/>
    </row>
    <row r="362" spans="1:5" ht="13.5" customHeight="1">
      <c r="A362" s="1"/>
      <c r="E362" s="171"/>
    </row>
    <row r="363" spans="1:5" ht="13.5" customHeight="1">
      <c r="A363" s="1"/>
      <c r="E363" s="171"/>
    </row>
    <row r="364" spans="1:5" ht="13.5" customHeight="1">
      <c r="A364" s="1"/>
      <c r="E364" s="171"/>
    </row>
    <row r="365" spans="1:5" ht="13.5" customHeight="1">
      <c r="A365" s="1"/>
      <c r="E365" s="171"/>
    </row>
    <row r="366" spans="1:5" ht="13.5" customHeight="1">
      <c r="A366" s="1"/>
      <c r="E366" s="171"/>
    </row>
    <row r="367" spans="1:5" ht="13.5" customHeight="1">
      <c r="A367" s="1"/>
      <c r="E367" s="171"/>
    </row>
    <row r="368" spans="1:5" ht="13.5" customHeight="1">
      <c r="A368" s="1"/>
      <c r="E368" s="171"/>
    </row>
    <row r="369" spans="1:5" ht="13.5" customHeight="1">
      <c r="A369" s="1"/>
      <c r="E369" s="171"/>
    </row>
    <row r="370" spans="1:5" ht="13.5" customHeight="1">
      <c r="A370" s="1"/>
      <c r="E370" s="171"/>
    </row>
    <row r="371" spans="1:5" ht="13.5" customHeight="1">
      <c r="A371" s="1"/>
      <c r="E371" s="171"/>
    </row>
    <row r="372" spans="1:5" ht="13.5" customHeight="1">
      <c r="A372" s="1"/>
      <c r="E372" s="171"/>
    </row>
    <row r="373" spans="1:5" ht="13.5" customHeight="1">
      <c r="A373" s="1"/>
      <c r="E373" s="171"/>
    </row>
    <row r="374" spans="1:5" ht="13.5" customHeight="1">
      <c r="A374" s="1"/>
      <c r="E374" s="171"/>
    </row>
    <row r="375" spans="1:5" ht="13.5" customHeight="1">
      <c r="A375" s="1"/>
      <c r="E375" s="171"/>
    </row>
    <row r="376" spans="1:5" ht="13.5" customHeight="1">
      <c r="A376" s="1"/>
      <c r="E376" s="171"/>
    </row>
    <row r="377" spans="1:5" ht="13.5" customHeight="1">
      <c r="A377" s="1"/>
      <c r="E377" s="171"/>
    </row>
    <row r="378" spans="1:5" ht="13.5" customHeight="1">
      <c r="A378" s="1"/>
      <c r="E378" s="171"/>
    </row>
    <row r="379" spans="1:5" ht="13.5" customHeight="1">
      <c r="A379" s="1"/>
      <c r="E379" s="171"/>
    </row>
    <row r="380" spans="1:5" ht="13.5" customHeight="1">
      <c r="A380" s="1"/>
      <c r="E380" s="171"/>
    </row>
    <row r="381" spans="1:5" ht="13.5" customHeight="1">
      <c r="A381" s="1"/>
      <c r="E381" s="171"/>
    </row>
    <row r="382" spans="1:5" ht="13.5" customHeight="1">
      <c r="A382" s="1"/>
      <c r="E382" s="171"/>
    </row>
    <row r="383" spans="1:5" ht="13.5" customHeight="1">
      <c r="A383" s="1"/>
      <c r="E383" s="171"/>
    </row>
    <row r="384" spans="1:5" ht="13.5" customHeight="1">
      <c r="A384" s="1"/>
      <c r="E384" s="171"/>
    </row>
    <row r="385" spans="1:5" ht="13.5" customHeight="1">
      <c r="A385" s="1"/>
      <c r="E385" s="171"/>
    </row>
    <row r="386" spans="1:5" ht="13.5" customHeight="1">
      <c r="A386" s="1"/>
      <c r="E386" s="171"/>
    </row>
    <row r="387" spans="1:5" ht="13.5" customHeight="1">
      <c r="A387" s="1"/>
      <c r="E387" s="171"/>
    </row>
    <row r="388" spans="1:5" ht="13.5" customHeight="1">
      <c r="A388" s="1"/>
      <c r="E388" s="171"/>
    </row>
    <row r="389" spans="1:5" ht="13.5" customHeight="1">
      <c r="A389" s="1"/>
      <c r="E389" s="171"/>
    </row>
    <row r="390" spans="1:5" ht="13.5" customHeight="1">
      <c r="A390" s="1"/>
      <c r="E390" s="171"/>
    </row>
    <row r="391" spans="1:5" ht="13.5" customHeight="1">
      <c r="A391" s="1"/>
      <c r="E391" s="171"/>
    </row>
    <row r="392" spans="1:5" ht="13.5" customHeight="1">
      <c r="A392" s="1"/>
      <c r="E392" s="171"/>
    </row>
    <row r="393" spans="1:5" ht="13.5" customHeight="1">
      <c r="A393" s="1"/>
      <c r="E393" s="171"/>
    </row>
    <row r="394" spans="1:5" ht="13.5" customHeight="1">
      <c r="A394" s="1"/>
      <c r="E394" s="171"/>
    </row>
    <row r="395" spans="1:5" ht="13.5" customHeight="1">
      <c r="A395" s="1"/>
      <c r="E395" s="171"/>
    </row>
    <row r="396" spans="1:5" ht="13.5" customHeight="1">
      <c r="A396" s="1"/>
      <c r="E396" s="171"/>
    </row>
    <row r="397" spans="1:5" ht="13.5" customHeight="1">
      <c r="A397" s="1"/>
      <c r="E397" s="171"/>
    </row>
    <row r="398" spans="1:5" ht="13.5" customHeight="1">
      <c r="A398" s="1"/>
      <c r="E398" s="171"/>
    </row>
    <row r="399" spans="1:5" ht="13.5" customHeight="1">
      <c r="A399" s="1"/>
      <c r="E399" s="171"/>
    </row>
    <row r="400" spans="1:5" ht="13.5" customHeight="1">
      <c r="A400" s="1"/>
      <c r="E400" s="171"/>
    </row>
    <row r="401" spans="1:5" ht="13.5" customHeight="1">
      <c r="A401" s="1"/>
      <c r="E401" s="171"/>
    </row>
    <row r="402" spans="1:5" ht="13.5" customHeight="1">
      <c r="A402" s="1"/>
      <c r="E402" s="171"/>
    </row>
    <row r="403" spans="1:5" ht="13.5" customHeight="1">
      <c r="A403" s="1"/>
      <c r="E403" s="171"/>
    </row>
    <row r="404" spans="1:5" ht="13.5" customHeight="1">
      <c r="A404" s="1"/>
      <c r="E404" s="171"/>
    </row>
    <row r="405" spans="1:5" ht="13.5" customHeight="1">
      <c r="A405" s="1"/>
      <c r="E405" s="171"/>
    </row>
    <row r="406" spans="1:5" ht="13.5" customHeight="1">
      <c r="A406" s="1"/>
      <c r="E406" s="171"/>
    </row>
    <row r="407" spans="1:5" ht="13.5" customHeight="1">
      <c r="A407" s="1"/>
      <c r="E407" s="171"/>
    </row>
    <row r="408" spans="1:5" ht="13.5" customHeight="1">
      <c r="A408" s="1"/>
      <c r="E408" s="171"/>
    </row>
    <row r="409" spans="1:5" ht="13.5" customHeight="1">
      <c r="A409" s="1"/>
      <c r="E409" s="171"/>
    </row>
    <row r="410" spans="1:5" ht="13.5" customHeight="1">
      <c r="A410" s="1"/>
      <c r="E410" s="171"/>
    </row>
    <row r="411" spans="1:5" ht="13.5" customHeight="1">
      <c r="A411" s="1"/>
      <c r="E411" s="171"/>
    </row>
    <row r="412" spans="1:5" ht="13.5" customHeight="1">
      <c r="A412" s="1"/>
      <c r="E412" s="171"/>
    </row>
    <row r="413" spans="1:5" ht="13.5" customHeight="1">
      <c r="A413" s="1"/>
      <c r="E413" s="171"/>
    </row>
    <row r="414" spans="1:5" ht="13.5" customHeight="1">
      <c r="A414" s="1"/>
      <c r="E414" s="171"/>
    </row>
    <row r="415" spans="1:5" ht="13.5" customHeight="1">
      <c r="A415" s="1"/>
      <c r="E415" s="171"/>
    </row>
    <row r="416" spans="1:5" ht="13.5" customHeight="1">
      <c r="A416" s="1"/>
      <c r="E416" s="171"/>
    </row>
    <row r="417" spans="1:5" ht="13.5" customHeight="1">
      <c r="A417" s="1"/>
      <c r="E417" s="171"/>
    </row>
    <row r="418" spans="1:5" ht="13.5" customHeight="1">
      <c r="A418" s="1"/>
      <c r="E418" s="171"/>
    </row>
    <row r="419" spans="1:5" ht="13.5" customHeight="1">
      <c r="A419" s="1"/>
      <c r="E419" s="171"/>
    </row>
    <row r="420" spans="1:5" ht="13.5" customHeight="1">
      <c r="A420" s="1"/>
      <c r="E420" s="171"/>
    </row>
    <row r="421" spans="1:5" ht="13.5" customHeight="1">
      <c r="A421" s="1"/>
      <c r="E421" s="171"/>
    </row>
    <row r="422" spans="1:5" ht="13.5" customHeight="1">
      <c r="A422" s="1"/>
      <c r="E422" s="171"/>
    </row>
    <row r="423" spans="1:5" ht="13.5" customHeight="1">
      <c r="A423" s="1"/>
      <c r="E423" s="171"/>
    </row>
    <row r="424" spans="1:5" ht="13.5" customHeight="1">
      <c r="A424" s="1"/>
      <c r="E424" s="171"/>
    </row>
    <row r="425" spans="1:5" ht="13.5" customHeight="1">
      <c r="A425" s="1"/>
      <c r="E425" s="171"/>
    </row>
    <row r="426" spans="1:5" ht="13.5" customHeight="1">
      <c r="A426" s="1"/>
      <c r="E426" s="171"/>
    </row>
    <row r="427" spans="1:5" ht="13.5" customHeight="1">
      <c r="A427" s="1"/>
      <c r="E427" s="171"/>
    </row>
    <row r="428" spans="1:5" ht="13.5" customHeight="1">
      <c r="A428" s="1"/>
      <c r="E428" s="171"/>
    </row>
    <row r="429" spans="1:5" ht="13.5" customHeight="1">
      <c r="A429" s="1"/>
      <c r="E429" s="171"/>
    </row>
    <row r="430" spans="1:5" ht="13.5" customHeight="1">
      <c r="A430" s="1"/>
      <c r="E430" s="171"/>
    </row>
    <row r="431" spans="1:5" ht="13.5" customHeight="1">
      <c r="A431" s="1"/>
      <c r="E431" s="171"/>
    </row>
    <row r="432" spans="1:5" ht="13.5" customHeight="1">
      <c r="A432" s="1"/>
      <c r="E432" s="171"/>
    </row>
    <row r="433" spans="1:5" ht="13.5" customHeight="1">
      <c r="A433" s="1"/>
      <c r="E433" s="171"/>
    </row>
    <row r="434" spans="1:5" ht="13.5" customHeight="1">
      <c r="A434" s="1"/>
      <c r="E434" s="171"/>
    </row>
    <row r="435" spans="1:5" ht="13.5" customHeight="1">
      <c r="A435" s="1"/>
      <c r="E435" s="171"/>
    </row>
    <row r="436" spans="1:5" ht="13.5" customHeight="1">
      <c r="A436" s="1"/>
      <c r="E436" s="171"/>
    </row>
    <row r="437" spans="1:5" ht="13.5" customHeight="1">
      <c r="A437" s="1"/>
      <c r="E437" s="171"/>
    </row>
    <row r="438" spans="1:5" ht="13.5" customHeight="1">
      <c r="A438" s="1"/>
      <c r="E438" s="171"/>
    </row>
    <row r="439" spans="1:5" ht="13.5" customHeight="1">
      <c r="A439" s="1"/>
      <c r="E439" s="171"/>
    </row>
    <row r="440" spans="1:5" ht="13.5" customHeight="1">
      <c r="A440" s="1"/>
      <c r="E440" s="171"/>
    </row>
    <row r="441" spans="1:5" ht="13.5" customHeight="1">
      <c r="A441" s="1"/>
      <c r="E441" s="171"/>
    </row>
    <row r="442" spans="1:5" ht="13.5" customHeight="1">
      <c r="A442" s="1"/>
      <c r="E442" s="171"/>
    </row>
    <row r="443" spans="1:5" ht="13.5" customHeight="1">
      <c r="A443" s="1"/>
      <c r="E443" s="171"/>
    </row>
    <row r="444" spans="1:5" ht="13.5" customHeight="1">
      <c r="A444" s="1"/>
      <c r="E444" s="171"/>
    </row>
    <row r="445" spans="1:5" ht="13.5" customHeight="1">
      <c r="A445" s="1"/>
      <c r="E445" s="171"/>
    </row>
    <row r="446" spans="1:5" ht="13.5" customHeight="1">
      <c r="A446" s="1"/>
      <c r="E446" s="171"/>
    </row>
    <row r="447" spans="1:5" ht="13.5" customHeight="1">
      <c r="A447" s="1"/>
      <c r="E447" s="171"/>
    </row>
    <row r="448" spans="1:5" ht="13.5" customHeight="1">
      <c r="A448" s="1"/>
      <c r="E448" s="171"/>
    </row>
    <row r="449" spans="1:5" ht="13.5" customHeight="1">
      <c r="A449" s="1"/>
      <c r="E449" s="171"/>
    </row>
    <row r="450" spans="1:5" ht="13.5" customHeight="1">
      <c r="A450" s="1"/>
      <c r="E450" s="171"/>
    </row>
    <row r="451" spans="1:5" ht="13.5" customHeight="1">
      <c r="A451" s="1"/>
      <c r="E451" s="171"/>
    </row>
    <row r="452" spans="1:5" ht="13.5" customHeight="1">
      <c r="A452" s="1"/>
      <c r="E452" s="171"/>
    </row>
    <row r="453" spans="1:5" ht="13.5" customHeight="1">
      <c r="A453" s="1"/>
      <c r="E453" s="171"/>
    </row>
    <row r="454" spans="1:5" ht="13.5" customHeight="1">
      <c r="A454" s="1"/>
      <c r="E454" s="171"/>
    </row>
    <row r="455" spans="1:5" ht="13.5" customHeight="1">
      <c r="A455" s="1"/>
      <c r="E455" s="171"/>
    </row>
    <row r="456" spans="1:5" ht="13.5" customHeight="1">
      <c r="A456" s="1"/>
      <c r="E456" s="171"/>
    </row>
    <row r="457" spans="1:5" ht="13.5" customHeight="1">
      <c r="A457" s="1"/>
      <c r="E457" s="171"/>
    </row>
    <row r="458" spans="1:5" ht="13.5" customHeight="1">
      <c r="A458" s="1"/>
      <c r="E458" s="171"/>
    </row>
    <row r="459" spans="1:5" ht="13.5" customHeight="1">
      <c r="A459" s="1"/>
      <c r="E459" s="171"/>
    </row>
    <row r="460" spans="1:5" ht="13.5" customHeight="1">
      <c r="A460" s="1"/>
      <c r="E460" s="171"/>
    </row>
    <row r="461" spans="1:5" ht="13.5" customHeight="1">
      <c r="A461" s="1"/>
      <c r="E461" s="171"/>
    </row>
    <row r="462" spans="1:5" ht="13.5" customHeight="1">
      <c r="A462" s="1"/>
      <c r="E462" s="171"/>
    </row>
    <row r="463" spans="1:5" ht="13.5" customHeight="1">
      <c r="A463" s="1"/>
      <c r="E463" s="171"/>
    </row>
    <row r="464" spans="1:5" ht="13.5" customHeight="1">
      <c r="A464" s="1"/>
      <c r="E464" s="171"/>
    </row>
    <row r="465" spans="1:5" ht="13.5" customHeight="1">
      <c r="A465" s="1"/>
      <c r="E465" s="171"/>
    </row>
    <row r="466" spans="1:5" ht="13.5" customHeight="1">
      <c r="A466" s="1"/>
      <c r="E466" s="171"/>
    </row>
    <row r="467" spans="1:5" ht="13.5" customHeight="1">
      <c r="A467" s="1"/>
      <c r="E467" s="171"/>
    </row>
    <row r="468" spans="1:5" ht="13.5" customHeight="1">
      <c r="A468" s="1"/>
      <c r="E468" s="171"/>
    </row>
    <row r="469" spans="1:5" ht="13.5" customHeight="1">
      <c r="A469" s="1"/>
      <c r="E469" s="171"/>
    </row>
    <row r="470" spans="1:5" ht="13.5" customHeight="1">
      <c r="A470" s="1"/>
      <c r="E470" s="171"/>
    </row>
    <row r="471" spans="1:5" ht="13.5" customHeight="1">
      <c r="A471" s="1"/>
      <c r="E471" s="171"/>
    </row>
    <row r="472" spans="1:5" ht="13.5" customHeight="1">
      <c r="A472" s="1"/>
      <c r="E472" s="171"/>
    </row>
    <row r="473" spans="1:5" ht="13.5" customHeight="1">
      <c r="A473" s="1"/>
      <c r="E473" s="171"/>
    </row>
    <row r="474" spans="1:5" ht="13.5" customHeight="1">
      <c r="A474" s="1"/>
      <c r="E474" s="171"/>
    </row>
    <row r="475" spans="1:5" ht="13.5" customHeight="1">
      <c r="A475" s="1"/>
      <c r="E475" s="171"/>
    </row>
    <row r="476" spans="1:5" ht="13.5" customHeight="1">
      <c r="A476" s="1"/>
      <c r="E476" s="171"/>
    </row>
    <row r="477" spans="1:5" ht="13.5" customHeight="1">
      <c r="A477" s="1"/>
      <c r="E477" s="171"/>
    </row>
    <row r="478" spans="1:5" ht="13.5" customHeight="1">
      <c r="A478" s="1"/>
      <c r="E478" s="171"/>
    </row>
    <row r="479" spans="1:5" ht="13.5" customHeight="1">
      <c r="A479" s="1"/>
      <c r="E479" s="171"/>
    </row>
    <row r="480" spans="1:5" ht="13.5" customHeight="1">
      <c r="A480" s="1"/>
      <c r="E480" s="171"/>
    </row>
    <row r="481" spans="1:5" ht="13.5" customHeight="1">
      <c r="A481" s="1"/>
      <c r="E481" s="171"/>
    </row>
    <row r="482" spans="1:5" ht="13.5" customHeight="1">
      <c r="A482" s="1"/>
      <c r="E482" s="171"/>
    </row>
    <row r="483" spans="1:5" ht="13.5" customHeight="1">
      <c r="A483" s="1"/>
      <c r="E483" s="171"/>
    </row>
    <row r="484" spans="1:5" ht="13.5" customHeight="1">
      <c r="A484" s="1"/>
      <c r="E484" s="171"/>
    </row>
    <row r="485" spans="1:5" ht="13.5" customHeight="1">
      <c r="A485" s="1"/>
      <c r="E485" s="171"/>
    </row>
    <row r="486" spans="1:5" ht="13.5" customHeight="1">
      <c r="A486" s="1"/>
      <c r="E486" s="171"/>
    </row>
    <row r="487" spans="1:5" ht="13.5" customHeight="1">
      <c r="A487" s="1"/>
      <c r="E487" s="171"/>
    </row>
    <row r="488" spans="1:5" ht="13.5" customHeight="1">
      <c r="A488" s="1"/>
      <c r="E488" s="171"/>
    </row>
    <row r="489" spans="1:5" ht="13.5" customHeight="1">
      <c r="A489" s="1"/>
      <c r="E489" s="171"/>
    </row>
    <row r="490" spans="1:5" ht="13.5" customHeight="1">
      <c r="A490" s="1"/>
      <c r="E490" s="171"/>
    </row>
    <row r="491" spans="1:5" ht="13.5" customHeight="1">
      <c r="A491" s="1"/>
      <c r="E491" s="171"/>
    </row>
    <row r="492" spans="1:5" ht="13.5" customHeight="1">
      <c r="A492" s="1"/>
      <c r="E492" s="171"/>
    </row>
    <row r="493" spans="1:5" ht="13.5" customHeight="1">
      <c r="A493" s="1"/>
      <c r="E493" s="171"/>
    </row>
    <row r="494" spans="1:5" ht="13.5" customHeight="1">
      <c r="A494" s="1"/>
      <c r="E494" s="171"/>
    </row>
    <row r="495" spans="1:5" ht="13.5" customHeight="1">
      <c r="A495" s="1"/>
      <c r="E495" s="171"/>
    </row>
    <row r="496" spans="1:5" ht="13.5" customHeight="1">
      <c r="A496" s="1"/>
      <c r="E496" s="171"/>
    </row>
    <row r="497" spans="1:5" ht="13.5" customHeight="1">
      <c r="A497" s="1"/>
      <c r="E497" s="171"/>
    </row>
    <row r="498" spans="1:5" ht="13.5" customHeight="1">
      <c r="A498" s="1"/>
      <c r="E498" s="171"/>
    </row>
    <row r="499" spans="1:5" ht="13.5" customHeight="1">
      <c r="A499" s="1"/>
      <c r="E499" s="171"/>
    </row>
    <row r="500" spans="1:5" ht="13.5" customHeight="1">
      <c r="A500" s="1"/>
      <c r="E500" s="171"/>
    </row>
    <row r="501" spans="1:5" ht="13.5" customHeight="1">
      <c r="A501" s="1"/>
      <c r="E501" s="171"/>
    </row>
    <row r="502" spans="1:5" ht="13.5" customHeight="1">
      <c r="A502" s="1"/>
      <c r="E502" s="171"/>
    </row>
    <row r="503" spans="1:5" ht="13.5" customHeight="1">
      <c r="A503" s="1"/>
      <c r="E503" s="171"/>
    </row>
    <row r="504" spans="1:5" ht="13.5" customHeight="1">
      <c r="A504" s="1"/>
      <c r="E504" s="171"/>
    </row>
    <row r="505" spans="1:5" ht="13.5" customHeight="1">
      <c r="A505" s="1"/>
      <c r="E505" s="171"/>
    </row>
    <row r="506" spans="1:5" ht="13.5" customHeight="1">
      <c r="A506" s="1"/>
      <c r="E506" s="171"/>
    </row>
    <row r="507" spans="1:5" ht="13.5" customHeight="1">
      <c r="A507" s="1"/>
      <c r="E507" s="171"/>
    </row>
    <row r="508" spans="1:5" ht="13.5" customHeight="1">
      <c r="A508" s="1"/>
      <c r="E508" s="171"/>
    </row>
    <row r="509" spans="1:5" ht="13.5" customHeight="1">
      <c r="A509" s="1"/>
      <c r="E509" s="171"/>
    </row>
    <row r="510" spans="1:5" ht="13.5" customHeight="1">
      <c r="A510" s="1"/>
      <c r="E510" s="171"/>
    </row>
    <row r="511" spans="1:5" ht="13.5" customHeight="1">
      <c r="A511" s="1"/>
      <c r="E511" s="171"/>
    </row>
    <row r="512" spans="1:5" ht="13.5" customHeight="1">
      <c r="A512" s="1"/>
      <c r="E512" s="171"/>
    </row>
    <row r="513" spans="1:5" ht="13.5" customHeight="1">
      <c r="A513" s="1"/>
      <c r="E513" s="171"/>
    </row>
    <row r="514" spans="1:5" ht="13.5" customHeight="1">
      <c r="A514" s="1"/>
      <c r="E514" s="171"/>
    </row>
    <row r="515" spans="1:5" ht="13.5" customHeight="1">
      <c r="A515" s="1"/>
      <c r="E515" s="171"/>
    </row>
    <row r="516" spans="1:5" ht="13.5" customHeight="1">
      <c r="A516" s="1"/>
      <c r="E516" s="171"/>
    </row>
    <row r="517" spans="1:5" ht="13.5" customHeight="1">
      <c r="A517" s="1"/>
      <c r="E517" s="171"/>
    </row>
    <row r="518" spans="1:5" ht="13.5" customHeight="1">
      <c r="A518" s="1"/>
      <c r="E518" s="171"/>
    </row>
    <row r="519" spans="1:5" ht="13.5" customHeight="1">
      <c r="A519" s="1"/>
      <c r="E519" s="171"/>
    </row>
    <row r="520" spans="1:5" ht="13.5" customHeight="1">
      <c r="A520" s="1"/>
      <c r="E520" s="171"/>
    </row>
    <row r="521" spans="1:5" ht="13.5" customHeight="1">
      <c r="A521" s="1"/>
      <c r="E521" s="171"/>
    </row>
    <row r="522" spans="1:5" ht="13.5" customHeight="1">
      <c r="A522" s="1"/>
      <c r="E522" s="171"/>
    </row>
    <row r="523" spans="1:5" ht="13.5" customHeight="1">
      <c r="A523" s="1"/>
      <c r="E523" s="171"/>
    </row>
    <row r="524" spans="1:5" ht="13.5" customHeight="1">
      <c r="A524" s="1"/>
      <c r="E524" s="171"/>
    </row>
    <row r="525" spans="1:5" ht="13.5" customHeight="1">
      <c r="A525" s="1"/>
      <c r="E525" s="171"/>
    </row>
    <row r="526" spans="1:5" ht="13.5" customHeight="1">
      <c r="A526" s="1"/>
      <c r="E526" s="171"/>
    </row>
    <row r="527" spans="1:5" ht="13.5" customHeight="1">
      <c r="A527" s="1"/>
      <c r="E527" s="171"/>
    </row>
    <row r="528" spans="1:5" ht="13.5" customHeight="1">
      <c r="A528" s="1"/>
      <c r="E528" s="171"/>
    </row>
    <row r="529" spans="1:5" ht="13.5" customHeight="1">
      <c r="A529" s="1"/>
      <c r="E529" s="171"/>
    </row>
    <row r="530" spans="1:5" ht="13.5" customHeight="1">
      <c r="A530" s="1"/>
      <c r="E530" s="171"/>
    </row>
    <row r="531" spans="1:5" ht="13.5" customHeight="1">
      <c r="A531" s="1"/>
      <c r="E531" s="171"/>
    </row>
    <row r="532" spans="1:5" ht="13.5" customHeight="1">
      <c r="A532" s="1"/>
      <c r="E532" s="171"/>
    </row>
    <row r="533" spans="1:5" ht="13.5" customHeight="1">
      <c r="A533" s="1"/>
      <c r="E533" s="171"/>
    </row>
    <row r="534" spans="1:5" ht="13.5" customHeight="1">
      <c r="A534" s="1"/>
      <c r="E534" s="171"/>
    </row>
    <row r="535" spans="1:5" ht="13.5" customHeight="1">
      <c r="A535" s="1"/>
      <c r="E535" s="171"/>
    </row>
    <row r="536" spans="1:5" ht="13.5" customHeight="1">
      <c r="A536" s="1"/>
      <c r="E536" s="171"/>
    </row>
    <row r="537" spans="1:5" ht="13.5" customHeight="1">
      <c r="A537" s="1"/>
      <c r="E537" s="171"/>
    </row>
    <row r="538" spans="1:5" ht="13.5" customHeight="1">
      <c r="A538" s="1"/>
      <c r="E538" s="171"/>
    </row>
    <row r="539" spans="1:5" ht="13.5" customHeight="1">
      <c r="A539" s="1"/>
      <c r="E539" s="171"/>
    </row>
    <row r="540" spans="1:5" ht="13.5" customHeight="1">
      <c r="A540" s="1"/>
      <c r="E540" s="171"/>
    </row>
    <row r="541" spans="1:5" ht="13.5" customHeight="1">
      <c r="A541" s="1"/>
      <c r="E541" s="171"/>
    </row>
    <row r="542" spans="1:5" ht="13.5" customHeight="1">
      <c r="A542" s="1"/>
      <c r="E542" s="171"/>
    </row>
    <row r="543" spans="1:5" ht="13.5" customHeight="1">
      <c r="A543" s="1"/>
      <c r="E543" s="171"/>
    </row>
    <row r="544" spans="1:5" ht="13.5" customHeight="1">
      <c r="A544" s="1"/>
      <c r="E544" s="171"/>
    </row>
    <row r="545" spans="1:5" ht="13.5" customHeight="1">
      <c r="A545" s="1"/>
      <c r="E545" s="171"/>
    </row>
    <row r="546" spans="1:5" ht="13.5" customHeight="1">
      <c r="A546" s="1"/>
      <c r="E546" s="171"/>
    </row>
    <row r="547" spans="1:5" ht="13.5" customHeight="1">
      <c r="A547" s="1"/>
      <c r="E547" s="171"/>
    </row>
    <row r="548" spans="1:5" ht="13.5" customHeight="1">
      <c r="A548" s="1"/>
      <c r="E548" s="171"/>
    </row>
    <row r="549" spans="1:5" ht="13.5" customHeight="1">
      <c r="A549" s="1"/>
      <c r="E549" s="171"/>
    </row>
    <row r="550" spans="1:5" ht="13.5" customHeight="1">
      <c r="A550" s="1"/>
      <c r="E550" s="171"/>
    </row>
    <row r="551" spans="1:5" ht="13.5" customHeight="1">
      <c r="A551" s="1"/>
      <c r="E551" s="171"/>
    </row>
    <row r="552" spans="1:5" ht="13.5" customHeight="1">
      <c r="A552" s="1"/>
      <c r="E552" s="171"/>
    </row>
    <row r="553" spans="1:5" ht="13.5" customHeight="1">
      <c r="A553" s="1"/>
      <c r="E553" s="171"/>
    </row>
    <row r="554" spans="1:5" ht="13.5" customHeight="1">
      <c r="A554" s="1"/>
      <c r="E554" s="171"/>
    </row>
    <row r="555" spans="1:5" ht="13.5" customHeight="1">
      <c r="A555" s="1"/>
      <c r="E555" s="171"/>
    </row>
    <row r="556" spans="1:5" ht="13.5" customHeight="1">
      <c r="A556" s="1"/>
      <c r="E556" s="171"/>
    </row>
    <row r="557" spans="1:5" ht="13.5" customHeight="1">
      <c r="A557" s="1"/>
      <c r="E557" s="171"/>
    </row>
    <row r="558" spans="1:5" ht="13.5" customHeight="1">
      <c r="A558" s="1"/>
      <c r="E558" s="171"/>
    </row>
    <row r="559" spans="1:5" ht="13.5" customHeight="1">
      <c r="A559" s="1"/>
      <c r="E559" s="171"/>
    </row>
    <row r="560" spans="1:5" ht="13.5" customHeight="1">
      <c r="A560" s="1"/>
      <c r="E560" s="171"/>
    </row>
    <row r="561" spans="1:5" ht="13.5" customHeight="1">
      <c r="A561" s="1"/>
      <c r="E561" s="171"/>
    </row>
    <row r="562" spans="1:5" ht="13.5" customHeight="1">
      <c r="A562" s="1"/>
      <c r="E562" s="171"/>
    </row>
    <row r="563" spans="1:5" ht="13.5" customHeight="1">
      <c r="A563" s="1"/>
      <c r="E563" s="171"/>
    </row>
    <row r="564" spans="1:5" ht="13.5" customHeight="1">
      <c r="A564" s="1"/>
      <c r="E564" s="171"/>
    </row>
    <row r="565" spans="1:5" ht="13.5" customHeight="1">
      <c r="A565" s="1"/>
      <c r="E565" s="171"/>
    </row>
    <row r="566" spans="1:5" ht="13.5" customHeight="1">
      <c r="A566" s="1"/>
      <c r="E566" s="171"/>
    </row>
    <row r="567" spans="1:5" ht="13.5" customHeight="1">
      <c r="A567" s="1"/>
      <c r="E567" s="171"/>
    </row>
    <row r="568" spans="1:5" ht="13.5" customHeight="1">
      <c r="A568" s="1"/>
      <c r="E568" s="171"/>
    </row>
    <row r="569" spans="1:5" ht="13.5" customHeight="1">
      <c r="A569" s="1"/>
      <c r="E569" s="171"/>
    </row>
    <row r="570" spans="1:5" ht="13.5" customHeight="1">
      <c r="A570" s="1"/>
      <c r="E570" s="171"/>
    </row>
    <row r="571" spans="1:5" ht="13.5" customHeight="1">
      <c r="A571" s="1"/>
      <c r="E571" s="171"/>
    </row>
    <row r="572" spans="1:5" ht="13.5" customHeight="1">
      <c r="A572" s="1"/>
      <c r="E572" s="171"/>
    </row>
    <row r="573" spans="1:5" ht="13.5" customHeight="1">
      <c r="A573" s="1"/>
      <c r="E573" s="171"/>
    </row>
    <row r="574" spans="1:5" ht="13.5" customHeight="1">
      <c r="A574" s="1"/>
      <c r="E574" s="171"/>
    </row>
    <row r="575" spans="1:5" ht="13.5" customHeight="1">
      <c r="A575" s="1"/>
      <c r="E575" s="171"/>
    </row>
    <row r="576" spans="1:5" ht="13.5" customHeight="1">
      <c r="A576" s="1"/>
      <c r="E576" s="171"/>
    </row>
    <row r="577" spans="1:5" ht="13.5" customHeight="1">
      <c r="A577" s="1"/>
      <c r="E577" s="171"/>
    </row>
    <row r="578" spans="1:5" ht="13.5" customHeight="1">
      <c r="A578" s="1"/>
      <c r="E578" s="171"/>
    </row>
    <row r="579" spans="1:5" ht="13.5" customHeight="1">
      <c r="A579" s="1"/>
      <c r="E579" s="171"/>
    </row>
    <row r="580" spans="1:5" ht="13.5" customHeight="1">
      <c r="A580" s="1"/>
      <c r="E580" s="171"/>
    </row>
    <row r="581" spans="1:5" ht="13.5" customHeight="1">
      <c r="A581" s="1"/>
      <c r="E581" s="171"/>
    </row>
    <row r="582" spans="1:5" ht="13.5" customHeight="1">
      <c r="A582" s="1"/>
      <c r="E582" s="171"/>
    </row>
    <row r="583" spans="1:5" ht="13.5" customHeight="1">
      <c r="A583" s="1"/>
      <c r="E583" s="171"/>
    </row>
    <row r="584" spans="1:5" ht="13.5" customHeight="1">
      <c r="A584" s="1"/>
      <c r="E584" s="171"/>
    </row>
    <row r="585" spans="1:5" ht="13.5" customHeight="1">
      <c r="A585" s="1"/>
      <c r="E585" s="171"/>
    </row>
    <row r="586" spans="1:5" ht="13.5" customHeight="1">
      <c r="A586" s="1"/>
      <c r="E586" s="171"/>
    </row>
    <row r="587" spans="1:5" ht="13.5" customHeight="1">
      <c r="A587" s="1"/>
      <c r="E587" s="171"/>
    </row>
    <row r="588" spans="1:5" ht="13.5" customHeight="1">
      <c r="A588" s="1"/>
      <c r="E588" s="171"/>
    </row>
    <row r="589" spans="1:5" ht="13.5" customHeight="1">
      <c r="A589" s="1"/>
      <c r="E589" s="171"/>
    </row>
    <row r="590" spans="1:5" ht="13.5" customHeight="1">
      <c r="A590" s="1"/>
      <c r="E590" s="171"/>
    </row>
    <row r="591" spans="1:5" ht="13.5" customHeight="1">
      <c r="A591" s="1"/>
      <c r="E591" s="171"/>
    </row>
    <row r="592" spans="1:5" ht="13.5" customHeight="1">
      <c r="A592" s="1"/>
      <c r="E592" s="171"/>
    </row>
    <row r="593" spans="1:5" ht="13.5" customHeight="1">
      <c r="A593" s="1"/>
      <c r="E593" s="171"/>
    </row>
    <row r="594" spans="1:5" ht="13.5" customHeight="1">
      <c r="A594" s="1"/>
      <c r="E594" s="171"/>
    </row>
    <row r="595" spans="1:5" ht="13.5" customHeight="1">
      <c r="A595" s="1"/>
      <c r="E595" s="171"/>
    </row>
    <row r="596" spans="1:5" ht="13.5" customHeight="1">
      <c r="A596" s="1"/>
      <c r="E596" s="171"/>
    </row>
    <row r="597" spans="1:5" ht="13.5" customHeight="1">
      <c r="A597" s="1"/>
      <c r="E597" s="171"/>
    </row>
    <row r="598" spans="1:5" ht="13.5" customHeight="1">
      <c r="A598" s="1"/>
      <c r="E598" s="171"/>
    </row>
    <row r="599" spans="1:5" ht="13.5" customHeight="1">
      <c r="A599" s="1"/>
      <c r="E599" s="171"/>
    </row>
    <row r="600" spans="1:5" ht="13.5" customHeight="1">
      <c r="A600" s="1"/>
      <c r="E600" s="171"/>
    </row>
    <row r="601" spans="1:5" ht="13.5" customHeight="1">
      <c r="A601" s="1"/>
      <c r="E601" s="171"/>
    </row>
    <row r="602" spans="1:5" ht="13.5" customHeight="1">
      <c r="A602" s="1"/>
      <c r="E602" s="171"/>
    </row>
    <row r="603" spans="1:5" ht="13.5" customHeight="1">
      <c r="A603" s="1"/>
      <c r="E603" s="171"/>
    </row>
    <row r="604" spans="1:5" ht="13.5" customHeight="1">
      <c r="A604" s="1"/>
      <c r="E604" s="171"/>
    </row>
    <row r="605" spans="1:5" ht="13.5" customHeight="1">
      <c r="A605" s="1"/>
      <c r="E605" s="171"/>
    </row>
    <row r="606" spans="1:5" ht="13.5" customHeight="1">
      <c r="A606" s="1"/>
      <c r="E606" s="171"/>
    </row>
    <row r="607" spans="1:5" ht="13.5" customHeight="1">
      <c r="A607" s="1"/>
      <c r="E607" s="171"/>
    </row>
    <row r="608" spans="1:5" ht="13.5" customHeight="1">
      <c r="A608" s="1"/>
      <c r="E608" s="171"/>
    </row>
    <row r="609" spans="1:5" ht="13.5" customHeight="1">
      <c r="A609" s="1"/>
      <c r="E609" s="171"/>
    </row>
    <row r="610" spans="1:5" ht="13.5" customHeight="1">
      <c r="A610" s="1"/>
      <c r="E610" s="171"/>
    </row>
    <row r="611" spans="1:5" ht="13.5" customHeight="1">
      <c r="A611" s="1"/>
      <c r="E611" s="171"/>
    </row>
    <row r="612" spans="1:5" ht="13.5" customHeight="1">
      <c r="A612" s="1"/>
      <c r="E612" s="171"/>
    </row>
    <row r="613" spans="1:5" ht="13.5" customHeight="1">
      <c r="A613" s="1"/>
      <c r="E613" s="171"/>
    </row>
    <row r="614" spans="1:5" ht="13.5" customHeight="1">
      <c r="A614" s="1"/>
      <c r="E614" s="171"/>
    </row>
    <row r="615" spans="1:5" ht="13.5" customHeight="1">
      <c r="A615" s="1"/>
      <c r="E615" s="171"/>
    </row>
    <row r="616" spans="1:5" ht="13.5" customHeight="1">
      <c r="A616" s="1"/>
      <c r="E616" s="171"/>
    </row>
    <row r="617" spans="1:5" ht="13.5" customHeight="1">
      <c r="A617" s="1"/>
      <c r="E617" s="171"/>
    </row>
    <row r="618" spans="1:5" ht="13.5" customHeight="1">
      <c r="A618" s="1"/>
      <c r="E618" s="171"/>
    </row>
    <row r="619" spans="1:5" ht="13.5" customHeight="1">
      <c r="A619" s="1"/>
      <c r="E619" s="171"/>
    </row>
    <row r="620" spans="1:5" ht="13.5" customHeight="1">
      <c r="A620" s="1"/>
      <c r="E620" s="171"/>
    </row>
    <row r="621" spans="1:5" ht="13.5" customHeight="1">
      <c r="A621" s="1"/>
      <c r="E621" s="171"/>
    </row>
    <row r="622" spans="1:5" ht="13.5" customHeight="1">
      <c r="A622" s="1"/>
      <c r="E622" s="171"/>
    </row>
    <row r="623" spans="1:5" ht="13.5" customHeight="1">
      <c r="A623" s="1"/>
      <c r="E623" s="171"/>
    </row>
    <row r="624" spans="1:5" ht="13.5" customHeight="1">
      <c r="A624" s="1"/>
      <c r="E624" s="171"/>
    </row>
    <row r="625" spans="1:5" ht="13.5" customHeight="1">
      <c r="A625" s="1"/>
      <c r="E625" s="171"/>
    </row>
    <row r="626" spans="1:5" ht="13.5" customHeight="1">
      <c r="A626" s="1"/>
      <c r="E626" s="171"/>
    </row>
    <row r="627" spans="1:5" ht="13.5" customHeight="1">
      <c r="A627" s="1"/>
      <c r="E627" s="171"/>
    </row>
    <row r="628" spans="1:5" ht="13.5" customHeight="1">
      <c r="A628" s="1"/>
      <c r="E628" s="171"/>
    </row>
    <row r="629" spans="1:5" ht="13.5" customHeight="1">
      <c r="A629" s="1"/>
      <c r="E629" s="171"/>
    </row>
    <row r="630" spans="1:5" ht="13.5" customHeight="1">
      <c r="A630" s="1"/>
      <c r="E630" s="171"/>
    </row>
    <row r="631" spans="1:5" ht="13.5" customHeight="1">
      <c r="A631" s="1"/>
      <c r="E631" s="171"/>
    </row>
    <row r="632" spans="1:5" ht="13.5" customHeight="1">
      <c r="A632" s="1"/>
      <c r="E632" s="171"/>
    </row>
    <row r="633" spans="1:5" ht="13.5" customHeight="1">
      <c r="A633" s="1"/>
      <c r="E633" s="171"/>
    </row>
    <row r="634" spans="1:5" ht="13.5" customHeight="1">
      <c r="A634" s="1"/>
      <c r="E634" s="171"/>
    </row>
    <row r="635" spans="1:5" ht="13.5" customHeight="1">
      <c r="A635" s="1"/>
      <c r="E635" s="171"/>
    </row>
    <row r="636" spans="1:5" ht="13.5" customHeight="1">
      <c r="A636" s="1"/>
      <c r="E636" s="171"/>
    </row>
    <row r="637" spans="1:5" ht="13.5" customHeight="1">
      <c r="A637" s="1"/>
      <c r="E637" s="171"/>
    </row>
    <row r="638" spans="1:5" ht="13.5" customHeight="1">
      <c r="A638" s="1"/>
      <c r="E638" s="171"/>
    </row>
    <row r="639" spans="1:5" ht="13.5" customHeight="1">
      <c r="A639" s="1"/>
      <c r="E639" s="171"/>
    </row>
    <row r="640" spans="1:5" ht="13.5" customHeight="1">
      <c r="A640" s="1"/>
      <c r="E640" s="171"/>
    </row>
    <row r="641" spans="1:5" ht="13.5" customHeight="1">
      <c r="A641" s="1"/>
      <c r="E641" s="171"/>
    </row>
    <row r="642" spans="1:5" ht="13.5" customHeight="1">
      <c r="A642" s="1"/>
      <c r="E642" s="171"/>
    </row>
    <row r="643" spans="1:5" ht="13.5" customHeight="1">
      <c r="A643" s="1"/>
      <c r="E643" s="171"/>
    </row>
    <row r="644" spans="1:5" ht="13.5" customHeight="1">
      <c r="A644" s="1"/>
      <c r="E644" s="171"/>
    </row>
    <row r="645" spans="1:5" ht="13.5" customHeight="1">
      <c r="A645" s="1"/>
      <c r="E645" s="171"/>
    </row>
    <row r="646" spans="1:5" ht="13.5" customHeight="1">
      <c r="A646" s="1"/>
      <c r="E646" s="171"/>
    </row>
    <row r="647" spans="1:5" ht="13.5" customHeight="1">
      <c r="A647" s="1"/>
      <c r="E647" s="171"/>
    </row>
    <row r="648" spans="1:5" ht="13.5" customHeight="1">
      <c r="A648" s="1"/>
      <c r="E648" s="171"/>
    </row>
    <row r="649" spans="1:5" ht="13.5" customHeight="1">
      <c r="A649" s="1"/>
      <c r="E649" s="171"/>
    </row>
    <row r="650" spans="1:5" ht="13.5" customHeight="1">
      <c r="A650" s="1"/>
      <c r="E650" s="171"/>
    </row>
    <row r="651" spans="1:5" ht="13.5" customHeight="1">
      <c r="A651" s="1"/>
      <c r="E651" s="171"/>
    </row>
    <row r="652" spans="1:5" ht="13.5" customHeight="1">
      <c r="A652" s="1"/>
      <c r="E652" s="171"/>
    </row>
    <row r="653" spans="1:5" ht="13.5" customHeight="1">
      <c r="A653" s="1"/>
      <c r="E653" s="171"/>
    </row>
    <row r="654" spans="1:5" ht="13.5" customHeight="1">
      <c r="A654" s="1"/>
      <c r="E654" s="171"/>
    </row>
    <row r="655" spans="1:5" ht="13.5" customHeight="1">
      <c r="A655" s="1"/>
      <c r="E655" s="171"/>
    </row>
    <row r="656" spans="1:5" ht="13.5" customHeight="1">
      <c r="A656" s="1"/>
      <c r="E656" s="171"/>
    </row>
    <row r="657" spans="1:5" ht="13.5" customHeight="1">
      <c r="A657" s="1"/>
      <c r="E657" s="171"/>
    </row>
    <row r="658" spans="1:5" ht="13.5" customHeight="1">
      <c r="A658" s="1"/>
      <c r="E658" s="171"/>
    </row>
    <row r="659" spans="1:5" ht="13.5" customHeight="1">
      <c r="A659" s="1"/>
      <c r="E659" s="171"/>
    </row>
    <row r="660" spans="1:5" ht="13.5" customHeight="1">
      <c r="A660" s="1"/>
      <c r="E660" s="171"/>
    </row>
    <row r="661" spans="1:5" ht="13.5" customHeight="1">
      <c r="A661" s="1"/>
      <c r="E661" s="171"/>
    </row>
    <row r="662" spans="1:5" ht="13.5" customHeight="1">
      <c r="A662" s="1"/>
      <c r="E662" s="171"/>
    </row>
    <row r="663" spans="1:5" ht="13.5" customHeight="1">
      <c r="A663" s="1"/>
      <c r="E663" s="171"/>
    </row>
    <row r="664" spans="1:5" ht="13.5" customHeight="1">
      <c r="A664" s="1"/>
      <c r="E664" s="171"/>
    </row>
    <row r="665" spans="1:5" ht="13.5" customHeight="1">
      <c r="A665" s="1"/>
      <c r="E665" s="171"/>
    </row>
    <row r="666" spans="1:5" ht="13.5" customHeight="1">
      <c r="A666" s="1"/>
      <c r="E666" s="171"/>
    </row>
    <row r="667" spans="1:5" ht="13.5" customHeight="1">
      <c r="A667" s="1"/>
      <c r="E667" s="171"/>
    </row>
    <row r="668" spans="1:5" ht="13.5" customHeight="1">
      <c r="A668" s="1"/>
      <c r="E668" s="171"/>
    </row>
    <row r="669" spans="1:5" ht="13.5" customHeight="1">
      <c r="A669" s="1"/>
      <c r="E669" s="171"/>
    </row>
    <row r="670" spans="1:5" ht="13.5" customHeight="1">
      <c r="A670" s="1"/>
      <c r="E670" s="171"/>
    </row>
    <row r="671" spans="1:5" ht="13.5" customHeight="1">
      <c r="A671" s="1"/>
      <c r="E671" s="171"/>
    </row>
    <row r="672" spans="1:5" ht="13.5" customHeight="1">
      <c r="A672" s="1"/>
      <c r="E672" s="171"/>
    </row>
    <row r="673" spans="1:5" ht="13.5" customHeight="1">
      <c r="A673" s="1"/>
      <c r="E673" s="171"/>
    </row>
    <row r="674" spans="1:5" ht="13.5" customHeight="1">
      <c r="A674" s="1"/>
      <c r="E674" s="171"/>
    </row>
    <row r="675" spans="1:5" ht="13.5" customHeight="1">
      <c r="A675" s="1"/>
      <c r="E675" s="171"/>
    </row>
    <row r="676" spans="1:5" ht="13.5" customHeight="1">
      <c r="A676" s="1"/>
      <c r="E676" s="171"/>
    </row>
    <row r="677" spans="1:5" ht="13.5" customHeight="1">
      <c r="A677" s="1"/>
      <c r="E677" s="171"/>
    </row>
    <row r="678" spans="1:5" ht="13.5" customHeight="1">
      <c r="A678" s="1"/>
      <c r="E678" s="171"/>
    </row>
    <row r="679" spans="1:5" ht="13.5" customHeight="1">
      <c r="A679" s="1"/>
      <c r="E679" s="171"/>
    </row>
    <row r="680" spans="1:5" ht="13.5" customHeight="1">
      <c r="A680" s="1"/>
      <c r="E680" s="171"/>
    </row>
    <row r="681" spans="1:5" ht="13.5" customHeight="1">
      <c r="A681" s="1"/>
      <c r="E681" s="171"/>
    </row>
    <row r="682" spans="1:5" ht="13.5" customHeight="1">
      <c r="A682" s="1"/>
      <c r="E682" s="171"/>
    </row>
    <row r="683" spans="1:5" ht="13.5" customHeight="1">
      <c r="A683" s="1"/>
      <c r="E683" s="171"/>
    </row>
    <row r="684" spans="1:5" ht="13.5" customHeight="1">
      <c r="A684" s="1"/>
      <c r="E684" s="171"/>
    </row>
    <row r="685" spans="1:5" ht="13.5" customHeight="1">
      <c r="A685" s="1"/>
      <c r="E685" s="171"/>
    </row>
    <row r="686" spans="1:5" ht="13.5" customHeight="1">
      <c r="A686" s="1"/>
      <c r="E686" s="171"/>
    </row>
    <row r="687" spans="1:5" ht="13.5" customHeight="1">
      <c r="A687" s="1"/>
      <c r="E687" s="171"/>
    </row>
    <row r="688" spans="1:5" ht="13.5" customHeight="1">
      <c r="A688" s="1"/>
      <c r="E688" s="171"/>
    </row>
    <row r="689" spans="1:5" ht="13.5" customHeight="1">
      <c r="A689" s="1"/>
      <c r="E689" s="171"/>
    </row>
    <row r="690" spans="1:5" ht="13.5" customHeight="1">
      <c r="A690" s="1"/>
      <c r="E690" s="171"/>
    </row>
    <row r="691" spans="1:5" ht="13.5" customHeight="1">
      <c r="A691" s="1"/>
      <c r="E691" s="171"/>
    </row>
    <row r="692" spans="1:5" ht="13.5" customHeight="1">
      <c r="A692" s="1"/>
      <c r="E692" s="171"/>
    </row>
    <row r="693" spans="1:5" ht="13.5" customHeight="1">
      <c r="A693" s="1"/>
      <c r="E693" s="171"/>
    </row>
    <row r="694" spans="1:5" ht="13.5" customHeight="1">
      <c r="A694" s="1"/>
      <c r="E694" s="171"/>
    </row>
    <row r="695" spans="1:5" ht="13.5" customHeight="1">
      <c r="A695" s="1"/>
      <c r="E695" s="171"/>
    </row>
    <row r="696" spans="1:5" ht="13.5" customHeight="1">
      <c r="A696" s="1"/>
      <c r="E696" s="171"/>
    </row>
    <row r="697" spans="1:5" ht="13.5" customHeight="1">
      <c r="A697" s="1"/>
      <c r="E697" s="171"/>
    </row>
    <row r="698" spans="1:5" ht="13.5" customHeight="1">
      <c r="A698" s="1"/>
      <c r="E698" s="171"/>
    </row>
    <row r="699" spans="1:5" ht="13.5" customHeight="1">
      <c r="A699" s="1"/>
      <c r="E699" s="171"/>
    </row>
    <row r="700" spans="1:5" ht="13.5" customHeight="1">
      <c r="A700" s="1"/>
      <c r="E700" s="171"/>
    </row>
    <row r="701" spans="1:5" ht="13.5" customHeight="1">
      <c r="A701" s="1"/>
      <c r="E701" s="171"/>
    </row>
    <row r="702" spans="1:5" ht="13.5" customHeight="1">
      <c r="A702" s="1"/>
      <c r="E702" s="171"/>
    </row>
    <row r="703" spans="1:5" ht="13.5" customHeight="1">
      <c r="A703" s="1"/>
      <c r="E703" s="171"/>
    </row>
    <row r="704" spans="1:5" ht="13.5" customHeight="1">
      <c r="A704" s="1"/>
      <c r="E704" s="171"/>
    </row>
    <row r="705" spans="1:5" ht="13.5" customHeight="1">
      <c r="A705" s="1"/>
      <c r="E705" s="171"/>
    </row>
    <row r="706" spans="1:5" ht="13.5" customHeight="1">
      <c r="A706" s="1"/>
      <c r="E706" s="171"/>
    </row>
    <row r="707" spans="1:5" ht="13.5" customHeight="1">
      <c r="A707" s="1"/>
      <c r="E707" s="171"/>
    </row>
    <row r="708" spans="1:5" ht="13.5" customHeight="1">
      <c r="A708" s="1"/>
      <c r="E708" s="171"/>
    </row>
    <row r="709" spans="1:5" ht="13.5" customHeight="1">
      <c r="A709" s="1"/>
      <c r="E709" s="171"/>
    </row>
    <row r="710" spans="1:5" ht="13.5" customHeight="1">
      <c r="A710" s="1"/>
      <c r="E710" s="171"/>
    </row>
    <row r="711" spans="1:5" ht="13.5" customHeight="1">
      <c r="A711" s="1"/>
      <c r="E711" s="171"/>
    </row>
    <row r="712" spans="1:5" ht="13.5" customHeight="1">
      <c r="A712" s="1"/>
      <c r="E712" s="171"/>
    </row>
    <row r="713" spans="1:5" ht="13.5" customHeight="1">
      <c r="A713" s="1"/>
      <c r="E713" s="171"/>
    </row>
    <row r="714" spans="1:5" ht="13.5" customHeight="1">
      <c r="A714" s="1"/>
      <c r="E714" s="171"/>
    </row>
    <row r="715" spans="1:5" ht="13.5" customHeight="1">
      <c r="A715" s="1"/>
      <c r="E715" s="171"/>
    </row>
    <row r="716" spans="1:5" ht="13.5" customHeight="1">
      <c r="A716" s="1"/>
      <c r="E716" s="171"/>
    </row>
    <row r="717" spans="1:5" ht="13.5" customHeight="1">
      <c r="A717" s="1"/>
      <c r="E717" s="171"/>
    </row>
    <row r="718" spans="1:5" ht="13.5" customHeight="1">
      <c r="A718" s="1"/>
      <c r="E718" s="171"/>
    </row>
    <row r="719" spans="1:5" ht="13.5" customHeight="1">
      <c r="A719" s="1"/>
      <c r="E719" s="171"/>
    </row>
    <row r="720" spans="1:5" ht="13.5" customHeight="1">
      <c r="A720" s="1"/>
      <c r="E720" s="171"/>
    </row>
    <row r="721" spans="1:5" ht="13.5" customHeight="1">
      <c r="A721" s="1"/>
      <c r="E721" s="171"/>
    </row>
    <row r="722" spans="1:5" ht="13.5" customHeight="1">
      <c r="A722" s="1"/>
      <c r="E722" s="171"/>
    </row>
    <row r="723" spans="1:5" ht="13.5" customHeight="1">
      <c r="A723" s="1"/>
      <c r="E723" s="171"/>
    </row>
    <row r="724" spans="1:5" ht="13.5" customHeight="1">
      <c r="A724" s="1"/>
      <c r="E724" s="171"/>
    </row>
    <row r="725" spans="1:5" ht="13.5" customHeight="1">
      <c r="A725" s="1"/>
      <c r="E725" s="171"/>
    </row>
    <row r="726" spans="1:5" ht="13.5" customHeight="1">
      <c r="A726" s="1"/>
      <c r="E726" s="171"/>
    </row>
    <row r="727" spans="1:5" ht="13.5" customHeight="1">
      <c r="A727" s="1"/>
      <c r="E727" s="171"/>
    </row>
    <row r="728" spans="1:5" ht="13.5" customHeight="1">
      <c r="A728" s="1"/>
      <c r="E728" s="171"/>
    </row>
    <row r="729" spans="1:5" ht="13.5" customHeight="1">
      <c r="A729" s="1"/>
      <c r="E729" s="171"/>
    </row>
    <row r="730" spans="1:5" ht="13.5" customHeight="1">
      <c r="A730" s="1"/>
      <c r="E730" s="171"/>
    </row>
    <row r="731" spans="1:5" ht="13.5" customHeight="1">
      <c r="A731" s="1"/>
      <c r="E731" s="171"/>
    </row>
    <row r="732" spans="1:5" ht="13.5" customHeight="1">
      <c r="A732" s="1"/>
      <c r="E732" s="171"/>
    </row>
    <row r="733" spans="1:5" ht="13.5" customHeight="1">
      <c r="A733" s="1"/>
      <c r="E733" s="171"/>
    </row>
    <row r="734" spans="1:5" ht="13.5" customHeight="1">
      <c r="A734" s="1"/>
      <c r="E734" s="171"/>
    </row>
    <row r="735" spans="1:5" ht="13.5" customHeight="1">
      <c r="A735" s="1"/>
      <c r="E735" s="171"/>
    </row>
    <row r="736" spans="1:5" ht="13.5" customHeight="1">
      <c r="A736" s="1"/>
      <c r="E736" s="171"/>
    </row>
    <row r="737" spans="1:5" ht="13.5" customHeight="1">
      <c r="A737" s="1"/>
      <c r="E737" s="171"/>
    </row>
    <row r="738" spans="1:5" ht="13.5" customHeight="1">
      <c r="A738" s="1"/>
      <c r="E738" s="171"/>
    </row>
    <row r="739" spans="1:5" ht="13.5" customHeight="1">
      <c r="A739" s="1"/>
      <c r="E739" s="171"/>
    </row>
    <row r="740" spans="1:5" ht="13.5" customHeight="1">
      <c r="A740" s="1"/>
      <c r="E740" s="171"/>
    </row>
    <row r="741" spans="1:5" ht="13.5" customHeight="1">
      <c r="A741" s="1"/>
      <c r="E741" s="171"/>
    </row>
    <row r="742" spans="1:5" ht="13.5" customHeight="1">
      <c r="A742" s="1"/>
      <c r="E742" s="171"/>
    </row>
    <row r="743" spans="1:5" ht="13.5" customHeight="1">
      <c r="A743" s="1"/>
      <c r="E743" s="171"/>
    </row>
    <row r="744" spans="1:5" ht="13.5" customHeight="1">
      <c r="A744" s="1"/>
      <c r="E744" s="171"/>
    </row>
    <row r="745" spans="1:5" ht="13.5" customHeight="1">
      <c r="A745" s="1"/>
      <c r="E745" s="171"/>
    </row>
    <row r="746" spans="1:5" ht="13.5" customHeight="1">
      <c r="A746" s="1"/>
      <c r="E746" s="171"/>
    </row>
    <row r="747" spans="1:5" ht="13.5" customHeight="1">
      <c r="A747" s="1"/>
      <c r="E747" s="171"/>
    </row>
    <row r="748" spans="1:5" ht="13.5" customHeight="1">
      <c r="A748" s="1"/>
      <c r="E748" s="171"/>
    </row>
    <row r="749" spans="1:5" ht="13.5" customHeight="1">
      <c r="A749" s="1"/>
      <c r="E749" s="171"/>
    </row>
    <row r="750" spans="1:5" ht="13.5" customHeight="1">
      <c r="A750" s="1"/>
      <c r="E750" s="171"/>
    </row>
    <row r="751" spans="1:5" ht="13.5" customHeight="1">
      <c r="A751" s="1"/>
      <c r="E751" s="171"/>
    </row>
    <row r="752" spans="1:5" ht="13.5" customHeight="1">
      <c r="A752" s="1"/>
      <c r="E752" s="171"/>
    </row>
    <row r="753" spans="1:5" ht="13.5" customHeight="1">
      <c r="A753" s="1"/>
      <c r="E753" s="171"/>
    </row>
    <row r="754" spans="1:5" ht="13.5" customHeight="1">
      <c r="A754" s="1"/>
      <c r="E754" s="171"/>
    </row>
    <row r="755" spans="1:5" ht="13.5" customHeight="1">
      <c r="A755" s="1"/>
      <c r="E755" s="171"/>
    </row>
    <row r="756" spans="1:5" ht="13.5" customHeight="1">
      <c r="A756" s="1"/>
      <c r="E756" s="171"/>
    </row>
    <row r="757" spans="1:5" ht="13.5" customHeight="1">
      <c r="A757" s="1"/>
      <c r="E757" s="171"/>
    </row>
    <row r="758" spans="1:5" ht="13.5" customHeight="1">
      <c r="A758" s="1"/>
      <c r="E758" s="171"/>
    </row>
    <row r="759" spans="1:5" ht="13.5" customHeight="1">
      <c r="A759" s="1"/>
      <c r="E759" s="171"/>
    </row>
    <row r="760" spans="1:5" ht="13.5" customHeight="1">
      <c r="A760" s="1"/>
      <c r="E760" s="171"/>
    </row>
    <row r="761" spans="1:5" ht="13.5" customHeight="1">
      <c r="A761" s="1"/>
      <c r="E761" s="171"/>
    </row>
    <row r="762" spans="1:5" ht="13.5" customHeight="1">
      <c r="A762" s="1"/>
      <c r="E762" s="171"/>
    </row>
    <row r="763" spans="1:5" ht="13.5" customHeight="1">
      <c r="A763" s="1"/>
      <c r="E763" s="171"/>
    </row>
    <row r="764" spans="1:5" ht="13.5" customHeight="1">
      <c r="A764" s="1"/>
      <c r="E764" s="171"/>
    </row>
    <row r="765" spans="1:5" ht="13.5" customHeight="1">
      <c r="A765" s="1"/>
      <c r="E765" s="171"/>
    </row>
    <row r="766" spans="1:5" ht="13.5" customHeight="1">
      <c r="A766" s="1"/>
      <c r="E766" s="171"/>
    </row>
    <row r="767" spans="1:5" ht="13.5" customHeight="1">
      <c r="A767" s="1"/>
      <c r="E767" s="171"/>
    </row>
    <row r="768" spans="1:5" ht="13.5" customHeight="1">
      <c r="A768" s="1"/>
      <c r="E768" s="171"/>
    </row>
    <row r="769" spans="1:5" ht="13.5" customHeight="1">
      <c r="A769" s="1"/>
      <c r="E769" s="171"/>
    </row>
    <row r="770" spans="1:5" ht="13.5" customHeight="1">
      <c r="A770" s="1"/>
      <c r="E770" s="171"/>
    </row>
    <row r="771" spans="1:5" ht="13.5" customHeight="1">
      <c r="A771" s="1"/>
      <c r="E771" s="171"/>
    </row>
    <row r="772" spans="1:5" ht="13.5" customHeight="1">
      <c r="A772" s="1"/>
      <c r="E772" s="171"/>
    </row>
    <row r="773" spans="1:5" ht="13.5" customHeight="1">
      <c r="A773" s="1"/>
      <c r="E773" s="171"/>
    </row>
    <row r="774" spans="1:5" ht="13.5" customHeight="1">
      <c r="A774" s="1"/>
      <c r="E774" s="171"/>
    </row>
    <row r="775" spans="1:5" ht="13.5" customHeight="1">
      <c r="A775" s="1"/>
      <c r="E775" s="171"/>
    </row>
    <row r="776" spans="1:5" ht="13.5" customHeight="1">
      <c r="A776" s="1"/>
      <c r="E776" s="171"/>
    </row>
    <row r="777" spans="1:5" ht="13.5" customHeight="1">
      <c r="A777" s="1"/>
      <c r="E777" s="171"/>
    </row>
    <row r="778" spans="1:5" ht="13.5" customHeight="1">
      <c r="A778" s="1"/>
      <c r="E778" s="171"/>
    </row>
    <row r="779" spans="1:5" ht="13.5" customHeight="1">
      <c r="A779" s="1"/>
      <c r="E779" s="171"/>
    </row>
    <row r="780" spans="1:5" ht="13.5" customHeight="1">
      <c r="A780" s="1"/>
      <c r="E780" s="171"/>
    </row>
    <row r="781" spans="1:5" ht="13.5" customHeight="1">
      <c r="A781" s="1"/>
      <c r="E781" s="171"/>
    </row>
    <row r="782" spans="1:5" ht="13.5" customHeight="1">
      <c r="A782" s="1"/>
      <c r="E782" s="171"/>
    </row>
    <row r="783" spans="1:5" ht="13.5" customHeight="1">
      <c r="A783" s="1"/>
      <c r="E783" s="171"/>
    </row>
    <row r="784" spans="1:5" ht="13.5" customHeight="1">
      <c r="A784" s="1"/>
      <c r="E784" s="171"/>
    </row>
    <row r="785" spans="1:5" ht="13.5" customHeight="1">
      <c r="A785" s="1"/>
      <c r="E785" s="171"/>
    </row>
    <row r="786" spans="1:5" ht="13.5" customHeight="1">
      <c r="A786" s="1"/>
      <c r="E786" s="171"/>
    </row>
    <row r="787" spans="1:5" ht="13.5" customHeight="1">
      <c r="A787" s="1"/>
      <c r="E787" s="171"/>
    </row>
    <row r="788" spans="1:5" ht="13.5" customHeight="1">
      <c r="A788" s="1"/>
      <c r="E788" s="171"/>
    </row>
    <row r="789" spans="1:5" ht="13.5" customHeight="1">
      <c r="A789" s="1"/>
      <c r="E789" s="171"/>
    </row>
    <row r="790" spans="1:5" ht="13.5" customHeight="1">
      <c r="A790" s="1"/>
      <c r="E790" s="171"/>
    </row>
    <row r="791" spans="1:5" ht="13.5" customHeight="1">
      <c r="A791" s="1"/>
      <c r="E791" s="171"/>
    </row>
    <row r="792" spans="1:5" ht="13.5" customHeight="1">
      <c r="A792" s="1"/>
      <c r="E792" s="171"/>
    </row>
    <row r="793" spans="1:5" ht="13.5" customHeight="1">
      <c r="A793" s="1"/>
      <c r="E793" s="171"/>
    </row>
    <row r="794" spans="1:5" ht="13.5" customHeight="1">
      <c r="A794" s="1"/>
      <c r="E794" s="171"/>
    </row>
    <row r="795" spans="1:5" ht="13.5" customHeight="1">
      <c r="A795" s="1"/>
      <c r="E795" s="171"/>
    </row>
    <row r="796" spans="1:5" ht="13.5" customHeight="1">
      <c r="A796" s="1"/>
      <c r="E796" s="171"/>
    </row>
    <row r="797" spans="1:5" ht="13.5" customHeight="1">
      <c r="A797" s="1"/>
      <c r="E797" s="171"/>
    </row>
    <row r="798" spans="1:5" ht="13.5" customHeight="1">
      <c r="A798" s="1"/>
      <c r="E798" s="171"/>
    </row>
    <row r="799" spans="1:5" ht="13.5" customHeight="1">
      <c r="A799" s="1"/>
      <c r="E799" s="171"/>
    </row>
    <row r="800" spans="1:5" ht="13.5" customHeight="1">
      <c r="A800" s="1"/>
      <c r="E800" s="171"/>
    </row>
    <row r="801" spans="1:5" ht="13.5" customHeight="1">
      <c r="A801" s="1"/>
      <c r="E801" s="171"/>
    </row>
    <row r="802" spans="1:5" ht="13.5" customHeight="1">
      <c r="A802" s="1"/>
      <c r="E802" s="171"/>
    </row>
    <row r="803" spans="1:5" ht="13.5" customHeight="1">
      <c r="A803" s="1"/>
      <c r="E803" s="171"/>
    </row>
    <row r="804" spans="1:5" ht="13.5" customHeight="1">
      <c r="A804" s="1"/>
      <c r="E804" s="171"/>
    </row>
    <row r="805" spans="1:5" ht="13.5" customHeight="1">
      <c r="A805" s="1"/>
      <c r="E805" s="171"/>
    </row>
    <row r="806" spans="1:5" ht="13.5" customHeight="1">
      <c r="A806" s="1"/>
      <c r="E806" s="171"/>
    </row>
    <row r="807" spans="1:5" ht="13.5" customHeight="1">
      <c r="A807" s="1"/>
      <c r="E807" s="171"/>
    </row>
    <row r="808" spans="1:5" ht="13.5" customHeight="1">
      <c r="A808" s="1"/>
      <c r="E808" s="171"/>
    </row>
    <row r="809" spans="1:5" ht="13.5" customHeight="1">
      <c r="A809" s="1"/>
      <c r="E809" s="171"/>
    </row>
    <row r="810" spans="1:5" ht="13.5" customHeight="1">
      <c r="A810" s="1"/>
      <c r="E810" s="171"/>
    </row>
    <row r="811" spans="1:5" ht="13.5" customHeight="1">
      <c r="A811" s="1"/>
      <c r="E811" s="171"/>
    </row>
    <row r="812" spans="1:5" ht="13.5" customHeight="1">
      <c r="A812" s="1"/>
      <c r="E812" s="171"/>
    </row>
    <row r="813" spans="1:5" ht="13.5" customHeight="1">
      <c r="A813" s="1"/>
      <c r="E813" s="171"/>
    </row>
    <row r="814" spans="1:5" ht="13.5" customHeight="1">
      <c r="A814" s="1"/>
      <c r="E814" s="171"/>
    </row>
    <row r="815" spans="1:5" ht="13.5" customHeight="1">
      <c r="A815" s="1"/>
      <c r="E815" s="171"/>
    </row>
    <row r="816" spans="1:5" ht="13.5" customHeight="1">
      <c r="A816" s="1"/>
      <c r="E816" s="171"/>
    </row>
    <row r="817" spans="1:5" ht="13.5" customHeight="1">
      <c r="A817" s="1"/>
      <c r="E817" s="171"/>
    </row>
    <row r="818" spans="1:5" ht="13.5" customHeight="1">
      <c r="A818" s="1"/>
      <c r="E818" s="171"/>
    </row>
    <row r="819" spans="1:5" ht="13.5" customHeight="1">
      <c r="A819" s="1"/>
      <c r="E819" s="171"/>
    </row>
    <row r="820" spans="1:5" ht="13.5" customHeight="1">
      <c r="A820" s="1"/>
      <c r="E820" s="171"/>
    </row>
    <row r="821" spans="1:5" ht="13.5" customHeight="1">
      <c r="A821" s="1"/>
      <c r="E821" s="171"/>
    </row>
    <row r="822" spans="1:5" ht="13.5" customHeight="1">
      <c r="A822" s="1"/>
      <c r="E822" s="171"/>
    </row>
    <row r="823" spans="1:5" ht="13.5" customHeight="1">
      <c r="A823" s="1"/>
      <c r="E823" s="171"/>
    </row>
    <row r="824" spans="1:5" ht="13.5" customHeight="1">
      <c r="A824" s="1"/>
      <c r="E824" s="171"/>
    </row>
    <row r="825" spans="1:5" ht="13.5" customHeight="1">
      <c r="A825" s="1"/>
      <c r="E825" s="171"/>
    </row>
    <row r="826" spans="1:5" ht="13.5" customHeight="1">
      <c r="A826" s="1"/>
      <c r="E826" s="171"/>
    </row>
    <row r="827" spans="1:5" ht="13.5" customHeight="1">
      <c r="A827" s="1"/>
      <c r="E827" s="171"/>
    </row>
    <row r="828" spans="1:5" ht="13.5" customHeight="1">
      <c r="A828" s="1"/>
      <c r="E828" s="171"/>
    </row>
    <row r="829" spans="1:5" ht="13.5" customHeight="1">
      <c r="A829" s="1"/>
      <c r="E829" s="171"/>
    </row>
    <row r="830" spans="1:5" ht="13.5" customHeight="1">
      <c r="A830" s="1"/>
      <c r="E830" s="171"/>
    </row>
    <row r="831" spans="1:5" ht="13.5" customHeight="1">
      <c r="A831" s="1"/>
      <c r="E831" s="171"/>
    </row>
    <row r="832" spans="1:5" ht="13.5" customHeight="1">
      <c r="A832" s="1"/>
      <c r="E832" s="171"/>
    </row>
    <row r="833" spans="1:5" ht="13.5" customHeight="1">
      <c r="A833" s="1"/>
      <c r="E833" s="171"/>
    </row>
    <row r="834" spans="1:5" ht="13.5" customHeight="1">
      <c r="A834" s="1"/>
      <c r="E834" s="171"/>
    </row>
    <row r="835" spans="1:5" ht="13.5" customHeight="1">
      <c r="A835" s="1"/>
      <c r="E835" s="171"/>
    </row>
    <row r="836" spans="1:5" ht="13.5" customHeight="1">
      <c r="A836" s="1"/>
      <c r="E836" s="171"/>
    </row>
    <row r="837" spans="1:5" ht="13.5" customHeight="1">
      <c r="A837" s="1"/>
      <c r="E837" s="171"/>
    </row>
    <row r="838" spans="1:5" ht="13.5" customHeight="1">
      <c r="A838" s="1"/>
      <c r="E838" s="171"/>
    </row>
    <row r="839" spans="1:5" ht="13.5" customHeight="1">
      <c r="A839" s="1"/>
      <c r="E839" s="171"/>
    </row>
    <row r="840" spans="1:5" ht="13.5" customHeight="1">
      <c r="A840" s="1"/>
      <c r="E840" s="171"/>
    </row>
    <row r="841" spans="1:5" ht="13.5" customHeight="1">
      <c r="A841" s="1"/>
      <c r="E841" s="171"/>
    </row>
    <row r="842" spans="1:5" ht="13.5" customHeight="1">
      <c r="A842" s="1"/>
      <c r="E842" s="171"/>
    </row>
    <row r="843" spans="1:5" ht="13.5" customHeight="1">
      <c r="A843" s="1"/>
      <c r="E843" s="171"/>
    </row>
    <row r="844" spans="1:5" ht="13.5" customHeight="1">
      <c r="A844" s="1"/>
      <c r="E844" s="171"/>
    </row>
    <row r="845" spans="1:5" ht="13.5" customHeight="1">
      <c r="A845" s="1"/>
      <c r="E845" s="171"/>
    </row>
    <row r="846" spans="1:5" ht="13.5" customHeight="1">
      <c r="A846" s="1"/>
      <c r="E846" s="171"/>
    </row>
    <row r="847" spans="1:5" ht="13.5" customHeight="1">
      <c r="A847" s="1"/>
      <c r="E847" s="171"/>
    </row>
    <row r="848" spans="1:5" ht="13.5" customHeight="1">
      <c r="A848" s="1"/>
      <c r="E848" s="171"/>
    </row>
    <row r="849" spans="1:5" ht="13.5" customHeight="1">
      <c r="A849" s="1"/>
      <c r="E849" s="171"/>
    </row>
    <row r="850" spans="1:5" ht="13.5" customHeight="1">
      <c r="A850" s="1"/>
      <c r="E850" s="171"/>
    </row>
    <row r="851" spans="1:5" ht="13.5" customHeight="1">
      <c r="A851" s="1"/>
      <c r="E851" s="171"/>
    </row>
    <row r="852" spans="1:5" ht="13.5" customHeight="1">
      <c r="A852" s="1"/>
      <c r="E852" s="171"/>
    </row>
    <row r="853" spans="1:5" ht="13.5" customHeight="1">
      <c r="A853" s="1"/>
      <c r="E853" s="171"/>
    </row>
    <row r="854" spans="1:5" ht="13.5" customHeight="1">
      <c r="A854" s="1"/>
      <c r="E854" s="171"/>
    </row>
    <row r="855" spans="1:5" ht="13.5" customHeight="1">
      <c r="A855" s="1"/>
      <c r="E855" s="171"/>
    </row>
    <row r="856" spans="1:5" ht="13.5" customHeight="1">
      <c r="A856" s="1"/>
      <c r="E856" s="171"/>
    </row>
    <row r="857" spans="1:5" ht="13.5" customHeight="1">
      <c r="A857" s="1"/>
      <c r="E857" s="171"/>
    </row>
    <row r="858" spans="1:5" ht="13.5" customHeight="1">
      <c r="A858" s="1"/>
      <c r="E858" s="171"/>
    </row>
    <row r="859" spans="1:5" ht="13.5" customHeight="1">
      <c r="A859" s="1"/>
      <c r="E859" s="171"/>
    </row>
    <row r="860" spans="1:5" ht="13.5" customHeight="1">
      <c r="A860" s="1"/>
      <c r="E860" s="171"/>
    </row>
    <row r="861" spans="1:5" ht="13.5" customHeight="1">
      <c r="A861" s="1"/>
      <c r="E861" s="171"/>
    </row>
    <row r="862" spans="1:5" ht="13.5" customHeight="1">
      <c r="A862" s="1"/>
      <c r="E862" s="171"/>
    </row>
    <row r="863" spans="1:5" ht="13.5" customHeight="1">
      <c r="A863" s="1"/>
      <c r="E863" s="171"/>
    </row>
    <row r="864" spans="1:5" ht="13.5" customHeight="1">
      <c r="A864" s="1"/>
      <c r="E864" s="171"/>
    </row>
    <row r="865" spans="1:5" ht="13.5" customHeight="1">
      <c r="A865" s="1"/>
      <c r="E865" s="171"/>
    </row>
    <row r="866" spans="1:5" ht="13.5" customHeight="1">
      <c r="A866" s="1"/>
      <c r="E866" s="171"/>
    </row>
    <row r="867" spans="1:5" ht="13.5" customHeight="1">
      <c r="A867" s="1"/>
      <c r="E867" s="171"/>
    </row>
    <row r="868" spans="1:5" ht="13.5" customHeight="1">
      <c r="A868" s="1"/>
      <c r="E868" s="171"/>
    </row>
    <row r="869" spans="1:5" ht="13.5" customHeight="1">
      <c r="A869" s="1"/>
      <c r="E869" s="171"/>
    </row>
    <row r="870" spans="1:5" ht="13.5" customHeight="1">
      <c r="A870" s="1"/>
      <c r="E870" s="171"/>
    </row>
    <row r="871" spans="1:5" ht="13.5" customHeight="1">
      <c r="A871" s="1"/>
      <c r="E871" s="171"/>
    </row>
    <row r="872" spans="1:5" ht="13.5" customHeight="1">
      <c r="A872" s="1"/>
      <c r="E872" s="171"/>
    </row>
    <row r="873" spans="1:5" ht="13.5" customHeight="1">
      <c r="A873" s="1"/>
      <c r="E873" s="171"/>
    </row>
    <row r="874" spans="1:5" ht="13.5" customHeight="1">
      <c r="A874" s="1"/>
      <c r="E874" s="171"/>
    </row>
    <row r="875" spans="1:5" ht="13.5" customHeight="1">
      <c r="A875" s="1"/>
      <c r="E875" s="171"/>
    </row>
    <row r="876" spans="1:5" ht="13.5" customHeight="1">
      <c r="A876" s="1"/>
      <c r="E876" s="171"/>
    </row>
    <row r="877" spans="1:5" ht="13.5" customHeight="1">
      <c r="A877" s="1"/>
      <c r="E877" s="171"/>
    </row>
    <row r="878" spans="1:5" ht="13.5" customHeight="1">
      <c r="A878" s="1"/>
      <c r="E878" s="171"/>
    </row>
    <row r="879" spans="1:5" ht="13.5" customHeight="1">
      <c r="A879" s="1"/>
      <c r="E879" s="171"/>
    </row>
    <row r="880" spans="1:5" ht="13.5" customHeight="1">
      <c r="A880" s="1"/>
      <c r="E880" s="171"/>
    </row>
    <row r="881" spans="1:5" ht="13.5" customHeight="1">
      <c r="A881" s="1"/>
      <c r="E881" s="171"/>
    </row>
    <row r="882" spans="1:5" ht="13.5" customHeight="1">
      <c r="A882" s="1"/>
      <c r="E882" s="171"/>
    </row>
    <row r="883" spans="1:5" ht="13.5" customHeight="1">
      <c r="A883" s="1"/>
      <c r="E883" s="171"/>
    </row>
    <row r="884" spans="1:5" ht="13.5" customHeight="1">
      <c r="A884" s="1"/>
      <c r="E884" s="171"/>
    </row>
    <row r="885" spans="1:5" ht="13.5" customHeight="1">
      <c r="A885" s="1"/>
      <c r="E885" s="171"/>
    </row>
    <row r="886" spans="1:5" ht="13.5" customHeight="1">
      <c r="A886" s="1"/>
      <c r="E886" s="171"/>
    </row>
    <row r="887" spans="1:5" ht="13.5" customHeight="1">
      <c r="A887" s="1"/>
      <c r="E887" s="171"/>
    </row>
    <row r="888" spans="1:5" ht="13.5" customHeight="1">
      <c r="A888" s="1"/>
      <c r="E888" s="171"/>
    </row>
    <row r="889" spans="1:5" ht="13.5" customHeight="1">
      <c r="A889" s="1"/>
      <c r="E889" s="171"/>
    </row>
    <row r="890" spans="1:5" ht="13.5" customHeight="1">
      <c r="A890" s="1"/>
      <c r="E890" s="171"/>
    </row>
    <row r="891" spans="1:5" ht="13.5" customHeight="1">
      <c r="A891" s="1"/>
      <c r="E891" s="171"/>
    </row>
    <row r="892" spans="1:5" ht="13.5" customHeight="1">
      <c r="A892" s="1"/>
      <c r="E892" s="171"/>
    </row>
    <row r="893" spans="1:5" ht="13.5" customHeight="1">
      <c r="A893" s="1"/>
      <c r="E893" s="171"/>
    </row>
    <row r="894" spans="1:5" ht="13.5" customHeight="1">
      <c r="A894" s="1"/>
      <c r="E894" s="171"/>
    </row>
    <row r="895" spans="1:5" ht="13.5" customHeight="1">
      <c r="A895" s="1"/>
      <c r="E895" s="171"/>
    </row>
    <row r="896" spans="1:5" ht="13.5" customHeight="1">
      <c r="A896" s="1"/>
      <c r="E896" s="171"/>
    </row>
    <row r="897" spans="1:5" ht="13.5" customHeight="1">
      <c r="A897" s="1"/>
      <c r="E897" s="171"/>
    </row>
    <row r="898" spans="1:5" ht="13.5" customHeight="1">
      <c r="A898" s="1"/>
      <c r="E898" s="171"/>
    </row>
    <row r="899" spans="1:5" ht="13.5" customHeight="1">
      <c r="A899" s="1"/>
      <c r="E899" s="171"/>
    </row>
    <row r="900" spans="1:5" ht="13.5" customHeight="1">
      <c r="A900" s="1"/>
      <c r="E900" s="171"/>
    </row>
    <row r="901" spans="1:5" ht="13.5" customHeight="1">
      <c r="A901" s="1"/>
      <c r="E901" s="171"/>
    </row>
    <row r="902" spans="1:5" ht="13.5" customHeight="1">
      <c r="A902" s="1"/>
      <c r="E902" s="171"/>
    </row>
    <row r="903" spans="1:5" ht="13.5" customHeight="1">
      <c r="A903" s="1"/>
      <c r="E903" s="171"/>
    </row>
    <row r="904" spans="1:5" ht="13.5" customHeight="1">
      <c r="A904" s="1"/>
      <c r="E904" s="171"/>
    </row>
    <row r="905" spans="1:5" ht="13.5" customHeight="1">
      <c r="A905" s="1"/>
      <c r="E905" s="171"/>
    </row>
    <row r="906" spans="1:5" ht="13.5" customHeight="1">
      <c r="A906" s="1"/>
      <c r="E906" s="171"/>
    </row>
    <row r="907" spans="1:5" ht="13.5" customHeight="1">
      <c r="A907" s="1"/>
      <c r="E907" s="171"/>
    </row>
    <row r="908" spans="1:5" ht="13.5" customHeight="1">
      <c r="A908" s="1"/>
      <c r="E908" s="171"/>
    </row>
    <row r="909" spans="1:5" ht="13.5" customHeight="1">
      <c r="A909" s="1"/>
      <c r="E909" s="171"/>
    </row>
    <row r="910" spans="1:5" ht="13.5" customHeight="1">
      <c r="A910" s="1"/>
      <c r="E910" s="171"/>
    </row>
    <row r="911" spans="1:5" ht="13.5" customHeight="1">
      <c r="A911" s="1"/>
      <c r="E911" s="171"/>
    </row>
    <row r="912" spans="1:5" ht="13.5" customHeight="1">
      <c r="A912" s="1"/>
      <c r="E912" s="171"/>
    </row>
    <row r="913" spans="1:5" ht="13.5" customHeight="1">
      <c r="A913" s="1"/>
      <c r="E913" s="171"/>
    </row>
    <row r="914" spans="1:5" ht="13.5" customHeight="1">
      <c r="A914" s="1"/>
      <c r="E914" s="171"/>
    </row>
    <row r="915" spans="1:5" ht="13.5" customHeight="1">
      <c r="A915" s="1"/>
      <c r="E915" s="171"/>
    </row>
    <row r="916" spans="1:5" ht="13.5" customHeight="1">
      <c r="A916" s="1"/>
      <c r="E916" s="171"/>
    </row>
    <row r="917" spans="1:5" ht="13.5" customHeight="1">
      <c r="A917" s="1"/>
      <c r="E917" s="171"/>
    </row>
    <row r="918" spans="1:5" ht="13.5" customHeight="1">
      <c r="A918" s="1"/>
      <c r="E918" s="171"/>
    </row>
    <row r="919" spans="1:5" ht="13.5" customHeight="1">
      <c r="A919" s="1"/>
      <c r="E919" s="171"/>
    </row>
    <row r="920" spans="1:5" ht="13.5" customHeight="1">
      <c r="A920" s="1"/>
      <c r="E920" s="171"/>
    </row>
    <row r="921" spans="1:5" ht="13.5" customHeight="1">
      <c r="A921" s="1"/>
      <c r="E921" s="171"/>
    </row>
    <row r="922" spans="1:5" ht="13.5" customHeight="1">
      <c r="A922" s="1"/>
      <c r="E922" s="171"/>
    </row>
    <row r="923" spans="1:5" ht="13.5" customHeight="1">
      <c r="A923" s="1"/>
      <c r="E923" s="171"/>
    </row>
    <row r="924" spans="1:5" ht="13.5" customHeight="1">
      <c r="A924" s="1"/>
      <c r="E924" s="171"/>
    </row>
    <row r="925" spans="1:5" ht="13.5" customHeight="1">
      <c r="A925" s="1"/>
      <c r="E925" s="171"/>
    </row>
    <row r="926" spans="1:5" ht="13.5" customHeight="1">
      <c r="A926" s="1"/>
      <c r="E926" s="171"/>
    </row>
    <row r="927" spans="1:5" ht="13.5" customHeight="1">
      <c r="A927" s="1"/>
      <c r="E927" s="171"/>
    </row>
    <row r="928" spans="1:5" ht="13.5" customHeight="1">
      <c r="A928" s="1"/>
      <c r="E928" s="171"/>
    </row>
    <row r="929" spans="1:5" ht="13.5" customHeight="1">
      <c r="A929" s="1"/>
      <c r="E929" s="171"/>
    </row>
    <row r="930" spans="1:5" ht="13.5" customHeight="1">
      <c r="A930" s="1"/>
      <c r="E930" s="171"/>
    </row>
    <row r="931" spans="1:5" ht="13.5" customHeight="1">
      <c r="A931" s="1"/>
      <c r="E931" s="171"/>
    </row>
    <row r="932" spans="1:5" ht="13.5" customHeight="1">
      <c r="A932" s="1"/>
      <c r="E932" s="171"/>
    </row>
    <row r="933" spans="1:5" ht="13.5" customHeight="1">
      <c r="A933" s="1"/>
      <c r="E933" s="171"/>
    </row>
    <row r="934" spans="1:5" ht="13.5" customHeight="1">
      <c r="A934" s="1"/>
      <c r="E934" s="171"/>
    </row>
    <row r="935" spans="1:5" ht="13.5" customHeight="1">
      <c r="A935" s="1"/>
      <c r="E935" s="171"/>
    </row>
    <row r="936" spans="1:5" ht="13.5" customHeight="1">
      <c r="A936" s="1"/>
      <c r="E936" s="171"/>
    </row>
    <row r="937" spans="1:5" ht="13.5" customHeight="1">
      <c r="A937" s="1"/>
      <c r="E937" s="171"/>
    </row>
    <row r="938" spans="1:5" ht="13.5" customHeight="1">
      <c r="A938" s="1"/>
      <c r="E938" s="171"/>
    </row>
    <row r="939" spans="1:5" ht="13.5" customHeight="1">
      <c r="A939" s="1"/>
      <c r="E939" s="171"/>
    </row>
    <row r="940" spans="1:5" ht="13.5" customHeight="1">
      <c r="A940" s="1"/>
      <c r="E940" s="171"/>
    </row>
    <row r="941" spans="1:5" ht="13.5" customHeight="1">
      <c r="A941" s="1"/>
      <c r="E941" s="171"/>
    </row>
    <row r="942" spans="1:5" ht="13.5" customHeight="1">
      <c r="A942" s="1"/>
      <c r="E942" s="171"/>
    </row>
    <row r="943" spans="1:5" ht="13.5" customHeight="1">
      <c r="A943" s="1"/>
      <c r="E943" s="171"/>
    </row>
    <row r="944" spans="1:5" ht="13.5" customHeight="1">
      <c r="A944" s="1"/>
      <c r="E944" s="171"/>
    </row>
    <row r="945" spans="1:5" ht="13.5" customHeight="1">
      <c r="A945" s="1"/>
      <c r="E945" s="171"/>
    </row>
    <row r="946" spans="1:5" ht="13.5" customHeight="1">
      <c r="A946" s="1"/>
      <c r="E946" s="171"/>
    </row>
    <row r="947" spans="1:5" ht="13.5" customHeight="1">
      <c r="A947" s="1"/>
      <c r="E947" s="171"/>
    </row>
    <row r="948" spans="1:5" ht="13.5" customHeight="1">
      <c r="A948" s="1"/>
      <c r="E948" s="171"/>
    </row>
    <row r="949" spans="1:5" ht="13.5" customHeight="1">
      <c r="A949" s="1"/>
      <c r="E949" s="171"/>
    </row>
    <row r="950" spans="1:5" ht="13.5" customHeight="1">
      <c r="A950" s="1"/>
      <c r="E950" s="171"/>
    </row>
    <row r="951" spans="1:5" ht="13.5" customHeight="1">
      <c r="A951" s="1"/>
      <c r="E951" s="171"/>
    </row>
    <row r="952" spans="1:5" ht="13.5" customHeight="1">
      <c r="A952" s="1"/>
      <c r="E952" s="171"/>
    </row>
    <row r="953" spans="1:5" ht="13.5" customHeight="1">
      <c r="A953" s="1"/>
      <c r="E953" s="171"/>
    </row>
    <row r="954" spans="1:5" ht="13.5" customHeight="1">
      <c r="A954" s="1"/>
      <c r="E954" s="171"/>
    </row>
    <row r="955" spans="1:5" ht="13.5" customHeight="1">
      <c r="A955" s="1"/>
      <c r="E955" s="171"/>
    </row>
    <row r="956" spans="1:5" ht="13.5" customHeight="1">
      <c r="A956" s="1"/>
      <c r="E956" s="171"/>
    </row>
    <row r="957" spans="1:5" ht="13.5" customHeight="1">
      <c r="A957" s="1"/>
      <c r="E957" s="171"/>
    </row>
    <row r="958" spans="1:5" ht="13.5" customHeight="1">
      <c r="A958" s="1"/>
      <c r="E958" s="171"/>
    </row>
    <row r="959" spans="1:5" ht="13.5" customHeight="1">
      <c r="A959" s="1"/>
      <c r="E959" s="171"/>
    </row>
    <row r="960" spans="1:5" ht="13.5" customHeight="1">
      <c r="A960" s="1"/>
      <c r="E960" s="171"/>
    </row>
    <row r="961" spans="1:5" ht="13.5" customHeight="1">
      <c r="A961" s="1"/>
      <c r="E961" s="171"/>
    </row>
    <row r="962" spans="1:5" ht="13.5" customHeight="1">
      <c r="A962" s="1"/>
      <c r="E962" s="171"/>
    </row>
    <row r="963" spans="1:5" ht="13.5" customHeight="1">
      <c r="A963" s="1"/>
      <c r="E963" s="171"/>
    </row>
    <row r="964" spans="1:5" ht="13.5" customHeight="1">
      <c r="A964" s="1"/>
      <c r="E964" s="171"/>
    </row>
    <row r="965" spans="1:5" ht="13.5" customHeight="1">
      <c r="A965" s="1"/>
      <c r="E965" s="171"/>
    </row>
    <row r="966" spans="1:5" ht="13.5" customHeight="1">
      <c r="A966" s="1"/>
      <c r="E966" s="171"/>
    </row>
    <row r="967" spans="1:5" ht="13.5" customHeight="1">
      <c r="A967" s="1"/>
      <c r="E967" s="171"/>
    </row>
    <row r="968" spans="1:5" ht="13.5" customHeight="1">
      <c r="A968" s="1"/>
      <c r="E968" s="171"/>
    </row>
    <row r="969" spans="1:5" ht="13.5" customHeight="1">
      <c r="A969" s="1"/>
      <c r="E969" s="171"/>
    </row>
    <row r="970" spans="1:5" ht="13.5" customHeight="1">
      <c r="A970" s="1"/>
      <c r="E970" s="171"/>
    </row>
    <row r="971" spans="1:5" ht="13.5" customHeight="1">
      <c r="A971" s="1"/>
      <c r="E971" s="171"/>
    </row>
    <row r="972" spans="1:5" ht="13.5" customHeight="1">
      <c r="A972" s="1"/>
      <c r="E972" s="171"/>
    </row>
    <row r="973" spans="1:5" ht="13.5" customHeight="1">
      <c r="A973" s="1"/>
      <c r="E973" s="171"/>
    </row>
    <row r="974" spans="1:5" ht="13.5" customHeight="1">
      <c r="A974" s="1"/>
      <c r="E974" s="171"/>
    </row>
    <row r="975" spans="1:5" ht="13.5" customHeight="1">
      <c r="A975" s="1"/>
      <c r="E975" s="171"/>
    </row>
    <row r="976" spans="1:5" ht="13.5" customHeight="1">
      <c r="A976" s="1"/>
      <c r="E976" s="171"/>
    </row>
    <row r="977" spans="1:5" ht="13.5" customHeight="1">
      <c r="A977" s="1"/>
      <c r="E977" s="171"/>
    </row>
    <row r="978" spans="1:5" ht="13.5" customHeight="1">
      <c r="A978" s="1"/>
      <c r="E978" s="171"/>
    </row>
    <row r="979" spans="1:5" ht="13.5" customHeight="1">
      <c r="A979" s="1"/>
      <c r="E979" s="171"/>
    </row>
    <row r="980" spans="1:5" ht="13.5" customHeight="1">
      <c r="A980" s="1"/>
      <c r="E980" s="171"/>
    </row>
    <row r="981" spans="1:5" ht="13.5" customHeight="1">
      <c r="A981" s="1"/>
      <c r="E981" s="171"/>
    </row>
    <row r="982" spans="1:5" ht="13.5" customHeight="1">
      <c r="A982" s="1"/>
      <c r="E982" s="171"/>
    </row>
    <row r="983" spans="1:5" ht="13.5" customHeight="1">
      <c r="A983" s="1"/>
      <c r="E983" s="171"/>
    </row>
    <row r="984" spans="1:5" ht="13.5" customHeight="1">
      <c r="A984" s="1"/>
      <c r="E984" s="171"/>
    </row>
    <row r="985" spans="1:5" ht="13.5" customHeight="1">
      <c r="A985" s="1"/>
      <c r="E985" s="171"/>
    </row>
    <row r="986" spans="1:5" ht="13.5" customHeight="1">
      <c r="A986" s="1"/>
      <c r="E986" s="171"/>
    </row>
    <row r="987" spans="1:5" ht="13.5" customHeight="1">
      <c r="A987" s="1"/>
      <c r="E987" s="171"/>
    </row>
    <row r="988" spans="1:5" ht="13.5" customHeight="1">
      <c r="A988" s="1"/>
      <c r="E988" s="171"/>
    </row>
    <row r="989" spans="1:5" ht="13.5" customHeight="1">
      <c r="A989" s="1"/>
      <c r="E989" s="171"/>
    </row>
    <row r="990" spans="1:5" ht="13.5" customHeight="1">
      <c r="A990" s="1"/>
      <c r="E990" s="171"/>
    </row>
    <row r="991" spans="1:5" ht="13.5" customHeight="1">
      <c r="A991" s="1"/>
      <c r="E991" s="171"/>
    </row>
    <row r="992" spans="1:5" ht="13.5" customHeight="1">
      <c r="A992" s="1"/>
      <c r="E992" s="171"/>
    </row>
    <row r="993" spans="1:5" ht="13.5" customHeight="1">
      <c r="A993" s="1"/>
      <c r="E993" s="171"/>
    </row>
    <row r="994" spans="1:5" ht="13.5" customHeight="1">
      <c r="A994" s="1"/>
      <c r="E994" s="171"/>
    </row>
    <row r="995" spans="1:5" ht="13.5" customHeight="1">
      <c r="A995" s="1"/>
      <c r="E995" s="171"/>
    </row>
    <row r="996" spans="1:5" ht="13.5" customHeight="1">
      <c r="A996" s="1"/>
      <c r="E996" s="171"/>
    </row>
    <row r="997" spans="1:5" ht="13.5" customHeight="1">
      <c r="A997" s="1"/>
      <c r="E997" s="171"/>
    </row>
    <row r="998" spans="1:5" ht="13.5" customHeight="1">
      <c r="A998" s="1"/>
      <c r="E998" s="171"/>
    </row>
    <row r="999" spans="1:5" ht="13.5" customHeight="1">
      <c r="A999" s="1"/>
      <c r="E999" s="171"/>
    </row>
    <row r="1000" spans="1:5" ht="13.5" customHeight="1">
      <c r="A1000" s="1"/>
      <c r="E1000" s="171"/>
    </row>
  </sheetData>
  <mergeCells count="26">
    <mergeCell ref="B8:L8"/>
    <mergeCell ref="B9:L9"/>
    <mergeCell ref="A10:M10"/>
    <mergeCell ref="C12:F12"/>
    <mergeCell ref="K12:M12"/>
    <mergeCell ref="K13:M13"/>
    <mergeCell ref="C14:K14"/>
    <mergeCell ref="J15:L15"/>
    <mergeCell ref="M15:M16"/>
    <mergeCell ref="A15:A16"/>
    <mergeCell ref="B15:B16"/>
    <mergeCell ref="C15:C16"/>
    <mergeCell ref="D15:D16"/>
    <mergeCell ref="E15:E16"/>
    <mergeCell ref="F15:F16"/>
    <mergeCell ref="G15:I15"/>
    <mergeCell ref="D170:G170"/>
    <mergeCell ref="D171:G171"/>
    <mergeCell ref="B164:H164"/>
    <mergeCell ref="B165:I165"/>
    <mergeCell ref="I166:J166"/>
    <mergeCell ref="K166:M166"/>
    <mergeCell ref="I167:J167"/>
    <mergeCell ref="K167:M167"/>
    <mergeCell ref="K168:M168"/>
    <mergeCell ref="I168:J168"/>
  </mergeCells>
  <printOptions horizontalCentered="1"/>
  <pageMargins left="0.31496062992125984" right="0.31496062992125984" top="0.39370078740157483" bottom="0.39370078740157483" header="0" footer="0"/>
  <pageSetup paperSize="9" scale="70" fitToHeight="6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59765625" defaultRowHeight="15" customHeight="1"/>
  <cols>
    <col min="1" max="2" width="8.59765625" customWidth="1"/>
    <col min="3" max="3" width="29.19921875" customWidth="1"/>
    <col min="4" max="4" width="11.69921875" customWidth="1"/>
    <col min="5" max="5" width="8.59765625" customWidth="1"/>
    <col min="6" max="6" width="16.59765625" customWidth="1"/>
    <col min="7" max="7" width="15" customWidth="1"/>
    <col min="8" max="26" width="8.59765625" customWidth="1"/>
  </cols>
  <sheetData>
    <row r="1" spans="1:26" ht="1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>
      <c r="A3" s="2"/>
      <c r="B3" s="2"/>
      <c r="C3" s="2"/>
      <c r="D3" s="2"/>
      <c r="E3" s="2"/>
      <c r="F3" s="2"/>
      <c r="G3" s="2"/>
    </row>
    <row r="4" spans="1:26" ht="13.5" customHeight="1">
      <c r="A4" s="2"/>
      <c r="B4" s="2"/>
      <c r="C4" s="2"/>
      <c r="D4" s="2"/>
      <c r="E4" s="2"/>
      <c r="F4" s="2"/>
      <c r="G4" s="2"/>
    </row>
    <row r="5" spans="1:26" ht="13.5" customHeight="1">
      <c r="A5" s="2"/>
      <c r="B5" s="2"/>
      <c r="C5" s="2"/>
      <c r="D5" s="2"/>
      <c r="E5" s="2"/>
      <c r="F5" s="2"/>
      <c r="G5" s="2"/>
    </row>
    <row r="6" spans="1:26" ht="13.5" customHeight="1">
      <c r="A6" s="2"/>
      <c r="B6" s="2"/>
      <c r="C6" s="2"/>
      <c r="D6" s="2"/>
      <c r="E6" s="2"/>
      <c r="F6" s="2"/>
      <c r="G6" s="2"/>
    </row>
    <row r="7" spans="1:26" ht="13.5" customHeight="1">
      <c r="A7" s="2"/>
      <c r="B7" s="209" t="s">
        <v>0</v>
      </c>
      <c r="C7" s="193"/>
      <c r="D7" s="193"/>
      <c r="E7" s="193"/>
      <c r="F7" s="193"/>
      <c r="G7" s="193"/>
      <c r="H7" s="6"/>
      <c r="I7" s="6"/>
      <c r="J7" s="6"/>
      <c r="K7" s="6"/>
      <c r="L7" s="6"/>
    </row>
    <row r="8" spans="1:26" ht="13.5" customHeight="1">
      <c r="A8" s="2"/>
      <c r="B8" s="209" t="s">
        <v>1</v>
      </c>
      <c r="C8" s="193"/>
      <c r="D8" s="193"/>
      <c r="E8" s="193"/>
      <c r="F8" s="193"/>
      <c r="G8" s="193"/>
      <c r="H8" s="6"/>
      <c r="I8" s="6"/>
      <c r="J8" s="6"/>
      <c r="K8" s="6"/>
      <c r="L8" s="6"/>
    </row>
    <row r="9" spans="1:26" ht="13.5" customHeight="1">
      <c r="A9" s="2"/>
      <c r="B9" s="220" t="s">
        <v>2</v>
      </c>
      <c r="C9" s="193"/>
      <c r="D9" s="193"/>
      <c r="E9" s="193"/>
      <c r="F9" s="193"/>
      <c r="G9" s="193"/>
    </row>
    <row r="10" spans="1:26" ht="13.5" customHeight="1">
      <c r="A10" s="2"/>
      <c r="B10" s="211"/>
      <c r="C10" s="193"/>
      <c r="D10" s="193"/>
      <c r="E10" s="193"/>
      <c r="F10" s="193"/>
      <c r="G10" s="193"/>
    </row>
    <row r="11" spans="1:26" ht="13.5" customHeight="1">
      <c r="A11" s="2"/>
      <c r="B11" s="221"/>
      <c r="C11" s="193"/>
      <c r="D11" s="193"/>
      <c r="E11" s="193"/>
      <c r="F11" s="193"/>
      <c r="G11" s="193"/>
    </row>
    <row r="12" spans="1:26" ht="13.5" customHeight="1">
      <c r="A12" s="2"/>
      <c r="B12" s="212" t="s">
        <v>3</v>
      </c>
      <c r="C12" s="213"/>
      <c r="D12" s="213"/>
      <c r="E12" s="213"/>
      <c r="F12" s="213"/>
      <c r="G12" s="214"/>
    </row>
    <row r="13" spans="1:26" ht="13.5" customHeight="1">
      <c r="A13" s="2"/>
      <c r="B13" s="11"/>
      <c r="C13" s="215" t="s">
        <v>6</v>
      </c>
      <c r="D13" s="213"/>
      <c r="E13" s="213"/>
      <c r="F13" s="214"/>
      <c r="G13" s="12" t="s">
        <v>7</v>
      </c>
    </row>
    <row r="14" spans="1:26" ht="13.5" customHeight="1">
      <c r="A14" s="2"/>
      <c r="B14" s="18">
        <f>[1]Orcamento!B15</f>
        <v>1</v>
      </c>
      <c r="C14" s="216" t="str">
        <f>Orcamento!C18</f>
        <v>SERVIÇOS PRELIMINARES</v>
      </c>
      <c r="D14" s="187"/>
      <c r="E14" s="187"/>
      <c r="F14" s="217"/>
      <c r="G14" s="32">
        <f>Orcamento!L18</f>
        <v>4440.8200000000006</v>
      </c>
    </row>
    <row r="15" spans="1:26" ht="13.5" customHeight="1">
      <c r="A15" s="2"/>
      <c r="B15" s="35">
        <f>[1]Orcamento!B22</f>
        <v>2</v>
      </c>
      <c r="C15" s="218" t="str">
        <f>Orcamento!C27</f>
        <v>MOVIMENTAÇÃO DE TERRA</v>
      </c>
      <c r="D15" s="187"/>
      <c r="E15" s="187"/>
      <c r="F15" s="217"/>
      <c r="G15" s="46">
        <f>Orcamento!L27</f>
        <v>47217.18</v>
      </c>
    </row>
    <row r="16" spans="1:26" ht="13.5" customHeight="1">
      <c r="A16" s="2"/>
      <c r="B16" s="18">
        <f>[1]Orcamento!B32</f>
        <v>3</v>
      </c>
      <c r="C16" s="216" t="str">
        <f>Orcamento!C40</f>
        <v>CALÇADA DE PASSEIO</v>
      </c>
      <c r="D16" s="187"/>
      <c r="E16" s="187"/>
      <c r="F16" s="217"/>
      <c r="G16" s="32">
        <f>Orcamento!L40</f>
        <v>70839.97</v>
      </c>
    </row>
    <row r="17" spans="1:9" ht="13.5" customHeight="1">
      <c r="A17" s="2"/>
      <c r="B17" s="35">
        <f>[1]Orcamento!B47</f>
        <v>4</v>
      </c>
      <c r="C17" s="218" t="e">
        <f>Orcamento!#REF!</f>
        <v>#REF!</v>
      </c>
      <c r="D17" s="187"/>
      <c r="E17" s="187"/>
      <c r="F17" s="217"/>
      <c r="G17" s="46" t="e">
        <f>Orcamento!#REF!</f>
        <v>#REF!</v>
      </c>
    </row>
    <row r="18" spans="1:9" ht="13.5" customHeight="1">
      <c r="A18" s="2"/>
      <c r="B18" s="18">
        <f>[1]Orcamento!B51</f>
        <v>5</v>
      </c>
      <c r="C18" s="216" t="e">
        <f>Orcamento!#REF!</f>
        <v>#REF!</v>
      </c>
      <c r="D18" s="187"/>
      <c r="E18" s="187"/>
      <c r="F18" s="217"/>
      <c r="G18" s="32" t="e">
        <f>Orcamento!#REF!</f>
        <v>#REF!</v>
      </c>
    </row>
    <row r="19" spans="1:9" ht="13.5" customHeight="1">
      <c r="A19" s="2"/>
      <c r="B19" s="61"/>
      <c r="C19" s="219" t="s">
        <v>50</v>
      </c>
      <c r="D19" s="213"/>
      <c r="E19" s="213"/>
      <c r="F19" s="214"/>
      <c r="G19" s="70" t="e">
        <f>SUM(G14:G18)</f>
        <v>#REF!</v>
      </c>
    </row>
    <row r="20" spans="1:9" ht="13.5" customHeight="1">
      <c r="A20" s="2"/>
      <c r="B20" s="2"/>
      <c r="C20" s="2"/>
      <c r="D20" s="2"/>
      <c r="E20" s="2"/>
      <c r="F20" s="2"/>
      <c r="G20" s="2"/>
    </row>
    <row r="21" spans="1:9" ht="13.5" customHeight="1">
      <c r="A21" s="2"/>
      <c r="B21" s="2"/>
      <c r="C21" s="2"/>
      <c r="D21" s="2"/>
      <c r="E21" s="2"/>
      <c r="F21" s="2"/>
      <c r="G21" s="2"/>
    </row>
    <row r="22" spans="1:9" ht="13.5" customHeight="1">
      <c r="A22" s="2"/>
      <c r="B22" s="2"/>
      <c r="C22" s="2"/>
      <c r="D22" s="2"/>
      <c r="E22" s="2"/>
      <c r="F22" s="2"/>
      <c r="G22" s="2"/>
    </row>
    <row r="23" spans="1:9" ht="13.5" customHeight="1">
      <c r="B23" s="74" t="s">
        <v>56</v>
      </c>
      <c r="C23" s="2"/>
      <c r="D23" s="2"/>
      <c r="E23" s="2"/>
      <c r="F23" s="2"/>
      <c r="G23" s="2"/>
      <c r="H23" s="2"/>
      <c r="I23" s="2"/>
    </row>
    <row r="24" spans="1:9" ht="13.5" customHeight="1">
      <c r="B24" s="2"/>
      <c r="C24" s="2"/>
      <c r="D24" s="2"/>
      <c r="E24" s="2"/>
      <c r="F24" s="192"/>
      <c r="G24" s="193"/>
      <c r="H24" s="193"/>
      <c r="I24" s="193"/>
    </row>
    <row r="25" spans="1:9" ht="13.5" customHeight="1">
      <c r="B25" s="2"/>
      <c r="C25" s="78"/>
      <c r="D25" s="192" t="s">
        <v>62</v>
      </c>
      <c r="E25" s="193"/>
      <c r="F25" s="193"/>
      <c r="G25" s="193"/>
      <c r="H25" s="2"/>
      <c r="I25" s="2"/>
    </row>
    <row r="26" spans="1:9" ht="13.5" customHeight="1">
      <c r="B26" s="2"/>
      <c r="C26" s="1"/>
      <c r="D26" s="192" t="s">
        <v>64</v>
      </c>
      <c r="E26" s="193"/>
      <c r="F26" s="193"/>
      <c r="G26" s="193"/>
      <c r="H26" s="2"/>
      <c r="I26" s="2"/>
    </row>
    <row r="27" spans="1:9" ht="13.5" customHeight="1">
      <c r="B27" s="2"/>
      <c r="C27" s="2"/>
      <c r="D27" s="192" t="s">
        <v>65</v>
      </c>
      <c r="E27" s="193"/>
      <c r="F27" s="193"/>
      <c r="G27" s="193"/>
      <c r="H27" s="2"/>
      <c r="I27" s="2"/>
    </row>
    <row r="28" spans="1:9" ht="13.5" customHeight="1">
      <c r="B28" s="2"/>
      <c r="C28" s="2"/>
      <c r="D28" s="2"/>
      <c r="E28" s="2"/>
      <c r="F28" s="2"/>
      <c r="G28" s="2"/>
      <c r="H28" s="2"/>
      <c r="I28" s="2"/>
    </row>
    <row r="29" spans="1:9" ht="13.5" customHeight="1"/>
    <row r="30" spans="1:9" ht="13.5" customHeight="1"/>
    <row r="31" spans="1:9" ht="13.5" customHeight="1"/>
    <row r="32" spans="1:9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17">
    <mergeCell ref="B7:G7"/>
    <mergeCell ref="B8:G8"/>
    <mergeCell ref="B9:G9"/>
    <mergeCell ref="B10:G10"/>
    <mergeCell ref="B11:G11"/>
    <mergeCell ref="B12:G12"/>
    <mergeCell ref="C13:F13"/>
    <mergeCell ref="D25:G25"/>
    <mergeCell ref="D26:G26"/>
    <mergeCell ref="D27:G27"/>
    <mergeCell ref="C14:F14"/>
    <mergeCell ref="C15:F15"/>
    <mergeCell ref="C16:F16"/>
    <mergeCell ref="C17:F17"/>
    <mergeCell ref="C18:F18"/>
    <mergeCell ref="C19:F19"/>
    <mergeCell ref="F24:I24"/>
  </mergeCells>
  <pageMargins left="0.51181102362204722" right="0.51181102362204722" top="0.78740157480314965" bottom="0.7874015748031496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>
      <selection activeCell="E71" sqref="B7:J71"/>
    </sheetView>
  </sheetViews>
  <sheetFormatPr defaultColWidth="12.59765625" defaultRowHeight="15" customHeight="1"/>
  <cols>
    <col min="1" max="2" width="8.59765625" customWidth="1"/>
    <col min="3" max="3" width="33.59765625" customWidth="1"/>
    <col min="4" max="4" width="16.19921875" customWidth="1"/>
    <col min="5" max="5" width="12.69921875" customWidth="1"/>
    <col min="6" max="6" width="8.69921875" customWidth="1"/>
    <col min="7" max="7" width="12.69921875" customWidth="1"/>
    <col min="8" max="8" width="8.69921875" customWidth="1"/>
    <col min="9" max="9" width="12.69921875" customWidth="1"/>
    <col min="10" max="10" width="8.69921875" customWidth="1"/>
    <col min="11" max="11" width="19.69921875" customWidth="1"/>
    <col min="12" max="26" width="8.59765625" customWidth="1"/>
  </cols>
  <sheetData>
    <row r="1" spans="1:26" ht="13.5" customHeight="1">
      <c r="A1" s="2"/>
      <c r="B1" s="2"/>
      <c r="C1" s="2"/>
      <c r="D1" s="2"/>
      <c r="E1" s="2"/>
      <c r="F1" s="2"/>
      <c r="G1" s="2"/>
      <c r="H1" s="2"/>
      <c r="I1" s="2"/>
      <c r="J1" s="2"/>
    </row>
    <row r="2" spans="1:26" ht="13.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26" ht="13.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26" ht="13.5" customHeight="1">
      <c r="A4" s="2"/>
      <c r="B4" s="2"/>
      <c r="C4" s="2"/>
      <c r="D4" s="2"/>
      <c r="E4" s="2"/>
      <c r="F4" s="2"/>
      <c r="G4" s="2"/>
      <c r="H4" s="2"/>
      <c r="I4" s="2"/>
      <c r="J4" s="2"/>
    </row>
    <row r="5" spans="1:26" ht="13.5" customHeight="1">
      <c r="A5" s="2"/>
      <c r="B5" s="2"/>
      <c r="C5" s="2"/>
      <c r="D5" s="2"/>
      <c r="E5" s="2"/>
      <c r="F5" s="2"/>
      <c r="G5" s="2"/>
      <c r="H5" s="2"/>
      <c r="I5" s="2"/>
      <c r="J5" s="2"/>
    </row>
    <row r="6" spans="1:26" ht="13.5" customHeight="1">
      <c r="A6" s="2"/>
      <c r="B6" s="239"/>
      <c r="C6" s="193"/>
      <c r="D6" s="193"/>
      <c r="E6" s="193"/>
      <c r="F6" s="193"/>
      <c r="G6" s="193"/>
      <c r="H6" s="2"/>
      <c r="I6" s="2"/>
      <c r="J6" s="2"/>
    </row>
    <row r="7" spans="1:26" ht="13.5" customHeight="1">
      <c r="A7" s="2"/>
      <c r="B7" s="222"/>
      <c r="C7" s="193"/>
      <c r="D7" s="193"/>
      <c r="E7" s="193"/>
      <c r="F7" s="193"/>
      <c r="G7" s="193"/>
      <c r="H7" s="2"/>
      <c r="I7" s="2"/>
      <c r="J7" s="2"/>
    </row>
    <row r="8" spans="1:26" ht="13.5" customHeight="1">
      <c r="A8" s="2"/>
      <c r="B8" s="4"/>
      <c r="C8" s="4"/>
      <c r="D8" s="4"/>
      <c r="E8" s="4"/>
      <c r="F8" s="4"/>
      <c r="G8" s="4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3.5" customHeight="1">
      <c r="A9" s="2"/>
      <c r="B9" s="4"/>
      <c r="C9" s="4"/>
      <c r="D9" s="4"/>
      <c r="E9" s="4"/>
      <c r="F9" s="4"/>
      <c r="G9" s="4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5" customHeight="1">
      <c r="A10" s="2"/>
      <c r="B10" s="4"/>
      <c r="C10" s="4"/>
      <c r="D10" s="4"/>
      <c r="E10" s="4"/>
      <c r="F10" s="4"/>
      <c r="G10" s="4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3.5" customHeight="1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26" ht="13.5" customHeight="1">
      <c r="A12" s="2"/>
      <c r="B12" s="220"/>
      <c r="C12" s="193"/>
      <c r="D12" s="193"/>
      <c r="E12" s="193"/>
      <c r="F12" s="193"/>
      <c r="G12" s="193"/>
      <c r="H12" s="2"/>
      <c r="I12" s="2"/>
      <c r="J12" s="2"/>
    </row>
    <row r="13" spans="1:26" ht="13.5" customHeight="1">
      <c r="A13" s="2"/>
      <c r="B13" s="209" t="s">
        <v>0</v>
      </c>
      <c r="C13" s="193"/>
      <c r="D13" s="193"/>
      <c r="E13" s="193"/>
      <c r="F13" s="193"/>
      <c r="G13" s="193"/>
      <c r="H13" s="193"/>
      <c r="I13" s="193"/>
      <c r="J13" s="19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3.5" customHeight="1">
      <c r="A14" s="2"/>
      <c r="B14" s="209" t="s">
        <v>1</v>
      </c>
      <c r="C14" s="193"/>
      <c r="D14" s="193"/>
      <c r="E14" s="193"/>
      <c r="F14" s="193"/>
      <c r="G14" s="193"/>
      <c r="H14" s="193"/>
      <c r="I14" s="193"/>
      <c r="J14" s="19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3.5" customHeight="1">
      <c r="A15" s="2"/>
      <c r="B15" s="220" t="s">
        <v>5</v>
      </c>
      <c r="C15" s="193"/>
      <c r="D15" s="193"/>
      <c r="E15" s="193"/>
      <c r="F15" s="193"/>
      <c r="G15" s="193"/>
      <c r="H15" s="193"/>
      <c r="I15" s="193"/>
      <c r="J15" s="19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3.5" customHeight="1">
      <c r="A16" s="2"/>
      <c r="B16" s="211" t="s">
        <v>8</v>
      </c>
      <c r="C16" s="193"/>
      <c r="D16" s="193"/>
      <c r="E16" s="193"/>
      <c r="F16" s="193"/>
      <c r="G16" s="193"/>
      <c r="H16" s="193"/>
      <c r="I16" s="193"/>
      <c r="J16" s="193"/>
    </row>
    <row r="17" spans="1:26" ht="14.25" customHeight="1">
      <c r="A17" s="2"/>
      <c r="B17" s="235"/>
      <c r="C17" s="236"/>
      <c r="D17" s="236"/>
      <c r="E17" s="236"/>
      <c r="F17" s="236"/>
      <c r="G17" s="236"/>
      <c r="H17" s="236"/>
      <c r="I17" s="236"/>
      <c r="J17" s="236"/>
    </row>
    <row r="18" spans="1:26" ht="13.5" customHeight="1">
      <c r="A18" s="2"/>
      <c r="B18" s="237" t="s">
        <v>12</v>
      </c>
      <c r="C18" s="213"/>
      <c r="D18" s="213"/>
      <c r="E18" s="213"/>
      <c r="F18" s="213"/>
      <c r="G18" s="213"/>
      <c r="H18" s="213"/>
      <c r="I18" s="213"/>
      <c r="J18" s="214"/>
    </row>
    <row r="19" spans="1:26" ht="13.5" customHeight="1">
      <c r="A19" s="2"/>
      <c r="B19" s="20"/>
      <c r="C19" s="21"/>
      <c r="D19" s="23"/>
      <c r="E19" s="23"/>
      <c r="F19" s="23"/>
      <c r="G19" s="23"/>
      <c r="H19" s="23"/>
      <c r="I19" s="23"/>
      <c r="J19" s="26"/>
    </row>
    <row r="20" spans="1:26" ht="13.5" customHeight="1">
      <c r="A20" s="2"/>
      <c r="B20" s="27"/>
      <c r="C20" s="29"/>
      <c r="D20" s="30"/>
      <c r="E20" s="30"/>
      <c r="F20" s="30"/>
      <c r="G20" s="30"/>
      <c r="H20" s="30"/>
      <c r="I20" s="30"/>
      <c r="J20" s="33"/>
    </row>
    <row r="21" spans="1:26" ht="13.5" customHeight="1">
      <c r="A21" s="2"/>
      <c r="B21" s="38" t="s">
        <v>25</v>
      </c>
      <c r="C21" s="40" t="s">
        <v>28</v>
      </c>
      <c r="D21" s="42" t="s">
        <v>30</v>
      </c>
      <c r="E21" s="44" t="s">
        <v>32</v>
      </c>
      <c r="F21" s="45" t="s">
        <v>33</v>
      </c>
      <c r="G21" s="44" t="s">
        <v>34</v>
      </c>
      <c r="H21" s="45" t="s">
        <v>33</v>
      </c>
      <c r="I21" s="44" t="s">
        <v>35</v>
      </c>
      <c r="J21" s="45" t="s">
        <v>33</v>
      </c>
    </row>
    <row r="22" spans="1:26" ht="13.5" customHeight="1">
      <c r="A22" s="2"/>
      <c r="B22" s="238" t="s">
        <v>37</v>
      </c>
      <c r="C22" s="226"/>
      <c r="D22" s="184">
        <f>D23+D25+D27+D29+D31+D33+D35+D37</f>
        <v>488264.75999999989</v>
      </c>
      <c r="E22" s="47"/>
      <c r="F22" s="49"/>
      <c r="G22" s="47"/>
      <c r="H22" s="49"/>
      <c r="I22" s="47"/>
      <c r="J22" s="49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3.5" customHeight="1">
      <c r="A23" s="2"/>
      <c r="B23" s="233" t="s">
        <v>47</v>
      </c>
      <c r="C23" s="234" t="str">
        <f>Orcamento!C18</f>
        <v>SERVIÇOS PRELIMINARES</v>
      </c>
      <c r="D23" s="65">
        <f>Orcamento!L18</f>
        <v>4440.8200000000006</v>
      </c>
      <c r="E23" s="72">
        <f>E24*D23</f>
        <v>4440.8200000000006</v>
      </c>
      <c r="F23" s="73"/>
      <c r="G23" s="72">
        <f>G24*D23</f>
        <v>0</v>
      </c>
      <c r="H23" s="73"/>
      <c r="I23" s="72">
        <f>I24*D23</f>
        <v>0</v>
      </c>
      <c r="J23" s="73"/>
    </row>
    <row r="24" spans="1:26" ht="13.5" customHeight="1">
      <c r="A24" s="2"/>
      <c r="B24" s="232"/>
      <c r="C24" s="224"/>
      <c r="D24" s="79"/>
      <c r="E24" s="82">
        <v>1</v>
      </c>
      <c r="F24" s="86">
        <f>E24</f>
        <v>1</v>
      </c>
      <c r="G24" s="82"/>
      <c r="H24" s="86">
        <f>G24+E24</f>
        <v>1</v>
      </c>
      <c r="I24" s="82"/>
      <c r="J24" s="86">
        <f>I24+H24</f>
        <v>1</v>
      </c>
    </row>
    <row r="25" spans="1:26" ht="13.5" customHeight="1">
      <c r="A25" s="2"/>
      <c r="B25" s="229" t="s">
        <v>70</v>
      </c>
      <c r="C25" s="227" t="str">
        <f>Orcamento!C24</f>
        <v>DEMOLIÇÕES DE CALÇADA DE PASSEIO EXISTENTE</v>
      </c>
      <c r="D25" s="94">
        <f>Orcamento!L24</f>
        <v>7675.92</v>
      </c>
      <c r="E25" s="95">
        <f>E26*D25</f>
        <v>3070.3680000000004</v>
      </c>
      <c r="F25" s="96"/>
      <c r="G25" s="95">
        <f>G26*D25</f>
        <v>4605.5519999999997</v>
      </c>
      <c r="H25" s="96"/>
      <c r="I25" s="95">
        <f>I26*D25</f>
        <v>0</v>
      </c>
      <c r="J25" s="96"/>
    </row>
    <row r="26" spans="1:26" ht="13.5" customHeight="1">
      <c r="A26" s="2"/>
      <c r="B26" s="230"/>
      <c r="C26" s="228"/>
      <c r="D26" s="97"/>
      <c r="E26" s="98">
        <v>0.4</v>
      </c>
      <c r="F26" s="100">
        <f>E26</f>
        <v>0.4</v>
      </c>
      <c r="G26" s="98">
        <v>0.6</v>
      </c>
      <c r="H26" s="100">
        <f>G26+E26</f>
        <v>1</v>
      </c>
      <c r="I26" s="98"/>
      <c r="J26" s="100">
        <f>I26+H26</f>
        <v>1</v>
      </c>
    </row>
    <row r="27" spans="1:26" ht="13.5" customHeight="1">
      <c r="A27" s="2"/>
      <c r="B27" s="231" t="s">
        <v>80</v>
      </c>
      <c r="C27" s="223" t="str">
        <f>Orcamento!C27</f>
        <v>MOVIMENTAÇÃO DE TERRA</v>
      </c>
      <c r="D27" s="65">
        <f>Orcamento!L27</f>
        <v>47217.18</v>
      </c>
      <c r="E27" s="72">
        <f>E28*D27</f>
        <v>28330.308000000001</v>
      </c>
      <c r="F27" s="73"/>
      <c r="G27" s="72">
        <f>G28*D27</f>
        <v>18886.871999999999</v>
      </c>
      <c r="H27" s="73"/>
      <c r="I27" s="72">
        <f>I28*D27</f>
        <v>0</v>
      </c>
      <c r="J27" s="73"/>
    </row>
    <row r="28" spans="1:26" ht="13.5" customHeight="1">
      <c r="A28" s="2"/>
      <c r="B28" s="232"/>
      <c r="C28" s="224"/>
      <c r="D28" s="79"/>
      <c r="E28" s="82">
        <v>0.6</v>
      </c>
      <c r="F28" s="86">
        <f>E28</f>
        <v>0.6</v>
      </c>
      <c r="G28" s="82">
        <v>0.4</v>
      </c>
      <c r="H28" s="86">
        <f>G28+E28</f>
        <v>1</v>
      </c>
      <c r="I28" s="82"/>
      <c r="J28" s="86">
        <f>I28+H28</f>
        <v>1</v>
      </c>
    </row>
    <row r="29" spans="1:26" ht="13.5" customHeight="1">
      <c r="A29" s="2"/>
      <c r="B29" s="229" t="s">
        <v>90</v>
      </c>
      <c r="C29" s="227" t="str">
        <f>Orcamento!C32</f>
        <v>DRENAGEM DE ÁGUAS PLUVIAIS E ENTRADAS MORADORES</v>
      </c>
      <c r="D29" s="94">
        <f>Orcamento!L32</f>
        <v>212073.17999999996</v>
      </c>
      <c r="E29" s="95">
        <f>E30*D29</f>
        <v>0</v>
      </c>
      <c r="F29" s="96"/>
      <c r="G29" s="95">
        <f>G30*D29</f>
        <v>127243.90799999997</v>
      </c>
      <c r="H29" s="96"/>
      <c r="I29" s="95">
        <f>I30*D29</f>
        <v>84829.271999999997</v>
      </c>
      <c r="J29" s="96"/>
    </row>
    <row r="30" spans="1:26" ht="13.5" customHeight="1">
      <c r="A30" s="2"/>
      <c r="B30" s="230"/>
      <c r="C30" s="228"/>
      <c r="D30" s="97"/>
      <c r="E30" s="98">
        <v>0</v>
      </c>
      <c r="F30" s="100">
        <f>E30</f>
        <v>0</v>
      </c>
      <c r="G30" s="98">
        <v>0.6</v>
      </c>
      <c r="H30" s="100">
        <f>G30+E30</f>
        <v>0.6</v>
      </c>
      <c r="I30" s="98">
        <v>0.4</v>
      </c>
      <c r="J30" s="100">
        <f>I30+H30</f>
        <v>1</v>
      </c>
    </row>
    <row r="31" spans="1:26" ht="13.5" customHeight="1">
      <c r="A31" s="2"/>
      <c r="B31" s="231" t="s">
        <v>93</v>
      </c>
      <c r="C31" s="223" t="str">
        <f>Orcamento!C40</f>
        <v>CALÇADA DE PASSEIO</v>
      </c>
      <c r="D31" s="65">
        <f>Orcamento!L40</f>
        <v>70839.97</v>
      </c>
      <c r="E31" s="72">
        <f>E32*D31</f>
        <v>0</v>
      </c>
      <c r="F31" s="73"/>
      <c r="G31" s="72">
        <f>G32*D31</f>
        <v>42503.981999999996</v>
      </c>
      <c r="H31" s="73"/>
      <c r="I31" s="72">
        <f>I32*D31</f>
        <v>28335.988000000001</v>
      </c>
      <c r="J31" s="73"/>
    </row>
    <row r="32" spans="1:26" ht="13.5" customHeight="1">
      <c r="A32" s="2"/>
      <c r="B32" s="232"/>
      <c r="C32" s="224"/>
      <c r="D32" s="79"/>
      <c r="E32" s="82"/>
      <c r="F32" s="86">
        <f>E32</f>
        <v>0</v>
      </c>
      <c r="G32" s="82">
        <v>0.6</v>
      </c>
      <c r="H32" s="86">
        <f>G32+E32</f>
        <v>0.6</v>
      </c>
      <c r="I32" s="82">
        <v>0.4</v>
      </c>
      <c r="J32" s="86">
        <f>I32+H32</f>
        <v>1</v>
      </c>
    </row>
    <row r="33" spans="1:26" ht="13.5" customHeight="1">
      <c r="A33" s="2"/>
      <c r="B33" s="229" t="s">
        <v>100</v>
      </c>
      <c r="C33" s="227" t="str">
        <f>Orcamento!C53</f>
        <v>INTERVENÇÕES NA CAIXA CARROÇÁVEL COM CBUQ</v>
      </c>
      <c r="D33" s="94">
        <f>Orcamento!L53</f>
        <v>36879.209999999992</v>
      </c>
      <c r="E33" s="95">
        <f>E34*D33</f>
        <v>0</v>
      </c>
      <c r="F33" s="96"/>
      <c r="G33" s="95">
        <f>G34*D33</f>
        <v>14751.683999999997</v>
      </c>
      <c r="H33" s="96"/>
      <c r="I33" s="95">
        <f>I34*D33</f>
        <v>22127.525999999994</v>
      </c>
      <c r="J33" s="9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>
      <c r="A34" s="2"/>
      <c r="B34" s="230"/>
      <c r="C34" s="228"/>
      <c r="D34" s="97"/>
      <c r="E34" s="98"/>
      <c r="F34" s="100">
        <f>E34</f>
        <v>0</v>
      </c>
      <c r="G34" s="98">
        <v>0.4</v>
      </c>
      <c r="H34" s="100">
        <f>G34+E34</f>
        <v>0.4</v>
      </c>
      <c r="I34" s="98">
        <v>0.6</v>
      </c>
      <c r="J34" s="100">
        <f>I34+H34</f>
        <v>1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>
      <c r="A35" s="2"/>
      <c r="B35" s="231" t="s">
        <v>102</v>
      </c>
      <c r="C35" s="223" t="str">
        <f>Orcamento!C68</f>
        <v>DESLOCAMENTO DE REDE DE ENERGIA ELÉTRICA</v>
      </c>
      <c r="D35" s="65">
        <f>Orcamento!L68</f>
        <v>108000</v>
      </c>
      <c r="E35" s="72">
        <f>E36*D35</f>
        <v>0</v>
      </c>
      <c r="F35" s="73"/>
      <c r="G35" s="72">
        <f>G36*D35</f>
        <v>64800</v>
      </c>
      <c r="H35" s="73"/>
      <c r="I35" s="72">
        <f>I36*D35</f>
        <v>43200</v>
      </c>
      <c r="J35" s="73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>
      <c r="A36" s="2"/>
      <c r="B36" s="232"/>
      <c r="C36" s="224"/>
      <c r="D36" s="79"/>
      <c r="E36" s="82"/>
      <c r="F36" s="86">
        <f>E36</f>
        <v>0</v>
      </c>
      <c r="G36" s="82">
        <v>0.6</v>
      </c>
      <c r="H36" s="86">
        <f>G36+E36</f>
        <v>0.6</v>
      </c>
      <c r="I36" s="82">
        <v>0.4</v>
      </c>
      <c r="J36" s="86">
        <f>I36+H36</f>
        <v>1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>
      <c r="A37" s="2"/>
      <c r="B37" s="229" t="s">
        <v>108</v>
      </c>
      <c r="C37" s="227" t="str">
        <f>Orcamento!C71</f>
        <v>SERVIÇOS FINAIS</v>
      </c>
      <c r="D37" s="94">
        <f>Orcamento!L71</f>
        <v>1138.48</v>
      </c>
      <c r="E37" s="95">
        <f>E38*D37</f>
        <v>0</v>
      </c>
      <c r="F37" s="96"/>
      <c r="G37" s="95">
        <f>G38*D37</f>
        <v>455.39200000000005</v>
      </c>
      <c r="H37" s="96"/>
      <c r="I37" s="95">
        <f>I38*D37</f>
        <v>683.08799999999997</v>
      </c>
      <c r="J37" s="96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>
      <c r="A38" s="2"/>
      <c r="B38" s="230"/>
      <c r="C38" s="228"/>
      <c r="D38" s="97"/>
      <c r="E38" s="98"/>
      <c r="F38" s="100">
        <f>E38</f>
        <v>0</v>
      </c>
      <c r="G38" s="98">
        <v>0.4</v>
      </c>
      <c r="H38" s="100">
        <f>G38+E38</f>
        <v>0.4</v>
      </c>
      <c r="I38" s="98">
        <v>0.6</v>
      </c>
      <c r="J38" s="100">
        <f>I38+H38</f>
        <v>1</v>
      </c>
      <c r="K38" s="133">
        <f>D23+D25+D27+D29+D31+D33+D35+D37</f>
        <v>488264.75999999989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3.5" customHeight="1">
      <c r="A39" s="2"/>
      <c r="B39" s="225" t="s">
        <v>118</v>
      </c>
      <c r="C39" s="226"/>
      <c r="D39" s="185">
        <f>D40+D42+D44+D46+D48</f>
        <v>227742.21</v>
      </c>
      <c r="E39" s="134"/>
      <c r="F39" s="135"/>
      <c r="G39" s="134"/>
      <c r="H39" s="135"/>
      <c r="I39" s="134"/>
      <c r="J39" s="135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3.5" customHeight="1">
      <c r="A40" s="2"/>
      <c r="B40" s="233" t="s">
        <v>122</v>
      </c>
      <c r="C40" s="234" t="str">
        <f>Orcamento!C77</f>
        <v>SERVIÇOS PRELIMINARES</v>
      </c>
      <c r="D40" s="65">
        <f>Orcamento!L77</f>
        <v>4251.1900000000005</v>
      </c>
      <c r="E40" s="72">
        <f>E41*D40</f>
        <v>4251.1900000000005</v>
      </c>
      <c r="F40" s="73"/>
      <c r="G40" s="72">
        <f>G41*D40</f>
        <v>0</v>
      </c>
      <c r="H40" s="73"/>
      <c r="I40" s="72">
        <f>I41*D40</f>
        <v>0</v>
      </c>
      <c r="J40" s="73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3.5" customHeight="1">
      <c r="A41" s="2"/>
      <c r="B41" s="232"/>
      <c r="C41" s="224"/>
      <c r="D41" s="79"/>
      <c r="E41" s="82">
        <v>1</v>
      </c>
      <c r="F41" s="86">
        <f>E41</f>
        <v>1</v>
      </c>
      <c r="G41" s="82"/>
      <c r="H41" s="86">
        <f>G41+E41</f>
        <v>1</v>
      </c>
      <c r="I41" s="82"/>
      <c r="J41" s="86">
        <f>I41+H41</f>
        <v>1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3.5" customHeight="1">
      <c r="A42" s="2"/>
      <c r="B42" s="229" t="s">
        <v>138</v>
      </c>
      <c r="C42" s="227" t="str">
        <f>Orcamento!C82</f>
        <v>MOVIMENTAÇÃO DE TERRA</v>
      </c>
      <c r="D42" s="94">
        <f>Orcamento!L82</f>
        <v>13325.16</v>
      </c>
      <c r="E42" s="95">
        <f>E43*D42</f>
        <v>3997.5479999999998</v>
      </c>
      <c r="F42" s="96"/>
      <c r="G42" s="95">
        <f>G43*D42</f>
        <v>9327.6119999999992</v>
      </c>
      <c r="H42" s="96"/>
      <c r="I42" s="95">
        <f>I43*D42</f>
        <v>0</v>
      </c>
      <c r="J42" s="96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>
      <c r="A43" s="2"/>
      <c r="B43" s="230"/>
      <c r="C43" s="228"/>
      <c r="D43" s="97"/>
      <c r="E43" s="98">
        <v>0.3</v>
      </c>
      <c r="F43" s="100">
        <f>E43</f>
        <v>0.3</v>
      </c>
      <c r="G43" s="98">
        <v>0.7</v>
      </c>
      <c r="H43" s="100">
        <f>G43+E43</f>
        <v>1</v>
      </c>
      <c r="I43" s="98"/>
      <c r="J43" s="100">
        <f>I43+H43</f>
        <v>1</v>
      </c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2"/>
      <c r="B44" s="231" t="s">
        <v>146</v>
      </c>
      <c r="C44" s="223" t="str">
        <f>Orcamento!C90</f>
        <v>DRENAGEM DE ÁGUAS PLUVIAIS E ENTRADAS MORADORES</v>
      </c>
      <c r="D44" s="65">
        <f>Orcamento!L90</f>
        <v>179069.5</v>
      </c>
      <c r="E44" s="72">
        <f>E45*D44</f>
        <v>35813.9</v>
      </c>
      <c r="F44" s="73"/>
      <c r="G44" s="72">
        <f>G45*D44</f>
        <v>107441.7</v>
      </c>
      <c r="H44" s="73"/>
      <c r="I44" s="72">
        <f>I45*D44</f>
        <v>35813.9</v>
      </c>
      <c r="J44" s="73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>
      <c r="A45" s="2"/>
      <c r="B45" s="232"/>
      <c r="C45" s="224"/>
      <c r="D45" s="79"/>
      <c r="E45" s="82">
        <v>0.2</v>
      </c>
      <c r="F45" s="86">
        <f>E45</f>
        <v>0.2</v>
      </c>
      <c r="G45" s="82">
        <v>0.6</v>
      </c>
      <c r="H45" s="86">
        <f>G45+E45</f>
        <v>0.8</v>
      </c>
      <c r="I45" s="82">
        <v>0.2</v>
      </c>
      <c r="J45" s="86">
        <f>I45+H45</f>
        <v>1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3.5" customHeight="1">
      <c r="A46" s="2"/>
      <c r="B46" s="229" t="s">
        <v>150</v>
      </c>
      <c r="C46" s="227" t="str">
        <f>Orcamento!C95</f>
        <v>INTERVENÇÕES NA CAIXA CARROÇÁVEL COM CBUQ</v>
      </c>
      <c r="D46" s="94">
        <f>Orcamento!L95</f>
        <v>30575</v>
      </c>
      <c r="E46" s="95">
        <f>E47*D46</f>
        <v>0</v>
      </c>
      <c r="F46" s="96"/>
      <c r="G46" s="95">
        <f>G47*D46</f>
        <v>12230</v>
      </c>
      <c r="H46" s="96"/>
      <c r="I46" s="95">
        <f>I47*D46</f>
        <v>18345</v>
      </c>
      <c r="J46" s="96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3.5" customHeight="1">
      <c r="A47" s="2"/>
      <c r="B47" s="230"/>
      <c r="C47" s="228"/>
      <c r="D47" s="97"/>
      <c r="E47" s="98"/>
      <c r="F47" s="100">
        <f>E47</f>
        <v>0</v>
      </c>
      <c r="G47" s="98">
        <v>0.4</v>
      </c>
      <c r="H47" s="100">
        <f>G47+E47</f>
        <v>0.4</v>
      </c>
      <c r="I47" s="98">
        <v>0.6</v>
      </c>
      <c r="J47" s="100">
        <f>I47+H47</f>
        <v>1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3.5" customHeight="1">
      <c r="A48" s="2"/>
      <c r="B48" s="231" t="s">
        <v>155</v>
      </c>
      <c r="C48" s="223" t="str">
        <f>Orcamento!C108</f>
        <v>SERVIÇOS FINAIS</v>
      </c>
      <c r="D48" s="65">
        <f>Orcamento!L108</f>
        <v>521.36</v>
      </c>
      <c r="E48" s="72">
        <f>E49*D48</f>
        <v>0</v>
      </c>
      <c r="F48" s="73"/>
      <c r="G48" s="72">
        <f>G49*D48</f>
        <v>312.81599999999997</v>
      </c>
      <c r="H48" s="73"/>
      <c r="I48" s="72">
        <f>I49*D48</f>
        <v>208.54400000000001</v>
      </c>
      <c r="J48" s="73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>
      <c r="A49" s="2"/>
      <c r="B49" s="232"/>
      <c r="C49" s="224"/>
      <c r="D49" s="79"/>
      <c r="E49" s="82"/>
      <c r="F49" s="86">
        <f>E49</f>
        <v>0</v>
      </c>
      <c r="G49" s="82">
        <v>0.6</v>
      </c>
      <c r="H49" s="86">
        <f>G49+E49</f>
        <v>0.6</v>
      </c>
      <c r="I49" s="82">
        <v>0.4</v>
      </c>
      <c r="J49" s="86">
        <f>I49+H49</f>
        <v>1</v>
      </c>
      <c r="K49" s="133">
        <f>D40+D42+D44+D46+D48</f>
        <v>227742.21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>
      <c r="A50" s="2"/>
      <c r="B50" s="225" t="s">
        <v>165</v>
      </c>
      <c r="C50" s="226"/>
      <c r="D50" s="185">
        <f>D51+D53+D55+D57++D59+D61</f>
        <v>405503.52999999997</v>
      </c>
      <c r="E50" s="134"/>
      <c r="F50" s="135"/>
      <c r="G50" s="134"/>
      <c r="H50" s="135"/>
      <c r="I50" s="134"/>
      <c r="J50" s="135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3.5" customHeight="1">
      <c r="A51" s="2"/>
      <c r="B51" s="229" t="s">
        <v>168</v>
      </c>
      <c r="C51" s="227" t="str">
        <f>Orcamento!C114</f>
        <v>SERVIÇOS PRELIMINARES</v>
      </c>
      <c r="D51" s="94">
        <f>Orcamento!L114</f>
        <v>4777.9400000000005</v>
      </c>
      <c r="E51" s="95">
        <f>E52*D51</f>
        <v>4777.9400000000005</v>
      </c>
      <c r="F51" s="96"/>
      <c r="G51" s="95">
        <f>G52*D51</f>
        <v>0</v>
      </c>
      <c r="H51" s="96"/>
      <c r="I51" s="95">
        <f>I52*D51</f>
        <v>0</v>
      </c>
      <c r="J51" s="96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>
      <c r="A52" s="2"/>
      <c r="B52" s="230"/>
      <c r="C52" s="228"/>
      <c r="D52" s="97"/>
      <c r="E52" s="98">
        <v>1</v>
      </c>
      <c r="F52" s="100">
        <f>E52</f>
        <v>1</v>
      </c>
      <c r="G52" s="98"/>
      <c r="H52" s="100">
        <f>G52+E52</f>
        <v>1</v>
      </c>
      <c r="I52" s="98"/>
      <c r="J52" s="100">
        <f>I52+H52</f>
        <v>1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>
      <c r="A53" s="2"/>
      <c r="B53" s="231" t="s">
        <v>175</v>
      </c>
      <c r="C53" s="223" t="str">
        <f>Orcamento!C120</f>
        <v>MOVIMENTAÇÃO DE TERRA</v>
      </c>
      <c r="D53" s="65">
        <f>Orcamento!L120</f>
        <v>53695.42</v>
      </c>
      <c r="E53" s="72">
        <f>E54*D53</f>
        <v>16108.625999999998</v>
      </c>
      <c r="F53" s="73"/>
      <c r="G53" s="72">
        <f>G54*D53</f>
        <v>32217.251999999997</v>
      </c>
      <c r="H53" s="73"/>
      <c r="I53" s="72">
        <f>I54*D53</f>
        <v>5369.5420000000004</v>
      </c>
      <c r="J53" s="73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3.5" customHeight="1">
      <c r="A54" s="2"/>
      <c r="B54" s="232"/>
      <c r="C54" s="224"/>
      <c r="D54" s="79"/>
      <c r="E54" s="82">
        <v>0.3</v>
      </c>
      <c r="F54" s="86">
        <f>E54</f>
        <v>0.3</v>
      </c>
      <c r="G54" s="82">
        <v>0.6</v>
      </c>
      <c r="H54" s="86">
        <f>G54+E54</f>
        <v>0.89999999999999991</v>
      </c>
      <c r="I54" s="82">
        <v>0.1</v>
      </c>
      <c r="J54" s="86">
        <f>I54+H54</f>
        <v>0.99999999999999989</v>
      </c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>
      <c r="A55" s="2"/>
      <c r="B55" s="229" t="s">
        <v>180</v>
      </c>
      <c r="C55" s="227" t="str">
        <f>Orcamento!C125</f>
        <v>DRENAGEM DE ÁGUAS PLUVIAIS E ENTRADAS MORADORES</v>
      </c>
      <c r="D55" s="94">
        <f>Orcamento!L125</f>
        <v>236237.91999999995</v>
      </c>
      <c r="E55" s="95">
        <f>E56*D55</f>
        <v>47247.583999999995</v>
      </c>
      <c r="F55" s="96"/>
      <c r="G55" s="95">
        <f>G56*D55</f>
        <v>141742.75199999998</v>
      </c>
      <c r="H55" s="96"/>
      <c r="I55" s="95">
        <f>I56*D55</f>
        <v>47247.583999999995</v>
      </c>
      <c r="J55" s="96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>
      <c r="A56" s="2"/>
      <c r="B56" s="230"/>
      <c r="C56" s="228"/>
      <c r="D56" s="97"/>
      <c r="E56" s="98">
        <v>0.2</v>
      </c>
      <c r="F56" s="100">
        <f>E56</f>
        <v>0.2</v>
      </c>
      <c r="G56" s="98">
        <v>0.6</v>
      </c>
      <c r="H56" s="100">
        <f>G56+E56</f>
        <v>0.8</v>
      </c>
      <c r="I56" s="98">
        <v>0.2</v>
      </c>
      <c r="J56" s="100">
        <f>I56+H56</f>
        <v>1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>
      <c r="A57" s="2"/>
      <c r="B57" s="231" t="s">
        <v>184</v>
      </c>
      <c r="C57" s="223" t="str">
        <f>Orcamento!C132</f>
        <v>CALÇADA DE PASSEIO</v>
      </c>
      <c r="D57" s="65">
        <f>Orcamento!L132</f>
        <v>99124.08</v>
      </c>
      <c r="E57" s="72">
        <f>E58*D57</f>
        <v>0</v>
      </c>
      <c r="F57" s="73"/>
      <c r="G57" s="72">
        <f>G58*D57</f>
        <v>39649.632000000005</v>
      </c>
      <c r="H57" s="73"/>
      <c r="I57" s="72">
        <f>I58*D57</f>
        <v>59474.447999999997</v>
      </c>
      <c r="J57" s="73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3.5" customHeight="1">
      <c r="A58" s="2"/>
      <c r="B58" s="232"/>
      <c r="C58" s="224"/>
      <c r="D58" s="79"/>
      <c r="E58" s="82"/>
      <c r="F58" s="86">
        <f>E58</f>
        <v>0</v>
      </c>
      <c r="G58" s="82">
        <v>0.4</v>
      </c>
      <c r="H58" s="86">
        <f>G58+E58</f>
        <v>0.4</v>
      </c>
      <c r="I58" s="82">
        <v>0.6</v>
      </c>
      <c r="J58" s="86">
        <f>I58+H58</f>
        <v>1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3.5" customHeight="1">
      <c r="A59" s="2"/>
      <c r="B59" s="229" t="s">
        <v>188</v>
      </c>
      <c r="C59" s="227" t="str">
        <f>Orcamento!C144</f>
        <v>INTERVENÇÕES NA CAIXA CARROÇÁVEL COM CBUQ</v>
      </c>
      <c r="D59" s="94">
        <f>Orcamento!L144</f>
        <v>8409.67</v>
      </c>
      <c r="E59" s="95">
        <f>E60*D59</f>
        <v>0</v>
      </c>
      <c r="F59" s="96"/>
      <c r="G59" s="95">
        <f>G60*D59</f>
        <v>3363.8680000000004</v>
      </c>
      <c r="H59" s="96"/>
      <c r="I59" s="95">
        <f>I60*D59</f>
        <v>5045.8019999999997</v>
      </c>
      <c r="J59" s="96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>
      <c r="A60" s="2"/>
      <c r="B60" s="230"/>
      <c r="C60" s="228"/>
      <c r="D60" s="97"/>
      <c r="E60" s="98"/>
      <c r="F60" s="100">
        <f>E60</f>
        <v>0</v>
      </c>
      <c r="G60" s="98">
        <v>0.4</v>
      </c>
      <c r="H60" s="100">
        <f>G60+E60</f>
        <v>0.4</v>
      </c>
      <c r="I60" s="98">
        <v>0.6</v>
      </c>
      <c r="J60" s="100">
        <f>I60+H60</f>
        <v>1</v>
      </c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>
      <c r="A61" s="2"/>
      <c r="B61" s="231" t="s">
        <v>195</v>
      </c>
      <c r="C61" s="223" t="str">
        <f>Orcamento!C157</f>
        <v>SERVIÇOS FINAIS</v>
      </c>
      <c r="D61" s="65">
        <f>Orcamento!L157</f>
        <v>3258.5</v>
      </c>
      <c r="E61" s="72">
        <f>E62*D61</f>
        <v>0</v>
      </c>
      <c r="F61" s="73"/>
      <c r="G61" s="72">
        <f>G62*D61</f>
        <v>1955.1</v>
      </c>
      <c r="H61" s="73"/>
      <c r="I61" s="72">
        <f>I62*D61</f>
        <v>1303.4000000000001</v>
      </c>
      <c r="J61" s="73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>
      <c r="A62" s="2"/>
      <c r="B62" s="232"/>
      <c r="C62" s="224"/>
      <c r="D62" s="79"/>
      <c r="E62" s="82"/>
      <c r="F62" s="86">
        <f>E62</f>
        <v>0</v>
      </c>
      <c r="G62" s="82">
        <v>0.6</v>
      </c>
      <c r="H62" s="86">
        <f>G62+E62</f>
        <v>0.6</v>
      </c>
      <c r="I62" s="82">
        <v>0.4</v>
      </c>
      <c r="J62" s="86">
        <f>I62+H62</f>
        <v>1</v>
      </c>
      <c r="K62" s="133">
        <f>D51+D53+D55+D57+D59+D61</f>
        <v>405503.52999999997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>
      <c r="A63" s="2"/>
      <c r="B63" s="145" t="s">
        <v>60</v>
      </c>
      <c r="C63" s="146"/>
      <c r="D63" s="147">
        <f t="shared" ref="D63:E63" si="0">D23+D25+D27+D29+D31+D33+D35+D37+D40+D42+D44+D46+D48+D51+D53+D55+D57+D59+D61</f>
        <v>1121510.4999999998</v>
      </c>
      <c r="E63" s="148">
        <f t="shared" si="0"/>
        <v>148038.28400000001</v>
      </c>
      <c r="F63" s="149"/>
      <c r="G63" s="148">
        <f>G23+G25+G27+G29+G31+G33+G35+G37+G40+G42+G44+G46+G48+G51+G53+G55+G57+G59+G61</f>
        <v>621488.12199999986</v>
      </c>
      <c r="H63" s="149"/>
      <c r="I63" s="148">
        <f>I23+I25+I27+I29+I31+I33+I35+I37+I40+I42+I44+I46+I48+I51+I53+I55+I57+I59+I61</f>
        <v>351984.09399999998</v>
      </c>
      <c r="J63" s="149"/>
    </row>
    <row r="64" spans="1:26" ht="13.5" customHeight="1">
      <c r="A64" s="2"/>
      <c r="B64" s="150"/>
      <c r="C64" s="151"/>
      <c r="D64" s="152">
        <f>D24+D26+D28+D30+D32</f>
        <v>0</v>
      </c>
      <c r="E64" s="153">
        <f>E63/$D$63</f>
        <v>0.13199901739662717</v>
      </c>
      <c r="F64" s="154">
        <f>E64</f>
        <v>0.13199901739662717</v>
      </c>
      <c r="G64" s="153">
        <f>G63/$D$63</f>
        <v>0.5541527448918222</v>
      </c>
      <c r="H64" s="154">
        <f>G64+F64</f>
        <v>0.68615176228844943</v>
      </c>
      <c r="I64" s="153">
        <f>I63/$D$63</f>
        <v>0.31384823771155068</v>
      </c>
      <c r="J64" s="154">
        <f>I64+H64</f>
        <v>1</v>
      </c>
    </row>
    <row r="65" spans="1:10" ht="13.5" customHeight="1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3.5" customHeight="1">
      <c r="A67" s="2"/>
      <c r="B67" s="2"/>
      <c r="C67" s="74" t="s">
        <v>358</v>
      </c>
      <c r="D67" s="2"/>
      <c r="E67" s="2"/>
      <c r="F67" s="2"/>
      <c r="G67" s="2"/>
      <c r="H67" s="2"/>
      <c r="I67" s="2"/>
      <c r="J67" s="2"/>
    </row>
    <row r="68" spans="1:10" ht="13.5" customHeight="1">
      <c r="A68" s="2"/>
      <c r="B68" s="2"/>
      <c r="C68" s="2"/>
      <c r="D68" s="2"/>
      <c r="E68" s="2"/>
      <c r="F68" s="2"/>
      <c r="G68" s="192"/>
      <c r="H68" s="193"/>
      <c r="I68" s="193"/>
      <c r="J68" s="193"/>
    </row>
    <row r="69" spans="1:10" ht="13.5" customHeight="1">
      <c r="A69" s="2"/>
      <c r="B69" s="2"/>
      <c r="C69" s="2"/>
      <c r="D69" s="78"/>
      <c r="E69" s="192" t="s">
        <v>62</v>
      </c>
      <c r="F69" s="193"/>
      <c r="G69" s="193"/>
      <c r="H69" s="193"/>
      <c r="I69" s="193"/>
      <c r="J69" s="193"/>
    </row>
    <row r="70" spans="1:10" ht="13.5" customHeight="1">
      <c r="A70" s="2"/>
      <c r="B70" s="2"/>
      <c r="C70" s="2"/>
      <c r="D70" s="1"/>
      <c r="E70" s="192" t="s">
        <v>64</v>
      </c>
      <c r="F70" s="193"/>
      <c r="G70" s="193"/>
      <c r="H70" s="193"/>
      <c r="I70" s="193"/>
      <c r="J70" s="193"/>
    </row>
    <row r="71" spans="1:10" ht="13.5" customHeight="1">
      <c r="A71" s="2"/>
      <c r="B71" s="2"/>
      <c r="C71" s="2"/>
      <c r="D71" s="2"/>
      <c r="E71" s="192" t="s">
        <v>65</v>
      </c>
      <c r="F71" s="193"/>
      <c r="G71" s="193"/>
      <c r="H71" s="193"/>
      <c r="I71" s="193"/>
      <c r="J71" s="193"/>
    </row>
    <row r="72" spans="1:10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3.5" customHeight="1"/>
    <row r="76" spans="1:10" ht="13.5" customHeight="1"/>
    <row r="77" spans="1:10" ht="13.5" customHeight="1"/>
    <row r="78" spans="1:10" ht="13.5" customHeight="1">
      <c r="B78" s="222"/>
      <c r="C78" s="193"/>
      <c r="D78" s="193"/>
      <c r="E78" s="193"/>
      <c r="F78" s="193"/>
      <c r="G78" s="193"/>
      <c r="H78" s="2"/>
      <c r="I78" s="2"/>
      <c r="J78" s="2"/>
    </row>
    <row r="79" spans="1:10" ht="13.5" customHeight="1">
      <c r="B79" s="4"/>
      <c r="C79" s="4"/>
      <c r="D79" s="4"/>
      <c r="E79" s="4"/>
      <c r="F79" s="4"/>
      <c r="G79" s="4"/>
      <c r="H79" s="2"/>
      <c r="I79" s="2"/>
      <c r="J79" s="2"/>
    </row>
    <row r="80" spans="1:10" ht="13.5" customHeight="1">
      <c r="B80" s="4"/>
      <c r="C80" s="4"/>
      <c r="D80" s="4"/>
      <c r="E80" s="4"/>
      <c r="F80" s="4"/>
      <c r="G80" s="4"/>
      <c r="H80" s="2"/>
      <c r="I80" s="2"/>
      <c r="J80" s="2"/>
    </row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55">
    <mergeCell ref="B6:G6"/>
    <mergeCell ref="B7:G7"/>
    <mergeCell ref="B12:G12"/>
    <mergeCell ref="B13:J13"/>
    <mergeCell ref="B14:J14"/>
    <mergeCell ref="B15:J15"/>
    <mergeCell ref="B16:J16"/>
    <mergeCell ref="B17:J17"/>
    <mergeCell ref="B18:J18"/>
    <mergeCell ref="B22:C22"/>
    <mergeCell ref="B23:B24"/>
    <mergeCell ref="C23:C24"/>
    <mergeCell ref="B25:B26"/>
    <mergeCell ref="C25:C26"/>
    <mergeCell ref="B27:B28"/>
    <mergeCell ref="C27:C28"/>
    <mergeCell ref="B29:B30"/>
    <mergeCell ref="C29:C30"/>
    <mergeCell ref="B31:B32"/>
    <mergeCell ref="C31:C32"/>
    <mergeCell ref="C33:C34"/>
    <mergeCell ref="C35:C36"/>
    <mergeCell ref="C37:C38"/>
    <mergeCell ref="B39:C39"/>
    <mergeCell ref="C40:C41"/>
    <mergeCell ref="C42:C43"/>
    <mergeCell ref="C44:C45"/>
    <mergeCell ref="C46:C47"/>
    <mergeCell ref="B48:B49"/>
    <mergeCell ref="B51:B52"/>
    <mergeCell ref="B53:B54"/>
    <mergeCell ref="B61:B62"/>
    <mergeCell ref="B33:B34"/>
    <mergeCell ref="B35:B36"/>
    <mergeCell ref="B37:B38"/>
    <mergeCell ref="B40:B41"/>
    <mergeCell ref="B42:B43"/>
    <mergeCell ref="B44:B45"/>
    <mergeCell ref="B46:B47"/>
    <mergeCell ref="B78:G78"/>
    <mergeCell ref="C48:C49"/>
    <mergeCell ref="B50:C50"/>
    <mergeCell ref="C51:C52"/>
    <mergeCell ref="C53:C54"/>
    <mergeCell ref="C55:C56"/>
    <mergeCell ref="C57:C58"/>
    <mergeCell ref="C59:C60"/>
    <mergeCell ref="C61:C62"/>
    <mergeCell ref="G68:J68"/>
    <mergeCell ref="E69:J69"/>
    <mergeCell ref="E70:J70"/>
    <mergeCell ref="E71:J71"/>
    <mergeCell ref="B55:B56"/>
    <mergeCell ref="B57:B58"/>
    <mergeCell ref="B59:B60"/>
  </mergeCells>
  <pageMargins left="0.51181102362204722" right="0.51181102362204722" top="0.78740157480314965" bottom="0.78740157480314965" header="0" footer="0"/>
  <pageSetup scale="5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>
      <selection activeCell="H63" sqref="A4:H63"/>
    </sheetView>
  </sheetViews>
  <sheetFormatPr defaultColWidth="12.59765625" defaultRowHeight="15" customHeight="1"/>
  <cols>
    <col min="1" max="3" width="8.59765625" customWidth="1"/>
    <col min="4" max="4" width="56.3984375" customWidth="1"/>
    <col min="5" max="6" width="8.59765625" customWidth="1"/>
    <col min="7" max="7" width="9.09765625" customWidth="1"/>
    <col min="8" max="8" width="12" customWidth="1"/>
    <col min="9" max="26" width="8.59765625" customWidth="1"/>
  </cols>
  <sheetData>
    <row r="1" spans="1:26" ht="1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3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3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3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3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5" customHeight="1"/>
    <row r="11" spans="1:26" ht="15" customHeight="1">
      <c r="A11" s="209" t="s">
        <v>0</v>
      </c>
      <c r="B11" s="193"/>
      <c r="C11" s="193"/>
      <c r="D11" s="193"/>
      <c r="E11" s="193"/>
      <c r="F11" s="193"/>
      <c r="G11" s="193"/>
      <c r="H11" s="193"/>
      <c r="I11" s="6"/>
      <c r="J11" s="6"/>
      <c r="K11" s="6"/>
      <c r="L11" s="6"/>
      <c r="M11" s="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3.5" customHeight="1">
      <c r="A12" s="209" t="s">
        <v>1</v>
      </c>
      <c r="B12" s="193"/>
      <c r="C12" s="193"/>
      <c r="D12" s="193"/>
      <c r="E12" s="193"/>
      <c r="F12" s="193"/>
      <c r="G12" s="193"/>
      <c r="H12" s="193"/>
      <c r="I12" s="6"/>
      <c r="J12" s="6"/>
      <c r="K12" s="6"/>
      <c r="L12" s="6"/>
      <c r="M12" s="6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3.5" customHeight="1">
      <c r="A13" s="5"/>
      <c r="B13" s="5"/>
      <c r="C13" s="5"/>
      <c r="D13" s="5"/>
      <c r="E13" s="5"/>
      <c r="F13" s="5"/>
      <c r="G13" s="5"/>
      <c r="H13" s="5"/>
      <c r="I13" s="6"/>
      <c r="J13" s="6"/>
      <c r="K13" s="6"/>
      <c r="L13" s="6"/>
      <c r="M13" s="6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>
      <c r="A14" s="252" t="s">
        <v>17</v>
      </c>
      <c r="B14" s="193"/>
      <c r="C14" s="193"/>
      <c r="D14" s="193"/>
      <c r="E14" s="193"/>
      <c r="F14" s="193"/>
      <c r="G14" s="193"/>
      <c r="H14" s="193"/>
    </row>
    <row r="15" spans="1:26" ht="13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6" ht="13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13.5" customHeight="1">
      <c r="A17" s="31" t="s">
        <v>22</v>
      </c>
      <c r="B17" s="34" t="s">
        <v>23</v>
      </c>
      <c r="C17" s="34"/>
      <c r="D17" s="34"/>
      <c r="E17" s="36"/>
      <c r="F17" s="37"/>
      <c r="G17" s="39"/>
      <c r="H17" s="41"/>
      <c r="I17" s="43"/>
      <c r="J17" s="43"/>
      <c r="K17" s="43"/>
      <c r="L17" s="43"/>
      <c r="M17" s="43"/>
      <c r="N17" s="43"/>
    </row>
    <row r="18" spans="1:14" ht="13.5" customHeight="1">
      <c r="A18" s="250" t="s">
        <v>21</v>
      </c>
      <c r="B18" s="240" t="s">
        <v>36</v>
      </c>
      <c r="C18" s="241"/>
      <c r="D18" s="244" t="s">
        <v>40</v>
      </c>
      <c r="E18" s="246" t="s">
        <v>26</v>
      </c>
      <c r="F18" s="247" t="s">
        <v>41</v>
      </c>
      <c r="G18" s="248" t="s">
        <v>44</v>
      </c>
      <c r="H18" s="249"/>
      <c r="I18" s="52"/>
      <c r="J18" s="52"/>
      <c r="K18" s="52"/>
      <c r="L18" s="52"/>
      <c r="M18" s="52"/>
      <c r="N18" s="52"/>
    </row>
    <row r="19" spans="1:14" ht="13.5" customHeight="1">
      <c r="A19" s="245"/>
      <c r="B19" s="242"/>
      <c r="C19" s="243"/>
      <c r="D19" s="245"/>
      <c r="E19" s="245"/>
      <c r="F19" s="245"/>
      <c r="G19" s="55" t="s">
        <v>46</v>
      </c>
      <c r="H19" s="56" t="s">
        <v>38</v>
      </c>
      <c r="I19" s="52"/>
      <c r="J19" s="58" t="s">
        <v>48</v>
      </c>
      <c r="K19" s="52"/>
      <c r="L19" s="52"/>
      <c r="M19" s="52"/>
      <c r="N19" s="52"/>
    </row>
    <row r="20" spans="1:14" ht="36" customHeight="1">
      <c r="A20" s="59">
        <v>1</v>
      </c>
      <c r="B20" s="62" t="s">
        <v>49</v>
      </c>
      <c r="C20" s="62">
        <v>5839</v>
      </c>
      <c r="D20" s="64" t="s">
        <v>51</v>
      </c>
      <c r="E20" s="66" t="s">
        <v>53</v>
      </c>
      <c r="F20" s="68">
        <v>2E-3</v>
      </c>
      <c r="G20" s="69">
        <v>12.18</v>
      </c>
      <c r="H20" s="71">
        <f>ROUND(G20*F20,2)</f>
        <v>0.02</v>
      </c>
      <c r="I20" s="52"/>
      <c r="J20" s="58" t="s">
        <v>54</v>
      </c>
      <c r="K20" s="52"/>
      <c r="L20" s="52"/>
      <c r="M20" s="52"/>
      <c r="N20" s="52"/>
    </row>
    <row r="21" spans="1:14" ht="48" customHeight="1">
      <c r="A21" s="59">
        <v>2</v>
      </c>
      <c r="B21" s="62" t="s">
        <v>49</v>
      </c>
      <c r="C21" s="62">
        <v>5841</v>
      </c>
      <c r="D21" s="64" t="s">
        <v>55</v>
      </c>
      <c r="E21" s="66" t="s">
        <v>53</v>
      </c>
      <c r="F21" s="68">
        <v>4.0000000000000001E-3</v>
      </c>
      <c r="G21" s="69">
        <v>6.12</v>
      </c>
      <c r="H21" s="71">
        <f t="shared" ref="H21:H27" si="0">ROUND(G21*F21,2)</f>
        <v>0.02</v>
      </c>
      <c r="I21" s="75" t="s">
        <v>354</v>
      </c>
      <c r="J21" s="76" t="s">
        <v>57</v>
      </c>
      <c r="K21" s="76" t="s">
        <v>58</v>
      </c>
      <c r="L21" s="76" t="s">
        <v>59</v>
      </c>
      <c r="M21" s="76" t="s">
        <v>60</v>
      </c>
      <c r="N21" s="52"/>
    </row>
    <row r="22" spans="1:14" ht="42" customHeight="1">
      <c r="A22" s="59">
        <v>3</v>
      </c>
      <c r="B22" s="59" t="s">
        <v>61</v>
      </c>
      <c r="C22" s="59">
        <v>41901</v>
      </c>
      <c r="D22" s="81" t="s">
        <v>63</v>
      </c>
      <c r="E22" s="84" t="s">
        <v>67</v>
      </c>
      <c r="F22" s="85">
        <v>1.2</v>
      </c>
      <c r="G22" s="88">
        <f>ROUND(I22*(1+M22),2)</f>
        <v>8.98</v>
      </c>
      <c r="H22" s="71">
        <f t="shared" si="0"/>
        <v>10.78</v>
      </c>
      <c r="I22" s="90">
        <v>6.9506199999999998</v>
      </c>
      <c r="J22" s="91">
        <v>0.2</v>
      </c>
      <c r="K22" s="91">
        <v>1.6500000000000001E-2</v>
      </c>
      <c r="L22" s="91">
        <v>7.5999999999999998E-2</v>
      </c>
      <c r="M22" s="92">
        <f>L22+K22+J22</f>
        <v>0.29249999999999998</v>
      </c>
      <c r="N22" s="52"/>
    </row>
    <row r="23" spans="1:14" ht="69.75" customHeight="1">
      <c r="A23" s="59">
        <v>4</v>
      </c>
      <c r="B23" s="62" t="s">
        <v>49</v>
      </c>
      <c r="C23" s="62">
        <v>83362</v>
      </c>
      <c r="D23" s="64" t="s">
        <v>71</v>
      </c>
      <c r="E23" s="66" t="s">
        <v>53</v>
      </c>
      <c r="F23" s="68">
        <v>1E-3</v>
      </c>
      <c r="G23" s="69">
        <v>290.05</v>
      </c>
      <c r="H23" s="71">
        <f t="shared" si="0"/>
        <v>0.28999999999999998</v>
      </c>
      <c r="I23" s="52"/>
      <c r="J23" s="93" t="s">
        <v>72</v>
      </c>
      <c r="K23" s="52"/>
      <c r="L23" s="52"/>
      <c r="M23" s="52"/>
      <c r="N23" s="52"/>
    </row>
    <row r="24" spans="1:14" ht="27" customHeight="1">
      <c r="A24" s="59">
        <v>5</v>
      </c>
      <c r="B24" s="59" t="s">
        <v>49</v>
      </c>
      <c r="C24" s="59">
        <v>88316</v>
      </c>
      <c r="D24" s="81" t="s">
        <v>73</v>
      </c>
      <c r="E24" s="84" t="s">
        <v>53</v>
      </c>
      <c r="F24" s="85">
        <v>5.7999999999999996E-3</v>
      </c>
      <c r="G24" s="88">
        <v>25.81</v>
      </c>
      <c r="H24" s="71">
        <f t="shared" si="0"/>
        <v>0.15</v>
      </c>
      <c r="I24" s="52"/>
      <c r="J24" s="93" t="s">
        <v>74</v>
      </c>
      <c r="K24" s="52"/>
      <c r="L24" s="52"/>
      <c r="M24" s="52"/>
      <c r="N24" s="52"/>
    </row>
    <row r="25" spans="1:14" ht="46.5" customHeight="1">
      <c r="A25" s="59">
        <v>6</v>
      </c>
      <c r="B25" s="59" t="s">
        <v>49</v>
      </c>
      <c r="C25" s="59">
        <v>89035</v>
      </c>
      <c r="D25" s="81" t="s">
        <v>75</v>
      </c>
      <c r="E25" s="84" t="s">
        <v>53</v>
      </c>
      <c r="F25" s="85">
        <v>1.6999999999999999E-3</v>
      </c>
      <c r="G25" s="88">
        <v>141.06</v>
      </c>
      <c r="H25" s="71">
        <f t="shared" si="0"/>
        <v>0.24</v>
      </c>
      <c r="I25" s="52"/>
      <c r="J25" s="52"/>
      <c r="K25" s="52"/>
      <c r="L25" s="52"/>
      <c r="M25" s="52"/>
      <c r="N25" s="52"/>
    </row>
    <row r="26" spans="1:14" ht="39" customHeight="1">
      <c r="A26" s="59">
        <v>7</v>
      </c>
      <c r="B26" s="59" t="s">
        <v>49</v>
      </c>
      <c r="C26" s="59">
        <v>89036</v>
      </c>
      <c r="D26" s="81" t="s">
        <v>76</v>
      </c>
      <c r="E26" s="84" t="s">
        <v>53</v>
      </c>
      <c r="F26" s="85">
        <v>4.1000000000000003E-3</v>
      </c>
      <c r="G26" s="88">
        <v>53.29</v>
      </c>
      <c r="H26" s="71">
        <f t="shared" si="0"/>
        <v>0.22</v>
      </c>
      <c r="I26" s="52"/>
      <c r="J26" s="52"/>
      <c r="K26" s="52"/>
      <c r="L26" s="52"/>
      <c r="M26" s="52"/>
      <c r="N26" s="52"/>
    </row>
    <row r="27" spans="1:14" ht="80.25" customHeight="1">
      <c r="A27" s="59">
        <v>8</v>
      </c>
      <c r="B27" s="59" t="s">
        <v>49</v>
      </c>
      <c r="C27" s="59">
        <v>91486</v>
      </c>
      <c r="D27" s="81" t="s">
        <v>77</v>
      </c>
      <c r="E27" s="84" t="s">
        <v>53</v>
      </c>
      <c r="F27" s="85">
        <v>4.8999999999999998E-3</v>
      </c>
      <c r="G27" s="88">
        <v>73.77</v>
      </c>
      <c r="H27" s="71">
        <f t="shared" si="0"/>
        <v>0.36</v>
      </c>
      <c r="I27" s="52"/>
      <c r="J27" s="52"/>
      <c r="K27" s="52"/>
      <c r="L27" s="52"/>
      <c r="M27" s="52"/>
      <c r="N27" s="52"/>
    </row>
    <row r="28" spans="1:14" ht="13.5" customHeight="1">
      <c r="A28" s="101" t="s">
        <v>81</v>
      </c>
      <c r="B28" s="102"/>
      <c r="C28" s="102"/>
      <c r="D28" s="102"/>
      <c r="E28" s="103"/>
      <c r="F28" s="104"/>
      <c r="G28" s="104"/>
      <c r="H28" s="105">
        <f>SUM(H20:H27)</f>
        <v>12.079999999999998</v>
      </c>
      <c r="I28" s="52"/>
      <c r="J28" s="52"/>
      <c r="K28" s="52"/>
      <c r="L28" s="52"/>
      <c r="M28" s="52"/>
      <c r="N28" s="52"/>
    </row>
    <row r="29" spans="1:14" ht="13.5" customHeight="1">
      <c r="A29" s="106"/>
      <c r="B29" s="106"/>
      <c r="C29" s="106"/>
      <c r="D29" s="106"/>
      <c r="E29" s="106"/>
      <c r="F29" s="106"/>
      <c r="G29" s="107"/>
      <c r="H29" s="108"/>
      <c r="I29" s="52"/>
      <c r="J29" s="52"/>
      <c r="K29" s="52"/>
      <c r="L29" s="52"/>
      <c r="M29" s="52"/>
      <c r="N29" s="52"/>
    </row>
    <row r="30" spans="1:14" ht="13.5" customHeight="1">
      <c r="A30" s="109" t="s">
        <v>82</v>
      </c>
      <c r="B30" s="110" t="s">
        <v>83</v>
      </c>
      <c r="C30" s="110"/>
      <c r="D30" s="110"/>
      <c r="E30" s="111"/>
      <c r="F30" s="112"/>
      <c r="G30" s="113"/>
      <c r="H30" s="114"/>
      <c r="I30" s="115"/>
      <c r="J30" s="115"/>
      <c r="K30" s="115"/>
      <c r="L30" s="115"/>
      <c r="M30" s="115"/>
      <c r="N30" s="116"/>
    </row>
    <row r="31" spans="1:14" ht="13.5" customHeight="1">
      <c r="A31" s="250" t="s">
        <v>21</v>
      </c>
      <c r="B31" s="240" t="s">
        <v>36</v>
      </c>
      <c r="C31" s="241"/>
      <c r="D31" s="244" t="s">
        <v>40</v>
      </c>
      <c r="E31" s="246" t="s">
        <v>26</v>
      </c>
      <c r="F31" s="247" t="s">
        <v>41</v>
      </c>
      <c r="G31" s="248" t="s">
        <v>44</v>
      </c>
      <c r="H31" s="249"/>
      <c r="I31" s="115"/>
      <c r="J31" s="115"/>
      <c r="K31" s="115"/>
      <c r="L31" s="115"/>
      <c r="M31" s="115"/>
      <c r="N31" s="116"/>
    </row>
    <row r="32" spans="1:14" ht="13.5" customHeight="1">
      <c r="A32" s="245"/>
      <c r="B32" s="242"/>
      <c r="C32" s="243"/>
      <c r="D32" s="245"/>
      <c r="E32" s="245"/>
      <c r="F32" s="245"/>
      <c r="G32" s="55" t="s">
        <v>46</v>
      </c>
      <c r="H32" s="56" t="s">
        <v>38</v>
      </c>
      <c r="I32" s="115"/>
      <c r="J32" s="115"/>
      <c r="K32" s="115"/>
      <c r="L32" s="115"/>
      <c r="M32" s="115"/>
      <c r="N32" s="116"/>
    </row>
    <row r="33" spans="1:26" ht="44.25" customHeight="1">
      <c r="A33" s="62">
        <v>1</v>
      </c>
      <c r="B33" s="62" t="s">
        <v>49</v>
      </c>
      <c r="C33" s="62">
        <v>5839</v>
      </c>
      <c r="D33" s="81" t="s">
        <v>51</v>
      </c>
      <c r="E33" s="84" t="s">
        <v>91</v>
      </c>
      <c r="F33" s="85">
        <v>2E-3</v>
      </c>
      <c r="G33" s="88">
        <v>12.18</v>
      </c>
      <c r="H33" s="71">
        <f t="shared" ref="H33:H40" si="1">ROUND(G33*F33,2)</f>
        <v>0.02</v>
      </c>
      <c r="I33" s="115"/>
      <c r="J33" s="115"/>
      <c r="K33" s="115"/>
      <c r="L33" s="115"/>
      <c r="M33" s="115"/>
      <c r="N33" s="116"/>
    </row>
    <row r="34" spans="1:26" ht="40.5" customHeight="1">
      <c r="A34" s="62">
        <v>2</v>
      </c>
      <c r="B34" s="62" t="s">
        <v>49</v>
      </c>
      <c r="C34" s="62">
        <v>5841</v>
      </c>
      <c r="D34" s="81" t="s">
        <v>55</v>
      </c>
      <c r="E34" s="84" t="s">
        <v>92</v>
      </c>
      <c r="F34" s="85">
        <v>4.0000000000000001E-3</v>
      </c>
      <c r="G34" s="88">
        <v>6.12</v>
      </c>
      <c r="H34" s="71">
        <f t="shared" si="1"/>
        <v>0.02</v>
      </c>
      <c r="I34" s="75" t="s">
        <v>354</v>
      </c>
      <c r="J34" s="76" t="s">
        <v>57</v>
      </c>
      <c r="K34" s="76" t="s">
        <v>58</v>
      </c>
      <c r="L34" s="76" t="s">
        <v>59</v>
      </c>
      <c r="M34" s="76" t="s">
        <v>60</v>
      </c>
      <c r="N34" s="116"/>
    </row>
    <row r="35" spans="1:26" ht="44.25" customHeight="1">
      <c r="A35" s="59">
        <v>3</v>
      </c>
      <c r="B35" s="59" t="s">
        <v>61</v>
      </c>
      <c r="C35" s="59">
        <v>41903</v>
      </c>
      <c r="D35" s="81" t="s">
        <v>95</v>
      </c>
      <c r="E35" s="84" t="s">
        <v>67</v>
      </c>
      <c r="F35" s="85">
        <v>0.45</v>
      </c>
      <c r="G35" s="88">
        <f>ROUND(I35*(1+M35),2)</f>
        <v>4.45</v>
      </c>
      <c r="H35" s="71">
        <f t="shared" si="1"/>
        <v>2</v>
      </c>
      <c r="I35" s="123">
        <v>3.4452799999999999</v>
      </c>
      <c r="J35" s="91">
        <v>0.2</v>
      </c>
      <c r="K35" s="91">
        <v>1.6500000000000001E-2</v>
      </c>
      <c r="L35" s="91">
        <v>7.5999999999999998E-2</v>
      </c>
      <c r="M35" s="92">
        <f>L35+K35+J35</f>
        <v>0.29249999999999998</v>
      </c>
      <c r="N35" s="116"/>
    </row>
    <row r="36" spans="1:26" ht="75.75" customHeight="1">
      <c r="A36" s="62">
        <v>4</v>
      </c>
      <c r="B36" s="62" t="s">
        <v>49</v>
      </c>
      <c r="C36" s="62">
        <v>83362</v>
      </c>
      <c r="D36" s="81" t="s">
        <v>96</v>
      </c>
      <c r="E36" s="84" t="s">
        <v>91</v>
      </c>
      <c r="F36" s="85">
        <v>4.0000000000000002E-4</v>
      </c>
      <c r="G36" s="88">
        <v>290.05</v>
      </c>
      <c r="H36" s="71">
        <f t="shared" si="1"/>
        <v>0.12</v>
      </c>
      <c r="I36" s="115"/>
      <c r="J36" s="93" t="s">
        <v>72</v>
      </c>
      <c r="K36" s="115"/>
      <c r="L36" s="115"/>
      <c r="M36" s="115"/>
      <c r="N36" s="116"/>
    </row>
    <row r="37" spans="1:26" ht="30.75" customHeight="1">
      <c r="A37" s="62">
        <v>5</v>
      </c>
      <c r="B37" s="62" t="s">
        <v>49</v>
      </c>
      <c r="C37" s="62">
        <v>88316</v>
      </c>
      <c r="D37" s="81" t="s">
        <v>73</v>
      </c>
      <c r="E37" s="84" t="s">
        <v>53</v>
      </c>
      <c r="F37" s="85">
        <v>5.4999999999999997E-3</v>
      </c>
      <c r="G37" s="88">
        <v>25.81</v>
      </c>
      <c r="H37" s="71">
        <f t="shared" si="1"/>
        <v>0.14000000000000001</v>
      </c>
      <c r="I37" s="115"/>
      <c r="J37" s="93" t="s">
        <v>74</v>
      </c>
      <c r="K37" s="115"/>
      <c r="L37" s="115"/>
      <c r="M37" s="115"/>
      <c r="N37" s="116"/>
    </row>
    <row r="38" spans="1:26" ht="43.5" customHeight="1">
      <c r="A38" s="62">
        <v>6</v>
      </c>
      <c r="B38" s="62" t="s">
        <v>49</v>
      </c>
      <c r="C38" s="62">
        <v>89035</v>
      </c>
      <c r="D38" s="81" t="s">
        <v>76</v>
      </c>
      <c r="E38" s="84" t="s">
        <v>91</v>
      </c>
      <c r="F38" s="85">
        <v>1.6999999999999999E-3</v>
      </c>
      <c r="G38" s="88">
        <v>141.06</v>
      </c>
      <c r="H38" s="71">
        <f t="shared" si="1"/>
        <v>0.24</v>
      </c>
      <c r="I38" s="115"/>
      <c r="J38" s="115"/>
      <c r="K38" s="115"/>
      <c r="L38" s="115"/>
      <c r="M38" s="115"/>
      <c r="N38" s="116"/>
    </row>
    <row r="39" spans="1:26" ht="36.75" customHeight="1">
      <c r="A39" s="62">
        <v>7</v>
      </c>
      <c r="B39" s="62" t="s">
        <v>49</v>
      </c>
      <c r="C39" s="62">
        <v>89036</v>
      </c>
      <c r="D39" s="81" t="s">
        <v>76</v>
      </c>
      <c r="E39" s="84" t="s">
        <v>92</v>
      </c>
      <c r="F39" s="85">
        <v>3.8E-3</v>
      </c>
      <c r="G39" s="88">
        <v>53.29</v>
      </c>
      <c r="H39" s="71">
        <f t="shared" si="1"/>
        <v>0.2</v>
      </c>
      <c r="I39" s="115"/>
      <c r="J39" s="115"/>
      <c r="K39" s="115"/>
      <c r="L39" s="115"/>
      <c r="M39" s="115"/>
      <c r="N39" s="116"/>
    </row>
    <row r="40" spans="1:26" ht="75.75" customHeight="1">
      <c r="A40" s="62">
        <v>8</v>
      </c>
      <c r="B40" s="62" t="s">
        <v>49</v>
      </c>
      <c r="C40" s="62">
        <v>91486</v>
      </c>
      <c r="D40" s="81" t="s">
        <v>96</v>
      </c>
      <c r="E40" s="84" t="s">
        <v>92</v>
      </c>
      <c r="F40" s="85">
        <v>5.1000000000000004E-3</v>
      </c>
      <c r="G40" s="88">
        <v>73.77</v>
      </c>
      <c r="H40" s="71">
        <f t="shared" si="1"/>
        <v>0.38</v>
      </c>
      <c r="I40" s="115"/>
      <c r="J40" s="115"/>
      <c r="K40" s="115"/>
      <c r="L40" s="115"/>
      <c r="M40" s="115"/>
      <c r="N40" s="116"/>
    </row>
    <row r="41" spans="1:26" ht="13.5" customHeight="1">
      <c r="A41" s="127" t="s">
        <v>81</v>
      </c>
      <c r="B41" s="128"/>
      <c r="C41" s="128"/>
      <c r="D41" s="128"/>
      <c r="E41" s="129"/>
      <c r="F41" s="130"/>
      <c r="G41" s="130"/>
      <c r="H41" s="132">
        <f>SUM(H33:H40)</f>
        <v>3.12</v>
      </c>
      <c r="I41" s="115"/>
      <c r="J41" s="115"/>
      <c r="K41" s="115"/>
      <c r="L41" s="115"/>
      <c r="M41" s="115"/>
      <c r="N41" s="116"/>
    </row>
    <row r="42" spans="1:26" ht="13.5" customHeight="1"/>
    <row r="43" spans="1:26" ht="13.5" customHeight="1">
      <c r="A43" s="109" t="s">
        <v>103</v>
      </c>
      <c r="B43" s="110" t="s">
        <v>104</v>
      </c>
      <c r="C43" s="110"/>
      <c r="D43" s="110"/>
      <c r="E43" s="111"/>
      <c r="F43" s="112"/>
      <c r="G43" s="113"/>
      <c r="H43" s="114"/>
      <c r="I43" s="115"/>
      <c r="J43" s="115"/>
      <c r="K43" s="115"/>
      <c r="L43" s="115"/>
      <c r="M43" s="115"/>
      <c r="N43" s="116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250" t="s">
        <v>21</v>
      </c>
      <c r="B44" s="240" t="s">
        <v>36</v>
      </c>
      <c r="C44" s="241"/>
      <c r="D44" s="244" t="s">
        <v>40</v>
      </c>
      <c r="E44" s="246" t="s">
        <v>26</v>
      </c>
      <c r="F44" s="247" t="s">
        <v>41</v>
      </c>
      <c r="G44" s="248" t="s">
        <v>44</v>
      </c>
      <c r="H44" s="249"/>
      <c r="I44" s="115"/>
      <c r="J44" s="115"/>
      <c r="K44" s="115"/>
      <c r="L44" s="115"/>
      <c r="M44" s="115"/>
      <c r="N44" s="116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>
      <c r="A45" s="245"/>
      <c r="B45" s="242"/>
      <c r="C45" s="243"/>
      <c r="D45" s="245"/>
      <c r="E45" s="245"/>
      <c r="F45" s="245"/>
      <c r="G45" s="55" t="s">
        <v>46</v>
      </c>
      <c r="H45" s="56" t="s">
        <v>38</v>
      </c>
      <c r="I45" s="115"/>
      <c r="J45" s="115"/>
      <c r="K45" s="115"/>
      <c r="L45" s="115"/>
      <c r="M45" s="115"/>
      <c r="N45" s="116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56.25" customHeight="1">
      <c r="A46" s="62">
        <v>1</v>
      </c>
      <c r="B46" s="62" t="s">
        <v>49</v>
      </c>
      <c r="C46" s="62">
        <v>97096</v>
      </c>
      <c r="D46" s="81" t="s">
        <v>112</v>
      </c>
      <c r="E46" s="84" t="s">
        <v>99</v>
      </c>
      <c r="F46" s="85">
        <f>1.6*1.6*0.1</f>
        <v>0.25600000000000006</v>
      </c>
      <c r="G46" s="88">
        <v>828.03</v>
      </c>
      <c r="H46" s="120">
        <f t="shared" ref="H46:H48" si="2">G46*F46</f>
        <v>211.97568000000004</v>
      </c>
      <c r="I46" s="115"/>
      <c r="J46" s="115"/>
      <c r="K46" s="115"/>
      <c r="L46" s="115"/>
      <c r="M46" s="115"/>
      <c r="N46" s="116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76.5" customHeight="1">
      <c r="A47" s="62">
        <v>2</v>
      </c>
      <c r="B47" s="62" t="s">
        <v>49</v>
      </c>
      <c r="C47" s="62">
        <v>92767</v>
      </c>
      <c r="D47" s="81" t="s">
        <v>116</v>
      </c>
      <c r="E47" s="84" t="s">
        <v>117</v>
      </c>
      <c r="F47" s="85">
        <f>57.6*0.109</f>
        <v>6.2784000000000004</v>
      </c>
      <c r="G47" s="88">
        <v>15.15</v>
      </c>
      <c r="H47" s="120">
        <f t="shared" si="2"/>
        <v>95.117760000000004</v>
      </c>
      <c r="I47" s="75"/>
      <c r="J47" s="76"/>
      <c r="K47" s="76"/>
      <c r="L47" s="76"/>
      <c r="M47" s="76"/>
      <c r="N47" s="116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63" customHeight="1">
      <c r="A48" s="59">
        <v>3</v>
      </c>
      <c r="B48" s="59" t="s">
        <v>49</v>
      </c>
      <c r="C48" s="59">
        <v>97086</v>
      </c>
      <c r="D48" s="81" t="s">
        <v>119</v>
      </c>
      <c r="E48" s="84" t="s">
        <v>120</v>
      </c>
      <c r="F48" s="85">
        <f>(1.6*1.6)+(1.6*4*0.1)</f>
        <v>3.2000000000000006</v>
      </c>
      <c r="G48" s="88">
        <v>114.85</v>
      </c>
      <c r="H48" s="120">
        <f t="shared" si="2"/>
        <v>367.52000000000004</v>
      </c>
      <c r="I48" s="123"/>
      <c r="J48" s="91"/>
      <c r="K48" s="91"/>
      <c r="L48" s="91"/>
      <c r="M48" s="92"/>
      <c r="N48" s="116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3.5" customHeight="1">
      <c r="A49" s="127" t="s">
        <v>81</v>
      </c>
      <c r="B49" s="128"/>
      <c r="C49" s="128"/>
      <c r="D49" s="128"/>
      <c r="E49" s="129"/>
      <c r="F49" s="130"/>
      <c r="G49" s="130"/>
      <c r="H49" s="132">
        <f>H46+H47+H48</f>
        <v>674.61344000000008</v>
      </c>
      <c r="I49" s="115"/>
      <c r="J49" s="115"/>
      <c r="K49" s="115"/>
      <c r="L49" s="115"/>
      <c r="M49" s="115"/>
      <c r="N49" s="116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3.5" customHeight="1"/>
    <row r="51" spans="1:26" ht="13.5" customHeight="1">
      <c r="A51" s="109" t="s">
        <v>127</v>
      </c>
      <c r="B51" s="110" t="s">
        <v>128</v>
      </c>
      <c r="C51" s="110"/>
      <c r="D51" s="110"/>
      <c r="E51" s="111"/>
      <c r="F51" s="112"/>
      <c r="G51" s="113"/>
      <c r="H51" s="114"/>
      <c r="I51" s="115"/>
      <c r="J51" s="115"/>
      <c r="K51" s="115"/>
      <c r="L51" s="115"/>
      <c r="M51" s="115"/>
      <c r="N51" s="116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3.5" customHeight="1">
      <c r="A52" s="250" t="s">
        <v>21</v>
      </c>
      <c r="B52" s="240" t="s">
        <v>36</v>
      </c>
      <c r="C52" s="241"/>
      <c r="D52" s="244" t="s">
        <v>40</v>
      </c>
      <c r="E52" s="246" t="s">
        <v>26</v>
      </c>
      <c r="F52" s="247" t="s">
        <v>41</v>
      </c>
      <c r="G52" s="248" t="s">
        <v>44</v>
      </c>
      <c r="H52" s="249"/>
      <c r="I52" s="115"/>
      <c r="J52" s="115"/>
      <c r="K52" s="115"/>
      <c r="L52" s="115"/>
      <c r="M52" s="115"/>
      <c r="N52" s="116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3.5" customHeight="1">
      <c r="A53" s="245"/>
      <c r="B53" s="242"/>
      <c r="C53" s="243"/>
      <c r="D53" s="245"/>
      <c r="E53" s="245"/>
      <c r="F53" s="245"/>
      <c r="G53" s="55" t="s">
        <v>46</v>
      </c>
      <c r="H53" s="56" t="s">
        <v>38</v>
      </c>
      <c r="I53" s="115"/>
      <c r="J53" s="115"/>
      <c r="K53" s="115"/>
      <c r="L53" s="115"/>
      <c r="M53" s="115"/>
      <c r="N53" s="116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56.25" customHeight="1">
      <c r="A54" s="62">
        <v>1</v>
      </c>
      <c r="B54" s="62" t="s">
        <v>49</v>
      </c>
      <c r="C54" s="62">
        <v>101165</v>
      </c>
      <c r="D54" s="81" t="s">
        <v>139</v>
      </c>
      <c r="E54" s="84" t="s">
        <v>99</v>
      </c>
      <c r="F54" s="85">
        <f>(1.2*1.2)*4*0.25</f>
        <v>1.44</v>
      </c>
      <c r="G54" s="88">
        <v>1192.8800000000001</v>
      </c>
      <c r="H54" s="120">
        <f>G54*F54</f>
        <v>1717.7472</v>
      </c>
      <c r="I54" s="115"/>
      <c r="J54" s="115"/>
      <c r="K54" s="115"/>
      <c r="L54" s="115"/>
      <c r="M54" s="115"/>
      <c r="N54" s="116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3.5" customHeight="1">
      <c r="A55" s="127" t="s">
        <v>81</v>
      </c>
      <c r="B55" s="128"/>
      <c r="C55" s="128"/>
      <c r="D55" s="128"/>
      <c r="E55" s="129"/>
      <c r="F55" s="130"/>
      <c r="G55" s="130"/>
      <c r="H55" s="132">
        <f>H54</f>
        <v>1717.7472</v>
      </c>
      <c r="I55" s="115"/>
      <c r="J55" s="115"/>
      <c r="K55" s="115"/>
      <c r="L55" s="115"/>
      <c r="M55" s="115"/>
      <c r="N55" s="116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3.5" customHeight="1">
      <c r="A56" s="137"/>
      <c r="B56" s="137"/>
      <c r="C56" s="137"/>
      <c r="D56" s="137"/>
      <c r="E56" s="138"/>
      <c r="F56" s="139"/>
      <c r="G56" s="139"/>
      <c r="H56" s="140"/>
      <c r="I56" s="115"/>
      <c r="J56" s="115"/>
      <c r="K56" s="115"/>
      <c r="L56" s="115"/>
      <c r="M56" s="115"/>
      <c r="N56" s="116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customHeight="1"/>
    <row r="58" spans="1:26" ht="13.5" customHeight="1"/>
    <row r="59" spans="1:26" ht="66" customHeight="1">
      <c r="A59" s="1"/>
      <c r="B59" s="141"/>
      <c r="C59" s="251" t="s">
        <v>355</v>
      </c>
      <c r="D59" s="188"/>
      <c r="E59" s="141"/>
      <c r="F59" s="141"/>
      <c r="G59" s="141"/>
      <c r="H59" s="141"/>
      <c r="I59" s="189"/>
      <c r="J59" s="188"/>
      <c r="K59" s="186"/>
      <c r="L59" s="187"/>
      <c r="M59" s="188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3.5" customHeight="1">
      <c r="A60" s="1"/>
      <c r="B60" s="141"/>
      <c r="C60" s="142"/>
      <c r="D60" s="141"/>
      <c r="E60" s="141"/>
      <c r="F60" s="141"/>
      <c r="G60" s="141"/>
      <c r="H60" s="141"/>
      <c r="I60" s="189"/>
      <c r="J60" s="188"/>
      <c r="K60" s="186"/>
      <c r="L60" s="187"/>
      <c r="M60" s="188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3.5" customHeight="1">
      <c r="A61" s="1"/>
      <c r="B61" s="143"/>
      <c r="C61" s="2"/>
      <c r="D61" s="14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3.5" customHeight="1">
      <c r="A62" s="1"/>
      <c r="B62" s="2"/>
      <c r="C62" s="2"/>
      <c r="D62" s="1" t="s">
        <v>62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3.5" customHeight="1">
      <c r="A63" s="1"/>
      <c r="B63" s="2"/>
      <c r="C63" s="2"/>
      <c r="D63" s="1" t="s">
        <v>154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32">
    <mergeCell ref="F18:F19"/>
    <mergeCell ref="G18:H18"/>
    <mergeCell ref="A11:H11"/>
    <mergeCell ref="A12:H12"/>
    <mergeCell ref="A14:H14"/>
    <mergeCell ref="A18:A19"/>
    <mergeCell ref="B18:C19"/>
    <mergeCell ref="D18:D19"/>
    <mergeCell ref="E18:E19"/>
    <mergeCell ref="G31:H31"/>
    <mergeCell ref="A44:A45"/>
    <mergeCell ref="G44:H44"/>
    <mergeCell ref="D52:D53"/>
    <mergeCell ref="C59:D59"/>
    <mergeCell ref="A52:A53"/>
    <mergeCell ref="E44:E45"/>
    <mergeCell ref="F44:F45"/>
    <mergeCell ref="A31:A32"/>
    <mergeCell ref="B31:C32"/>
    <mergeCell ref="D31:D32"/>
    <mergeCell ref="E31:E32"/>
    <mergeCell ref="F31:F32"/>
    <mergeCell ref="I59:J59"/>
    <mergeCell ref="K59:M59"/>
    <mergeCell ref="I60:J60"/>
    <mergeCell ref="K60:M60"/>
    <mergeCell ref="B44:C45"/>
    <mergeCell ref="D44:D45"/>
    <mergeCell ref="B52:C53"/>
    <mergeCell ref="E52:E53"/>
    <mergeCell ref="F52:F53"/>
    <mergeCell ref="G52:H52"/>
  </mergeCells>
  <printOptions horizontalCentered="1"/>
  <pageMargins left="0.51181102362204722" right="0.51181102362204722" top="0.78740157480314965" bottom="0.78740157480314965" header="0" footer="0"/>
  <pageSetup scale="58" fitToHeight="2" orientation="landscape" r:id="rId1"/>
  <colBreaks count="1" manualBreakCount="1">
    <brk id="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Orcamento</vt:lpstr>
      <vt:lpstr>Orcamento Resumo</vt:lpstr>
      <vt:lpstr>Cronograma</vt:lpstr>
      <vt:lpstr>Composições</vt:lpstr>
      <vt:lpstr>Orcamento!_ftn1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Kerbes Engenharia</cp:lastModifiedBy>
  <cp:lastPrinted>2026-08-25T16:48:24Z</cp:lastPrinted>
  <dcterms:created xsi:type="dcterms:W3CDTF">2021-08-17T17:53:06Z</dcterms:created>
  <dcterms:modified xsi:type="dcterms:W3CDTF">2026-08-25T16:48:53Z</dcterms:modified>
</cp:coreProperties>
</file>