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PO -" sheetId="3" r:id="rId1"/>
    <sheet name="TOTALIZADORA" sheetId="1" r:id="rId2"/>
    <sheet name="COMP" sheetId="4" r:id="rId3"/>
    <sheet name="Plan1" sheetId="5" r:id="rId4"/>
  </sheets>
  <externalReferences>
    <externalReference r:id="rId5"/>
    <externalReference r:id="rId6"/>
    <externalReference r:id="rId7"/>
  </externalReferences>
  <definedNames>
    <definedName name="_xlnm.Print_Area" localSheetId="2">COMP!$D$2:$J$84</definedName>
    <definedName name="_xlnm.Print_Area" localSheetId="0">'PO -'!$A$1:$J$59</definedName>
    <definedName name="_xlnm.Print_Area" localSheetId="1">TOTALIZADORA!$A$1:$H$28</definedName>
    <definedName name="bdi">'[1]Comparativo Av. Cristóvão'!#REF!</definedName>
    <definedName name="CALCETEIRO">#REF!</definedName>
    <definedName name="Carpinteiro">#REF!</definedName>
    <definedName name="CORDOEIRO">#REF!</definedName>
    <definedName name="dados_re">[2]RE!$B$13:$P$37</definedName>
    <definedName name="Diesel">'[3]Ct Hor Equip 2'!$AA$8</definedName>
    <definedName name="EncarregadoObrasViárias">#REF!</definedName>
    <definedName name="Excel_BuiltIn_Print_Area_6_1">#REF!</definedName>
    <definedName name="Excel_BuiltIn_Print_Titles_1_1">#REF!</definedName>
    <definedName name="Ferreiro">#REF!</definedName>
    <definedName name="Gasolina">'[3]Ct Hor Equip 2'!$AC$9</definedName>
    <definedName name="InstaladorHidraulico">#REF!</definedName>
    <definedName name="k">#REF!</definedName>
    <definedName name="KWH">'[3]Ct Hor Equip 2'!$AC$8</definedName>
    <definedName name="LeisSociais">#REF!</definedName>
    <definedName name="LS">#REF!</definedName>
    <definedName name="M">#REF!</definedName>
    <definedName name="Motorista">#REF!</definedName>
    <definedName name="número">#REF!</definedName>
    <definedName name="Operador">#REF!</definedName>
    <definedName name="Pedreiro">#REF!</definedName>
    <definedName name="PS">'[3]Ct Hor MDO 4'!$P$8</definedName>
    <definedName name="SB">'[3]Ct Hor Equip 2'!$AA$9</definedName>
    <definedName name="Servente">#REF!</definedName>
    <definedName name="TERRAPLENAGEM">#REF!</definedName>
    <definedName name="_xlnm.Print_Titles" localSheetId="0">'PO -'!$7:$10</definedName>
    <definedName name="TOTAL">#REF!</definedName>
    <definedName name="x">#REF!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90" i="4"/>
  <c r="N23" i="3"/>
  <c r="N22"/>
  <c r="N18" l="1"/>
  <c r="L17"/>
  <c r="N17" s="1"/>
  <c r="N55"/>
  <c r="N52"/>
  <c r="N51"/>
  <c r="N50"/>
  <c r="N47"/>
  <c r="N46"/>
  <c r="N45"/>
  <c r="N44"/>
  <c r="N41"/>
  <c r="N40"/>
  <c r="N37"/>
  <c r="N36"/>
  <c r="N35"/>
  <c r="N32"/>
  <c r="N31"/>
  <c r="N28"/>
  <c r="N25"/>
  <c r="N24"/>
  <c r="N19"/>
  <c r="N14"/>
  <c r="N13"/>
  <c r="N12"/>
  <c r="J19" i="1" l="1"/>
  <c r="J18"/>
  <c r="J17"/>
  <c r="J16"/>
  <c r="H25" i="3" l="1"/>
  <c r="I25" s="1"/>
  <c r="G14" l="1"/>
  <c r="H14" s="1"/>
  <c r="I14" s="1"/>
  <c r="G13"/>
  <c r="H13" s="1"/>
  <c r="I13" s="1"/>
  <c r="H24" l="1"/>
  <c r="I24" s="1"/>
  <c r="H19"/>
  <c r="I19" s="1"/>
  <c r="H48"/>
  <c r="H42"/>
  <c r="H38"/>
  <c r="H33"/>
  <c r="H29"/>
  <c r="H41"/>
  <c r="I41" s="1"/>
  <c r="J66" i="4"/>
  <c r="J65"/>
  <c r="J64"/>
  <c r="J63"/>
  <c r="J57"/>
  <c r="J58" s="1"/>
  <c r="G51" i="3" s="1"/>
  <c r="J51" i="4"/>
  <c r="J50"/>
  <c r="J44"/>
  <c r="J45" s="1"/>
  <c r="G47" i="3" s="1"/>
  <c r="H47" s="1"/>
  <c r="I47" s="1"/>
  <c r="J38" i="4"/>
  <c r="J39" s="1"/>
  <c r="G46" i="3" s="1"/>
  <c r="J32" i="4"/>
  <c r="J31"/>
  <c r="J30"/>
  <c r="J29"/>
  <c r="J6"/>
  <c r="J5"/>
  <c r="J4"/>
  <c r="J67" l="1"/>
  <c r="G52" i="3" s="1"/>
  <c r="H52" s="1"/>
  <c r="I52" s="1"/>
  <c r="J33" i="4"/>
  <c r="G37" i="3" s="1"/>
  <c r="J52" i="4"/>
  <c r="G50" i="3" s="1"/>
  <c r="J7" i="4"/>
  <c r="G28" i="3" s="1"/>
  <c r="F28"/>
  <c r="H36"/>
  <c r="I36" s="1"/>
  <c r="H31"/>
  <c r="H37" l="1"/>
  <c r="I37" s="1"/>
  <c r="H46"/>
  <c r="I46" s="1"/>
  <c r="H51" l="1"/>
  <c r="I51" s="1"/>
  <c r="H50" l="1"/>
  <c r="I50" s="1"/>
  <c r="B19" i="1"/>
  <c r="B17"/>
  <c r="B16"/>
  <c r="J76" i="4"/>
  <c r="J81"/>
  <c r="J80"/>
  <c r="J79"/>
  <c r="J78"/>
  <c r="J77"/>
  <c r="J75"/>
  <c r="J74"/>
  <c r="H53" i="3"/>
  <c r="H45"/>
  <c r="I45" s="1"/>
  <c r="H40"/>
  <c r="I40" s="1"/>
  <c r="I42" s="1"/>
  <c r="H44"/>
  <c r="I44" s="1"/>
  <c r="I31"/>
  <c r="J16" i="4"/>
  <c r="J15"/>
  <c r="J14"/>
  <c r="J20" i="1"/>
  <c r="J15"/>
  <c r="B20"/>
  <c r="A20"/>
  <c r="B18"/>
  <c r="A18"/>
  <c r="B15"/>
  <c r="A15"/>
  <c r="J73" i="4"/>
  <c r="J72"/>
  <c r="H18" i="3"/>
  <c r="I18" s="1"/>
  <c r="J22" i="4"/>
  <c r="J24" s="1"/>
  <c r="B72" i="3"/>
  <c r="B73"/>
  <c r="B68"/>
  <c r="B70"/>
  <c r="B71"/>
  <c r="B67"/>
  <c r="H56"/>
  <c r="J13" i="4"/>
  <c r="J12"/>
  <c r="I48" i="3" l="1"/>
  <c r="G35"/>
  <c r="H35" s="1"/>
  <c r="I35" s="1"/>
  <c r="I38" s="1"/>
  <c r="C16" i="1" s="1"/>
  <c r="I53" i="3"/>
  <c r="C19" i="1" s="1"/>
  <c r="G19" s="1"/>
  <c r="H28" i="3"/>
  <c r="I28" s="1"/>
  <c r="I29" s="1"/>
  <c r="J83" i="4"/>
  <c r="J17"/>
  <c r="C18" i="1"/>
  <c r="G18" s="1"/>
  <c r="B74" i="3"/>
  <c r="E19" i="1" l="1"/>
  <c r="I19" s="1"/>
  <c r="G55" i="3"/>
  <c r="H55" s="1"/>
  <c r="I55" s="1"/>
  <c r="I56" s="1"/>
  <c r="G32"/>
  <c r="H32" s="1"/>
  <c r="I32" s="1"/>
  <c r="I33" s="1"/>
  <c r="C15" i="1" s="1"/>
  <c r="J36" i="3"/>
  <c r="J37"/>
  <c r="E16" i="1"/>
  <c r="I16" s="1"/>
  <c r="G16"/>
  <c r="J35" i="3"/>
  <c r="E18" i="1"/>
  <c r="I18" s="1"/>
  <c r="F12" i="3"/>
  <c r="E15" i="1" l="1"/>
  <c r="G15"/>
  <c r="J52" i="3"/>
  <c r="J41"/>
  <c r="J50"/>
  <c r="J40"/>
  <c r="J55"/>
  <c r="J44"/>
  <c r="J46"/>
  <c r="J47"/>
  <c r="J45"/>
  <c r="C20" i="1"/>
  <c r="G20" s="1"/>
  <c r="J51" i="3"/>
  <c r="A12" i="1"/>
  <c r="B12"/>
  <c r="A13"/>
  <c r="B13"/>
  <c r="A14"/>
  <c r="B14"/>
  <c r="I15" l="1"/>
  <c r="E20"/>
  <c r="I20" s="1"/>
  <c r="H12" i="3"/>
  <c r="I12" s="1"/>
  <c r="I15" s="1"/>
  <c r="H23"/>
  <c r="I23" s="1"/>
  <c r="J13" l="1"/>
  <c r="J14"/>
  <c r="H22"/>
  <c r="H17"/>
  <c r="J12" i="1" l="1"/>
  <c r="J13"/>
  <c r="J14"/>
  <c r="J11"/>
  <c r="J22" l="1"/>
  <c r="B11" l="1"/>
  <c r="H26" i="3" l="1"/>
  <c r="H20"/>
  <c r="I22"/>
  <c r="I26" s="1"/>
  <c r="I17"/>
  <c r="I20" s="1"/>
  <c r="J19" s="1"/>
  <c r="J25" l="1"/>
  <c r="J24"/>
  <c r="C14" i="1"/>
  <c r="G14" s="1"/>
  <c r="J32" i="3"/>
  <c r="J28"/>
  <c r="J31" l="1"/>
  <c r="J18"/>
  <c r="C13" i="1"/>
  <c r="G13" s="1"/>
  <c r="C12"/>
  <c r="G12" s="1"/>
  <c r="E14"/>
  <c r="I14" s="1"/>
  <c r="J23" i="3"/>
  <c r="J22"/>
  <c r="J17"/>
  <c r="A11" i="1"/>
  <c r="E12" l="1"/>
  <c r="E13"/>
  <c r="I13" s="1"/>
  <c r="I12" l="1"/>
  <c r="H15" i="3"/>
  <c r="A4" i="1"/>
  <c r="A5"/>
  <c r="A6"/>
  <c r="A3"/>
  <c r="I59" i="3" l="1"/>
  <c r="C11" i="1" l="1"/>
  <c r="J12" i="3"/>
  <c r="G11" i="1" l="1"/>
  <c r="E11"/>
  <c r="I11" l="1"/>
  <c r="C17" l="1"/>
  <c r="J33" i="3"/>
  <c r="D15" i="1" s="1"/>
  <c r="G17" l="1"/>
  <c r="E17"/>
  <c r="E22" s="1"/>
  <c r="C22"/>
  <c r="J38" i="3"/>
  <c r="D16" i="1" s="1"/>
  <c r="J20" i="3"/>
  <c r="D12" i="1" s="1"/>
  <c r="J53" i="3"/>
  <c r="D19" i="1" s="1"/>
  <c r="J48" i="3"/>
  <c r="D18" i="1" s="1"/>
  <c r="J56" i="3"/>
  <c r="J42"/>
  <c r="D17" i="1" s="1"/>
  <c r="J15" i="3"/>
  <c r="D11" i="1" s="1"/>
  <c r="J26" i="3"/>
  <c r="D13" i="1" s="1"/>
  <c r="J29" i="3"/>
  <c r="D14" i="1" s="1"/>
  <c r="I17" l="1"/>
  <c r="G22"/>
  <c r="H22" s="1"/>
  <c r="E23"/>
  <c r="F22"/>
  <c r="J59" i="3"/>
  <c r="D20" i="1"/>
  <c r="D22" s="1"/>
  <c r="F23" l="1"/>
  <c r="G23"/>
  <c r="H23" s="1"/>
</calcChain>
</file>

<file path=xl/sharedStrings.xml><?xml version="1.0" encoding="utf-8"?>
<sst xmlns="http://schemas.openxmlformats.org/spreadsheetml/2006/main" count="375" uniqueCount="167">
  <si>
    <t xml:space="preserve">Descrição dos Serviços </t>
  </si>
  <si>
    <t>Item</t>
  </si>
  <si>
    <t>%</t>
  </si>
  <si>
    <t>VALOR TOTAL</t>
  </si>
  <si>
    <t>Mat./M.Obra</t>
  </si>
  <si>
    <t>30 dias</t>
  </si>
  <si>
    <t>PLANILHA ORÇAMENTÁRIA-MATERIAL e MÃO de OBRA</t>
  </si>
  <si>
    <t xml:space="preserve">Descrição dos Materiais </t>
  </si>
  <si>
    <t>Un.</t>
  </si>
  <si>
    <t>Qtd.</t>
  </si>
  <si>
    <t>A</t>
  </si>
  <si>
    <t>TOTAL DAS MEDIÇÕES</t>
  </si>
  <si>
    <t>1.1</t>
  </si>
  <si>
    <t>SERVIÇOS PRELIMINARES</t>
  </si>
  <si>
    <t>PLANILHA TOTALIZADORA COM CRONOGRAMA FÍSICO-FINACEIRO</t>
  </si>
  <si>
    <t>Valor unitário</t>
  </si>
  <si>
    <t>s /  BDI</t>
  </si>
  <si>
    <t>VALOR TOTAL
 C / BDI</t>
  </si>
  <si>
    <t>Valor Unitário</t>
  </si>
  <si>
    <t>BDI ADOTADO (%):</t>
  </si>
  <si>
    <t xml:space="preserve"> C / BDI </t>
  </si>
  <si>
    <t>VALOR TOTAL DOS SERVIÇOS</t>
  </si>
  <si>
    <t>TOTAL ÍTEM</t>
  </si>
  <si>
    <t>CÓDIGO SINAPI</t>
  </si>
  <si>
    <t>SINAPI</t>
  </si>
  <si>
    <t xml:space="preserve">             VALORES ACUMULADOS</t>
  </si>
  <si>
    <t>PINTURAS</t>
  </si>
  <si>
    <t>M²</t>
  </si>
  <si>
    <t>Un</t>
  </si>
  <si>
    <t>4.1</t>
  </si>
  <si>
    <t>5.1</t>
  </si>
  <si>
    <t>6.1</t>
  </si>
  <si>
    <t>60 dias</t>
  </si>
  <si>
    <t>Placa de obra em chapa de aço galvanizado, medidas 2,40x1,20m</t>
  </si>
  <si>
    <t>CLASSE/TIPO</t>
  </si>
  <si>
    <t>CÓDIGOS</t>
  </si>
  <si>
    <t>DESCRIÇÃO</t>
  </si>
  <si>
    <t>UNIDADE</t>
  </si>
  <si>
    <t>COMPOSICAO</t>
  </si>
  <si>
    <t>SINAPI:  DATA BASE : novembro/2024</t>
  </si>
  <si>
    <t>Pintura c/ tinta alquidica  sobre superficie metálica, esmalte sintetcio acetinado  uma demão .</t>
  </si>
  <si>
    <t>COEFICIENTE</t>
  </si>
  <si>
    <t>CUSTO UNITÁRIO (R$)</t>
  </si>
  <si>
    <t>TOTAL R$</t>
  </si>
  <si>
    <t>H</t>
  </si>
  <si>
    <t>SERVENTE COM ENCARGOS COMPLEMENTARES</t>
  </si>
  <si>
    <t>VALOR R$    p/ m³</t>
  </si>
  <si>
    <t>composição 1</t>
  </si>
  <si>
    <t>composição 2</t>
  </si>
  <si>
    <t>AUXILIAR DE SERVIÇOS GERAIS COM ENCARGOS COMPLEMENTARES</t>
  </si>
  <si>
    <t>interna</t>
  </si>
  <si>
    <t>HIDRAULICA</t>
  </si>
  <si>
    <t>ABERTURAS</t>
  </si>
  <si>
    <t>2.1</t>
  </si>
  <si>
    <t>2.2</t>
  </si>
  <si>
    <t>3.1</t>
  </si>
  <si>
    <t>7.1</t>
  </si>
  <si>
    <t>Emboço para as paredes  externas</t>
  </si>
  <si>
    <t>Reboco das paredes  externas</t>
  </si>
  <si>
    <t>composição 3</t>
  </si>
  <si>
    <t>composição 4</t>
  </si>
  <si>
    <t>VALOR R$    p/ unid</t>
  </si>
  <si>
    <t>SERRALHEIRO COM ENCARGOS COMPLEMENTARES</t>
  </si>
  <si>
    <t>UND.</t>
  </si>
  <si>
    <t>VALOR R$    p/m²</t>
  </si>
  <si>
    <t>PREGO DE ACO POLIDO COM CABECA 15 X 18 (1 1/2 X 13)</t>
  </si>
  <si>
    <t>KG</t>
  </si>
  <si>
    <t>SUBCOBERTURA COM MANTA PLÁSTICA REVESTIDA POR PELÍCULA DE ALUMÍNO,INLUSO TRANSPORTE VERTICAL.</t>
  </si>
  <si>
    <t>ELETRICA</t>
  </si>
  <si>
    <t xml:space="preserve"> Tomada media de embutir (1 MÓDULO), 2P+T 10 A, s/suporte e s/ placa - fornecimento e instalçaão.</t>
  </si>
  <si>
    <t>Lampada LED tubular bivolt 18/20 W, base G13</t>
  </si>
  <si>
    <t>Reforma da casinha, play graud e pintar brinquedos,.</t>
  </si>
  <si>
    <t>PINTOR COM ENCARGOS COMPLEMENTARES</t>
  </si>
  <si>
    <t>CARPINTEIRO COM ENCARGOS COMPLEMENTARES</t>
  </si>
  <si>
    <t>MADEIRA SERRADA EM PINUS, MISTA OU EQUIVALENTE DA REGIAO</t>
  </si>
  <si>
    <t>M³</t>
  </si>
  <si>
    <t>LIXA EM FOLHA PARA FERRO,</t>
  </si>
  <si>
    <t>LIXA EM FOLHA PARA MADEIRA</t>
  </si>
  <si>
    <t>Pintura tinta de acabamento a óleo em madeira, 2 demãos (porta )</t>
  </si>
  <si>
    <t>Pintura tinta de acabaqmento a óleo em madeira, 2 demãos</t>
  </si>
  <si>
    <t>VALOR R$    p/ cj.</t>
  </si>
  <si>
    <t>CJ</t>
  </si>
  <si>
    <t>OBRA: REFORMA ESCOLA  MUNICIPAL - NOSSA SENHORA DAS GRAÇAS</t>
  </si>
  <si>
    <t>LOCALIZAÇÃO: Rua Helmo Nonnemacher,Nº1115,  CAPELA DE SANTANA - RS</t>
  </si>
  <si>
    <t>ÁREA:879,56 m²</t>
  </si>
  <si>
    <t xml:space="preserve"> ACESSÓRIOS </t>
  </si>
  <si>
    <t>9.1</t>
  </si>
  <si>
    <t>10.1</t>
  </si>
  <si>
    <t>8.1</t>
  </si>
  <si>
    <t>8.2</t>
  </si>
  <si>
    <t>SOLDADOR COM ENCARGOS COMPLEMENTARES</t>
  </si>
  <si>
    <t>Soldar bancos do refeitório</t>
  </si>
  <si>
    <t>VALOR R$    p/ und.</t>
  </si>
  <si>
    <t>Porta de madeira 80x210cm, folha pesada, núcleo sólido</t>
  </si>
  <si>
    <t xml:space="preserve">REFORMA DA PRASINHA , PLAY GRAUD E PINTURA </t>
  </si>
  <si>
    <t>Limpeza de fossa</t>
  </si>
  <si>
    <t>6.2</t>
  </si>
  <si>
    <t>pesquisa mercado</t>
  </si>
  <si>
    <t>Fixação de vaso sanitario e lavatorio</t>
  </si>
  <si>
    <t>9.2</t>
  </si>
  <si>
    <t>6.3</t>
  </si>
  <si>
    <t>COBERTURA INFILTRAÇÕES</t>
  </si>
  <si>
    <t>Revisão de infiltração no telhado das salas 2,8 e Saguão</t>
  </si>
  <si>
    <t>COMPOSIÇÃO 3- CONSERTO DE VASO SANITARIO ENTUPIDO (BANHEIRO MASCULINO)</t>
  </si>
  <si>
    <t>CIMENTO PORTLAND POZOLANICO CP IV-32</t>
  </si>
  <si>
    <t>PARAFUSO DE ACO ZINCADO, TIPO CHUMBADOR PARABOLT, DIAMETRO 1/2", COMPRIMENTO 75 MM</t>
  </si>
  <si>
    <t>UND</t>
  </si>
  <si>
    <t xml:space="preserve">Pintura das paredes com tinta acrílica, duas demãos (interna) </t>
  </si>
  <si>
    <t>VALOR R$    p/ UNID.</t>
  </si>
  <si>
    <t>Instalação de ventiladores</t>
  </si>
  <si>
    <t>8.3</t>
  </si>
  <si>
    <t>ELETRICISTA COM ENCARGOS COMPLEMENTARES</t>
  </si>
  <si>
    <t>5.2</t>
  </si>
  <si>
    <t>Remoção de divisória de madeira e recolocação</t>
  </si>
  <si>
    <t>REMOÇÃO DE TRAMA DE MADEIRA, DE FORMA MANUAL,C/REAPROVEITAMENTO</t>
  </si>
  <si>
    <t>REFORMA DE PAREDES</t>
  </si>
  <si>
    <t>8.4</t>
  </si>
  <si>
    <t>Revisão elétrica</t>
  </si>
  <si>
    <t>Fixação de varão cortinas sala 4</t>
  </si>
  <si>
    <t>9.3</t>
  </si>
  <si>
    <t>Arrumar base do quadro da sala 6 e 8</t>
  </si>
  <si>
    <t>COMPOSIÇÃO 1- REVISÃO DE INFILTRAÇÃO NO TELHADO (SALAS 2 , 8 E SAGUÃO)</t>
  </si>
  <si>
    <t>COMPOSIÇÃO 2- REMOÇÃO DE DIVISÓRIA E COLOCAÇÃO</t>
  </si>
  <si>
    <t>Conserto  de vaso sanitario entupido(BANHEIRO MASCULINO)</t>
  </si>
  <si>
    <t>COMPOSIÇÃO 4- FIXAÇÃO DE VASO SANITÁRIO E LAVATÓRIO</t>
  </si>
  <si>
    <t>composição 5</t>
  </si>
  <si>
    <t>COMPOSIÇÃO 5 - INSTALAÇÃO DE VENTILADOR</t>
  </si>
  <si>
    <t>composição 6</t>
  </si>
  <si>
    <t>COMPOSIÇÃO 6 - REVISÃO ELÉTRICA</t>
  </si>
  <si>
    <t>composição 7</t>
  </si>
  <si>
    <t>COMPOSIÇÃO 7- FIXAÇÃO DE VARÃO CORTINAS SALA 4</t>
  </si>
  <si>
    <t>composição 8</t>
  </si>
  <si>
    <t>COMPOSIÇÃO 8 - SOLDAGEM DE BANCOS REFEITÓRIO</t>
  </si>
  <si>
    <t>composição 9</t>
  </si>
  <si>
    <t>COMPOSIÇÃO 9 - ARRUMAR BASE DO QUADRO SALA 6 E 8</t>
  </si>
  <si>
    <t>composição 10</t>
  </si>
  <si>
    <t>COMPOSIÇÃO 10 - REFORMA DA PRASINHA, PLAY GRAUD E PINTURA BRINQUEDOS.</t>
  </si>
  <si>
    <t>VALOR R$    p/ UNID</t>
  </si>
  <si>
    <t>VALOR R$    p/UNID</t>
  </si>
  <si>
    <t>3.2</t>
  </si>
  <si>
    <t>RAMPA ACESSIBILIDADE TROCA MADEIRAS</t>
  </si>
  <si>
    <t>Madeira serrada em pinus, mista ou equivalente da região.</t>
  </si>
  <si>
    <t>7.2</t>
  </si>
  <si>
    <t>Carpinteiro com encargos complementares.</t>
  </si>
  <si>
    <t>Tabela SINAPI - data base NOV/2024</t>
  </si>
  <si>
    <t>Raspagem e restauração emboço  paredes internas e externas 1 m de altura</t>
  </si>
  <si>
    <t>3.3</t>
  </si>
  <si>
    <t>2.3</t>
  </si>
  <si>
    <t>Aplicação manual de fundo selador acrílico em paredes interna</t>
  </si>
  <si>
    <t>Locação  de Container 2,30x6,00m, alt. 2,50m, com 1 sanitario, para escritorio, completo, sem divisorias internas (não inclui mobilização/desmobilização)</t>
  </si>
  <si>
    <t>mês</t>
  </si>
  <si>
    <t>Engenheiro civil de obra pleno com encargos complomentares</t>
  </si>
  <si>
    <t>h</t>
  </si>
  <si>
    <t>1.2</t>
  </si>
  <si>
    <t>1.3</t>
  </si>
  <si>
    <t>3.4</t>
  </si>
  <si>
    <t>M131</t>
  </si>
  <si>
    <t xml:space="preserve">Aplicação manual de massa acrílica em superfícies internas, duas demãos </t>
  </si>
  <si>
    <t>PEDREIRO COM ENCARGOS COMPLEMENTARES</t>
  </si>
  <si>
    <t xml:space="preserve">ARGAMASSA TRAÇO 1:6 (EM VOLUME DE CIMENTO E AREIA MÉDIA ÚMIDA) COM ADI </t>
  </si>
  <si>
    <t>m³</t>
  </si>
  <si>
    <t>VALOR R$    p/ M²</t>
  </si>
  <si>
    <t>COMP.A</t>
  </si>
  <si>
    <t>COMPOSIÇÃO A - RASPAGEM E RESTAURAÇÃO EMBOÇO PAREDESINTERNAS E EXTERNAS 1 m DE ALTURA.</t>
  </si>
  <si>
    <t>material</t>
  </si>
  <si>
    <t>mão obra</t>
  </si>
  <si>
    <t>total</t>
  </si>
</sst>
</file>

<file path=xl/styles.xml><?xml version="1.0" encoding="utf-8"?>
<styleSheet xmlns="http://schemas.openxmlformats.org/spreadsheetml/2006/main">
  <numFmts count="16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_(&quot;R$&quot;* #,##0.00_);_(&quot;R$&quot;* \(#,##0.00\);_(&quot;R$&quot;* &quot;-&quot;??_);_(@_)"/>
    <numFmt numFmtId="169" formatCode="#,##0.000"/>
    <numFmt numFmtId="170" formatCode="\$#,##0\ ;\(\$#,##0\)"/>
    <numFmt numFmtId="171" formatCode="_([$€]* #,##0.00_);_([$€]* \(#,##0.00\);_([$€]* &quot;-&quot;??_);_(@_)"/>
    <numFmt numFmtId="172" formatCode="0.00\ &quot;km =&quot;"/>
    <numFmt numFmtId="173" formatCode="0.0000%"/>
    <numFmt numFmtId="174" formatCode="_(* #,##0.00_);_(* \(#,##0.00\);_(* \-??_);_(@_)"/>
    <numFmt numFmtId="175" formatCode="0#&quot;:&quot;"/>
    <numFmt numFmtId="176" formatCode="0.000000%"/>
    <numFmt numFmtId="177" formatCode="0.000000000000%"/>
    <numFmt numFmtId="178" formatCode="0.0%"/>
    <numFmt numFmtId="179" formatCode="&quot;R$&quot;\ #,##0.00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u/>
      <sz val="10"/>
      <color indexed="12"/>
      <name val="Arial"/>
      <family val="2"/>
    </font>
    <font>
      <b/>
      <i/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5"/>
      <color indexed="62"/>
      <name val="Calibri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E1F8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1" fontId="7" fillId="0" borderId="0" applyFont="0" applyFill="0" applyBorder="0" applyAlignment="0" applyProtection="0"/>
    <xf numFmtId="2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  <xf numFmtId="164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7" fillId="0" borderId="0"/>
    <xf numFmtId="0" fontId="28" fillId="0" borderId="0"/>
    <xf numFmtId="0" fontId="23" fillId="0" borderId="0"/>
    <xf numFmtId="0" fontId="28" fillId="0" borderId="0"/>
    <xf numFmtId="0" fontId="7" fillId="0" borderId="0"/>
    <xf numFmtId="172" fontId="7" fillId="0" borderId="0"/>
    <xf numFmtId="173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7" fillId="0" borderId="0"/>
    <xf numFmtId="0" fontId="28" fillId="0" borderId="0"/>
    <xf numFmtId="0" fontId="7" fillId="0" borderId="0"/>
    <xf numFmtId="0" fontId="28" fillId="0" borderId="0"/>
    <xf numFmtId="0" fontId="7" fillId="0" borderId="0"/>
    <xf numFmtId="9" fontId="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24" fillId="0" borderId="0" applyFont="0" applyFill="0" applyBorder="0" applyAlignment="0" applyProtection="0"/>
    <xf numFmtId="165" fontId="28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28" fillId="0" borderId="0" applyFont="0" applyFill="0" applyBorder="0" applyAlignment="0" applyProtection="0"/>
    <xf numFmtId="174" fontId="7" fillId="0" borderId="0" applyFill="0" applyBorder="0" applyAlignment="0" applyProtection="0"/>
    <xf numFmtId="4" fontId="2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5" fillId="0" borderId="1" applyNumberFormat="0" applyFill="0" applyAlignment="0" applyProtection="0"/>
    <xf numFmtId="167" fontId="2" fillId="0" borderId="0" applyFont="0" applyFill="0" applyBorder="0" applyAlignment="0" applyProtection="0"/>
    <xf numFmtId="174" fontId="7" fillId="0" borderId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4" fillId="0" borderId="0"/>
    <xf numFmtId="164" fontId="2" fillId="0" borderId="0" applyFont="0" applyFill="0" applyBorder="0" applyAlignment="0" applyProtection="0"/>
    <xf numFmtId="0" fontId="24" fillId="0" borderId="0"/>
    <xf numFmtId="0" fontId="1" fillId="0" borderId="0"/>
  </cellStyleXfs>
  <cellXfs count="188">
    <xf numFmtId="0" fontId="0" fillId="0" borderId="0" xfId="0"/>
    <xf numFmtId="0" fontId="6" fillId="2" borderId="0" xfId="0" applyFont="1" applyFill="1"/>
    <xf numFmtId="0" fontId="7" fillId="2" borderId="0" xfId="0" applyFont="1" applyFill="1"/>
    <xf numFmtId="0" fontId="7" fillId="0" borderId="0" xfId="0" applyFont="1"/>
    <xf numFmtId="4" fontId="6" fillId="2" borderId="0" xfId="0" quotePrefix="1" applyNumberFormat="1" applyFont="1" applyFill="1" applyAlignment="1">
      <alignment horizontal="left"/>
    </xf>
    <xf numFmtId="0" fontId="6" fillId="2" borderId="0" xfId="0" applyFont="1" applyFill="1" applyAlignment="1">
      <alignment horizontal="left"/>
    </xf>
    <xf numFmtId="4" fontId="7" fillId="2" borderId="0" xfId="0" applyNumberFormat="1" applyFont="1" applyFill="1"/>
    <xf numFmtId="10" fontId="7" fillId="2" borderId="0" xfId="0" applyNumberFormat="1" applyFont="1" applyFill="1"/>
    <xf numFmtId="0" fontId="6" fillId="2" borderId="0" xfId="0" applyFont="1" applyFill="1" applyAlignment="1">
      <alignment horizontal="center"/>
    </xf>
    <xf numFmtId="3" fontId="6" fillId="2" borderId="0" xfId="0" applyNumberFormat="1" applyFont="1" applyFill="1" applyAlignment="1">
      <alignment horizontal="center"/>
    </xf>
    <xf numFmtId="1" fontId="11" fillId="2" borderId="2" xfId="0" applyNumberFormat="1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10" fontId="5" fillId="2" borderId="4" xfId="50" applyNumberFormat="1" applyFont="1" applyFill="1" applyBorder="1"/>
    <xf numFmtId="10" fontId="5" fillId="4" borderId="5" xfId="0" applyNumberFormat="1" applyFont="1" applyFill="1" applyBorder="1" applyAlignment="1">
      <alignment vertical="center"/>
    </xf>
    <xf numFmtId="9" fontId="5" fillId="2" borderId="4" xfId="50" applyFont="1" applyFill="1" applyBorder="1"/>
    <xf numFmtId="10" fontId="10" fillId="3" borderId="5" xfId="50" applyNumberFormat="1" applyFont="1" applyFill="1" applyBorder="1" applyAlignment="1">
      <alignment vertical="center"/>
    </xf>
    <xf numFmtId="0" fontId="7" fillId="0" borderId="2" xfId="0" applyFont="1" applyBorder="1" applyAlignment="1">
      <alignment horizontal="left"/>
    </xf>
    <xf numFmtId="0" fontId="13" fillId="0" borderId="0" xfId="0" applyFont="1" applyAlignment="1">
      <alignment horizontal="left" indent="5"/>
    </xf>
    <xf numFmtId="4" fontId="10" fillId="3" borderId="6" xfId="0" applyNumberFormat="1" applyFont="1" applyFill="1" applyBorder="1" applyAlignment="1">
      <alignment horizontal="center" vertical="center"/>
    </xf>
    <xf numFmtId="169" fontId="9" fillId="2" borderId="7" xfId="0" applyNumberFormat="1" applyFont="1" applyFill="1" applyBorder="1" applyAlignment="1">
      <alignment horizontal="right"/>
    </xf>
    <xf numFmtId="169" fontId="7" fillId="2" borderId="7" xfId="0" applyNumberFormat="1" applyFont="1" applyFill="1" applyBorder="1"/>
    <xf numFmtId="1" fontId="16" fillId="5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/>
    </xf>
    <xf numFmtId="0" fontId="7" fillId="6" borderId="0" xfId="0" applyFont="1" applyFill="1"/>
    <xf numFmtId="168" fontId="8" fillId="5" borderId="7" xfId="9" applyFont="1" applyFill="1" applyBorder="1" applyAlignment="1">
      <alignment horizontal="right" vertical="center"/>
    </xf>
    <xf numFmtId="4" fontId="6" fillId="5" borderId="7" xfId="0" applyNumberFormat="1" applyFont="1" applyFill="1" applyBorder="1" applyAlignment="1">
      <alignment vertical="center"/>
    </xf>
    <xf numFmtId="4" fontId="6" fillId="4" borderId="9" xfId="71" applyNumberFormat="1" applyFont="1" applyFill="1" applyBorder="1" applyAlignment="1">
      <alignment vertical="center"/>
    </xf>
    <xf numFmtId="4" fontId="6" fillId="3" borderId="9" xfId="71" applyNumberFormat="1" applyFont="1" applyFill="1" applyBorder="1" applyAlignment="1">
      <alignment vertical="center"/>
    </xf>
    <xf numFmtId="9" fontId="7" fillId="0" borderId="0" xfId="0" applyNumberFormat="1" applyFont="1"/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3" fontId="8" fillId="3" borderId="10" xfId="0" applyNumberFormat="1" applyFont="1" applyFill="1" applyBorder="1" applyAlignment="1">
      <alignment horizontal="center" vertical="center"/>
    </xf>
    <xf numFmtId="10" fontId="8" fillId="3" borderId="10" xfId="0" applyNumberFormat="1" applyFont="1" applyFill="1" applyBorder="1" applyAlignment="1">
      <alignment horizontal="center" vertical="center"/>
    </xf>
    <xf numFmtId="1" fontId="16" fillId="6" borderId="0" xfId="0" applyNumberFormat="1" applyFont="1" applyFill="1" applyAlignment="1">
      <alignment horizontal="left" vertical="center"/>
    </xf>
    <xf numFmtId="168" fontId="6" fillId="6" borderId="0" xfId="9" applyFont="1" applyFill="1" applyAlignment="1">
      <alignment vertical="center"/>
    </xf>
    <xf numFmtId="10" fontId="10" fillId="6" borderId="0" xfId="50" applyNumberFormat="1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175" fontId="26" fillId="7" borderId="11" xfId="0" applyNumberFormat="1" applyFont="1" applyFill="1" applyBorder="1" applyAlignment="1">
      <alignment horizontal="left" vertical="center"/>
    </xf>
    <xf numFmtId="168" fontId="6" fillId="7" borderId="13" xfId="9" applyFont="1" applyFill="1" applyBorder="1" applyAlignment="1">
      <alignment vertical="center"/>
    </xf>
    <xf numFmtId="10" fontId="6" fillId="7" borderId="15" xfId="50" applyNumberFormat="1" applyFont="1" applyFill="1" applyBorder="1" applyAlignment="1">
      <alignment vertical="center"/>
    </xf>
    <xf numFmtId="4" fontId="6" fillId="7" borderId="10" xfId="9" applyNumberFormat="1" applyFont="1" applyFill="1" applyBorder="1" applyAlignment="1">
      <alignment vertical="center"/>
    </xf>
    <xf numFmtId="1" fontId="27" fillId="0" borderId="16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167" fontId="7" fillId="0" borderId="8" xfId="5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right" vertical="center"/>
    </xf>
    <xf numFmtId="10" fontId="7" fillId="0" borderId="17" xfId="50" applyNumberFormat="1" applyFont="1" applyBorder="1" applyAlignment="1">
      <alignment vertical="center"/>
    </xf>
    <xf numFmtId="168" fontId="6" fillId="4" borderId="19" xfId="9" applyFont="1" applyFill="1" applyBorder="1" applyAlignment="1">
      <alignment horizontal="right" vertical="center"/>
    </xf>
    <xf numFmtId="9" fontId="5" fillId="5" borderId="4" xfId="5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39" xfId="0" applyFont="1" applyFill="1" applyBorder="1" applyAlignment="1">
      <alignment horizontal="left" vertical="center"/>
    </xf>
    <xf numFmtId="1" fontId="6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4" fontId="6" fillId="2" borderId="0" xfId="0" quotePrefix="1" applyNumberFormat="1" applyFont="1" applyFill="1" applyAlignment="1">
      <alignment horizontal="left" vertical="center"/>
    </xf>
    <xf numFmtId="13" fontId="6" fillId="2" borderId="0" xfId="0" quotePrefix="1" applyNumberFormat="1" applyFont="1" applyFill="1" applyAlignment="1">
      <alignment horizontal="left" vertical="center"/>
    </xf>
    <xf numFmtId="1" fontId="6" fillId="2" borderId="40" xfId="0" applyNumberFormat="1" applyFont="1" applyFill="1" applyBorder="1" applyAlignment="1">
      <alignment vertical="center"/>
    </xf>
    <xf numFmtId="1" fontId="6" fillId="2" borderId="40" xfId="0" applyNumberFormat="1" applyFont="1" applyFill="1" applyBorder="1" applyAlignment="1">
      <alignment horizontal="left" vertical="center"/>
    </xf>
    <xf numFmtId="0" fontId="6" fillId="2" borderId="39" xfId="0" applyFont="1" applyFill="1" applyBorder="1" applyAlignment="1">
      <alignment vertical="center"/>
    </xf>
    <xf numFmtId="176" fontId="7" fillId="0" borderId="0" xfId="0" applyNumberFormat="1" applyFont="1" applyAlignment="1">
      <alignment vertical="center"/>
    </xf>
    <xf numFmtId="177" fontId="7" fillId="0" borderId="0" xfId="0" applyNumberFormat="1" applyFont="1" applyAlignment="1">
      <alignment vertical="center"/>
    </xf>
    <xf numFmtId="9" fontId="5" fillId="4" borderId="5" xfId="50" applyFont="1" applyFill="1" applyBorder="1" applyAlignment="1">
      <alignment horizontal="center" vertical="center"/>
    </xf>
    <xf numFmtId="10" fontId="5" fillId="5" borderId="4" xfId="50" applyNumberFormat="1" applyFont="1" applyFill="1" applyBorder="1" applyAlignment="1">
      <alignment horizontal="center" vertical="center"/>
    </xf>
    <xf numFmtId="0" fontId="30" fillId="0" borderId="8" xfId="0" applyFont="1" applyBorder="1" applyAlignment="1" applyProtection="1">
      <alignment vertical="center" wrapText="1"/>
      <protection hidden="1"/>
    </xf>
    <xf numFmtId="1" fontId="26" fillId="9" borderId="14" xfId="0" applyNumberFormat="1" applyFont="1" applyFill="1" applyBorder="1" applyAlignment="1">
      <alignment horizontal="center" vertical="center"/>
    </xf>
    <xf numFmtId="0" fontId="30" fillId="0" borderId="8" xfId="0" applyFont="1" applyBorder="1" applyAlignment="1" applyProtection="1">
      <alignment horizontal="center" vertical="center" wrapText="1"/>
      <protection hidden="1"/>
    </xf>
    <xf numFmtId="2" fontId="30" fillId="0" borderId="8" xfId="0" applyNumberFormat="1" applyFont="1" applyBorder="1" applyAlignment="1" applyProtection="1">
      <alignment horizontal="right" vertical="center"/>
      <protection hidden="1"/>
    </xf>
    <xf numFmtId="0" fontId="3" fillId="2" borderId="0" xfId="0" applyFont="1" applyFill="1" applyAlignment="1">
      <alignment horizontal="center"/>
    </xf>
    <xf numFmtId="10" fontId="6" fillId="2" borderId="0" xfId="50" quotePrefix="1" applyNumberFormat="1" applyFont="1" applyFill="1" applyAlignment="1">
      <alignment horizontal="center" vertical="center"/>
    </xf>
    <xf numFmtId="0" fontId="2" fillId="0" borderId="18" xfId="0" applyFont="1" applyBorder="1" applyAlignment="1">
      <alignment vertical="center"/>
    </xf>
    <xf numFmtId="167" fontId="2" fillId="0" borderId="8" xfId="71" applyFont="1" applyBorder="1" applyAlignment="1">
      <alignment vertical="center"/>
    </xf>
    <xf numFmtId="167" fontId="2" fillId="0" borderId="8" xfId="5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right" vertical="center"/>
    </xf>
    <xf numFmtId="10" fontId="2" fillId="0" borderId="17" xfId="50" applyNumberFormat="1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" fontId="2" fillId="2" borderId="0" xfId="0" applyNumberFormat="1" applyFont="1" applyFill="1" applyAlignment="1">
      <alignment vertical="center"/>
    </xf>
    <xf numFmtId="164" fontId="7" fillId="2" borderId="0" xfId="0" applyNumberFormat="1" applyFont="1" applyFill="1" applyAlignment="1">
      <alignment vertical="center"/>
    </xf>
    <xf numFmtId="178" fontId="6" fillId="7" borderId="12" xfId="0" applyNumberFormat="1" applyFont="1" applyFill="1" applyBorder="1" applyAlignment="1">
      <alignment vertical="center"/>
    </xf>
    <xf numFmtId="1" fontId="27" fillId="0" borderId="44" xfId="0" applyNumberFormat="1" applyFont="1" applyBorder="1" applyAlignment="1">
      <alignment horizontal="center" vertical="center"/>
    </xf>
    <xf numFmtId="0" fontId="30" fillId="0" borderId="45" xfId="0" applyFont="1" applyBorder="1" applyAlignment="1" applyProtection="1">
      <alignment vertical="center" wrapText="1"/>
      <protection hidden="1"/>
    </xf>
    <xf numFmtId="2" fontId="30" fillId="0" borderId="45" xfId="0" applyNumberFormat="1" applyFont="1" applyBorder="1" applyAlignment="1" applyProtection="1">
      <alignment horizontal="right" vertical="center"/>
      <protection hidden="1"/>
    </xf>
    <xf numFmtId="0" fontId="2" fillId="6" borderId="46" xfId="0" applyFont="1" applyFill="1" applyBorder="1"/>
    <xf numFmtId="0" fontId="2" fillId="0" borderId="8" xfId="18" applyFont="1" applyBorder="1" applyAlignment="1">
      <alignment horizontal="center" vertical="center"/>
    </xf>
    <xf numFmtId="2" fontId="2" fillId="0" borderId="8" xfId="18" applyNumberFormat="1" applyFont="1" applyBorder="1" applyAlignment="1">
      <alignment horizontal="center" vertical="center"/>
    </xf>
    <xf numFmtId="179" fontId="7" fillId="0" borderId="0" xfId="0" applyNumberFormat="1" applyFont="1"/>
    <xf numFmtId="0" fontId="33" fillId="11" borderId="8" xfId="18" applyFont="1" applyFill="1" applyBorder="1" applyAlignment="1">
      <alignment horizontal="center" vertical="center"/>
    </xf>
    <xf numFmtId="0" fontId="33" fillId="11" borderId="8" xfId="18" applyFont="1" applyFill="1" applyBorder="1" applyAlignment="1">
      <alignment horizontal="center" vertical="center" wrapText="1"/>
    </xf>
    <xf numFmtId="0" fontId="2" fillId="0" borderId="8" xfId="18" applyFont="1" applyBorder="1" applyAlignment="1">
      <alignment horizontal="left" vertical="center" wrapText="1"/>
    </xf>
    <xf numFmtId="179" fontId="34" fillId="12" borderId="8" xfId="18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8" xfId="18" applyFont="1" applyBorder="1" applyAlignment="1">
      <alignment horizontal="center" vertical="center"/>
    </xf>
    <xf numFmtId="0" fontId="2" fillId="0" borderId="48" xfId="18" applyFont="1" applyBorder="1" applyAlignment="1">
      <alignment horizontal="center" vertical="center"/>
    </xf>
    <xf numFmtId="0" fontId="2" fillId="0" borderId="48" xfId="18" applyFont="1" applyBorder="1" applyAlignment="1">
      <alignment horizontal="left" vertical="center" wrapText="1"/>
    </xf>
    <xf numFmtId="0" fontId="2" fillId="0" borderId="47" xfId="18" applyFont="1" applyBorder="1" applyAlignment="1">
      <alignment horizontal="center" vertical="center"/>
    </xf>
    <xf numFmtId="1" fontId="27" fillId="0" borderId="8" xfId="0" applyNumberFormat="1" applyFont="1" applyBorder="1" applyAlignment="1">
      <alignment horizontal="center" vertical="center"/>
    </xf>
    <xf numFmtId="0" fontId="30" fillId="0" borderId="49" xfId="0" applyFont="1" applyBorder="1" applyAlignment="1" applyProtection="1">
      <alignment vertical="center" wrapText="1"/>
      <protection hidden="1"/>
    </xf>
    <xf numFmtId="1" fontId="27" fillId="0" borderId="45" xfId="0" applyNumberFormat="1" applyFont="1" applyBorder="1" applyAlignment="1">
      <alignment horizontal="center" vertical="center"/>
    </xf>
    <xf numFmtId="2" fontId="30" fillId="0" borderId="18" xfId="0" applyNumberFormat="1" applyFont="1" applyBorder="1" applyAlignment="1" applyProtection="1">
      <alignment horizontal="right" vertical="center"/>
      <protection hidden="1"/>
    </xf>
    <xf numFmtId="0" fontId="35" fillId="0" borderId="8" xfId="0" applyFont="1" applyBorder="1" applyAlignment="1" applyProtection="1">
      <alignment vertical="center" wrapText="1"/>
      <protection hidden="1"/>
    </xf>
    <xf numFmtId="0" fontId="35" fillId="0" borderId="18" xfId="0" applyFont="1" applyBorder="1" applyAlignment="1">
      <alignment vertical="center"/>
    </xf>
    <xf numFmtId="167" fontId="35" fillId="0" borderId="8" xfId="71" applyFont="1" applyBorder="1" applyAlignment="1">
      <alignment vertical="center"/>
    </xf>
    <xf numFmtId="167" fontId="35" fillId="0" borderId="8" xfId="50" applyNumberFormat="1" applyFont="1" applyBorder="1" applyAlignment="1">
      <alignment horizontal="center" vertical="center"/>
    </xf>
    <xf numFmtId="0" fontId="35" fillId="0" borderId="45" xfId="0" applyFont="1" applyBorder="1" applyAlignment="1" applyProtection="1">
      <alignment vertical="center" wrapText="1"/>
      <protection hidden="1"/>
    </xf>
    <xf numFmtId="0" fontId="36" fillId="0" borderId="8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center" vertical="center"/>
    </xf>
    <xf numFmtId="164" fontId="36" fillId="0" borderId="8" xfId="10" applyFont="1" applyBorder="1" applyAlignment="1">
      <alignment horizontal="center" vertical="center"/>
    </xf>
    <xf numFmtId="164" fontId="36" fillId="0" borderId="8" xfId="10" applyFont="1" applyFill="1" applyBorder="1" applyAlignment="1">
      <alignment horizontal="center" vertical="center"/>
    </xf>
    <xf numFmtId="0" fontId="2" fillId="6" borderId="8" xfId="0" applyFont="1" applyFill="1" applyBorder="1"/>
    <xf numFmtId="0" fontId="35" fillId="6" borderId="8" xfId="73" applyFont="1" applyFill="1" applyBorder="1" applyAlignment="1">
      <alignment horizontal="justify" vertical="center" wrapText="1"/>
    </xf>
    <xf numFmtId="0" fontId="2" fillId="6" borderId="8" xfId="73" applyFill="1" applyBorder="1" applyAlignment="1">
      <alignment horizontal="center" vertical="center"/>
    </xf>
    <xf numFmtId="0" fontId="2" fillId="0" borderId="16" xfId="18" applyFont="1" applyBorder="1" applyAlignment="1">
      <alignment horizontal="center" vertical="center" wrapText="1"/>
    </xf>
    <xf numFmtId="0" fontId="2" fillId="0" borderId="8" xfId="18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8" xfId="0" applyBorder="1" applyAlignment="1">
      <alignment horizontal="center"/>
    </xf>
    <xf numFmtId="2" fontId="2" fillId="0" borderId="17" xfId="18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 vertical="center"/>
    </xf>
    <xf numFmtId="179" fontId="34" fillId="13" borderId="17" xfId="18" applyNumberFormat="1" applyFont="1" applyFill="1" applyBorder="1" applyAlignment="1">
      <alignment horizontal="center" vertical="center" wrapText="1"/>
    </xf>
    <xf numFmtId="0" fontId="33" fillId="14" borderId="16" xfId="18" applyFont="1" applyFill="1" applyBorder="1" applyAlignment="1">
      <alignment horizontal="center" vertical="center" wrapText="1"/>
    </xf>
    <xf numFmtId="0" fontId="33" fillId="14" borderId="8" xfId="18" applyFont="1" applyFill="1" applyBorder="1" applyAlignment="1">
      <alignment horizontal="center" vertical="center" wrapText="1"/>
    </xf>
    <xf numFmtId="0" fontId="33" fillId="14" borderId="17" xfId="18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1" fontId="26" fillId="7" borderId="21" xfId="0" applyNumberFormat="1" applyFont="1" applyFill="1" applyBorder="1" applyAlignment="1">
      <alignment horizontal="right" vertical="center"/>
    </xf>
    <xf numFmtId="1" fontId="26" fillId="7" borderId="22" xfId="0" applyNumberFormat="1" applyFont="1" applyFill="1" applyBorder="1" applyAlignment="1">
      <alignment horizontal="right" vertical="center"/>
    </xf>
    <xf numFmtId="0" fontId="29" fillId="9" borderId="41" xfId="0" applyFont="1" applyFill="1" applyBorder="1" applyAlignment="1" applyProtection="1">
      <alignment horizontal="left" vertical="center"/>
      <protection hidden="1"/>
    </xf>
    <xf numFmtId="0" fontId="29" fillId="9" borderId="42" xfId="0" applyFont="1" applyFill="1" applyBorder="1" applyAlignment="1" applyProtection="1">
      <alignment horizontal="left" vertical="center"/>
      <protection hidden="1"/>
    </xf>
    <xf numFmtId="0" fontId="29" fillId="9" borderId="43" xfId="0" applyFont="1" applyFill="1" applyBorder="1" applyAlignment="1" applyProtection="1">
      <alignment horizontal="left" vertical="center"/>
      <protection hidden="1"/>
    </xf>
    <xf numFmtId="0" fontId="7" fillId="0" borderId="47" xfId="0" applyFont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6" fillId="2" borderId="0" xfId="0" quotePrefix="1" applyNumberFormat="1" applyFont="1" applyFill="1" applyAlignment="1">
      <alignment horizontal="center" vertical="center"/>
    </xf>
    <xf numFmtId="3" fontId="6" fillId="2" borderId="0" xfId="0" quotePrefix="1" applyNumberFormat="1" applyFont="1" applyFill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18" fillId="0" borderId="37" xfId="0" applyFont="1" applyBorder="1" applyAlignment="1">
      <alignment vertical="center"/>
    </xf>
    <xf numFmtId="0" fontId="18" fillId="0" borderId="38" xfId="0" applyFont="1" applyBorder="1" applyAlignment="1">
      <alignment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4" fontId="8" fillId="3" borderId="20" xfId="0" applyNumberFormat="1" applyFont="1" applyFill="1" applyBorder="1" applyAlignment="1">
      <alignment horizontal="center" vertical="center" wrapText="1"/>
    </xf>
    <xf numFmtId="4" fontId="8" fillId="3" borderId="8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10" fontId="8" fillId="3" borderId="23" xfId="0" applyNumberFormat="1" applyFont="1" applyFill="1" applyBorder="1" applyAlignment="1">
      <alignment horizontal="center" vertical="center"/>
    </xf>
    <xf numFmtId="10" fontId="8" fillId="3" borderId="17" xfId="0" applyNumberFormat="1" applyFont="1" applyFill="1" applyBorder="1" applyAlignment="1">
      <alignment horizontal="center" vertical="center"/>
    </xf>
    <xf numFmtId="10" fontId="8" fillId="3" borderId="15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3" fontId="8" fillId="3" borderId="20" xfId="0" quotePrefix="1" applyNumberFormat="1" applyFont="1" applyFill="1" applyBorder="1" applyAlignment="1">
      <alignment horizontal="center" vertical="center"/>
    </xf>
    <xf numFmtId="3" fontId="8" fillId="3" borderId="8" xfId="0" quotePrefix="1" applyNumberFormat="1" applyFont="1" applyFill="1" applyBorder="1" applyAlignment="1">
      <alignment horizontal="center" vertical="center"/>
    </xf>
    <xf numFmtId="1" fontId="8" fillId="3" borderId="26" xfId="0" applyNumberFormat="1" applyFont="1" applyFill="1" applyBorder="1" applyAlignment="1">
      <alignment horizontal="center" vertical="center"/>
    </xf>
    <xf numFmtId="1" fontId="8" fillId="3" borderId="27" xfId="0" applyNumberFormat="1" applyFont="1" applyFill="1" applyBorder="1" applyAlignment="1">
      <alignment horizontal="center" vertical="center"/>
    </xf>
    <xf numFmtId="1" fontId="8" fillId="3" borderId="28" xfId="0" applyNumberFormat="1" applyFont="1" applyFill="1" applyBorder="1" applyAlignment="1">
      <alignment horizontal="center" vertical="center"/>
    </xf>
    <xf numFmtId="1" fontId="8" fillId="3" borderId="29" xfId="0" applyNumberFormat="1" applyFont="1" applyFill="1" applyBorder="1" applyAlignment="1">
      <alignment horizontal="center" vertical="center"/>
    </xf>
    <xf numFmtId="1" fontId="8" fillId="3" borderId="30" xfId="0" applyNumberFormat="1" applyFont="1" applyFill="1" applyBorder="1" applyAlignment="1">
      <alignment horizontal="center" vertical="center"/>
    </xf>
    <xf numFmtId="1" fontId="8" fillId="3" borderId="31" xfId="0" applyNumberFormat="1" applyFont="1" applyFill="1" applyBorder="1" applyAlignment="1">
      <alignment horizontal="center" vertical="center"/>
    </xf>
    <xf numFmtId="4" fontId="8" fillId="3" borderId="10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6" fillId="3" borderId="35" xfId="0" applyFont="1" applyFill="1" applyBorder="1" applyAlignment="1">
      <alignment vertical="center"/>
    </xf>
    <xf numFmtId="0" fontId="6" fillId="3" borderId="34" xfId="0" applyFont="1" applyFill="1" applyBorder="1" applyAlignment="1">
      <alignment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3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10" fontId="6" fillId="3" borderId="32" xfId="0" applyNumberFormat="1" applyFont="1" applyFill="1" applyBorder="1" applyAlignment="1">
      <alignment horizontal="center" vertical="center"/>
    </xf>
    <xf numFmtId="10" fontId="6" fillId="3" borderId="33" xfId="0" applyNumberFormat="1" applyFont="1" applyFill="1" applyBorder="1" applyAlignment="1">
      <alignment horizontal="center" vertical="center"/>
    </xf>
    <xf numFmtId="0" fontId="32" fillId="10" borderId="18" xfId="18" applyFont="1" applyFill="1" applyBorder="1" applyAlignment="1">
      <alignment horizontal="center"/>
    </xf>
    <xf numFmtId="0" fontId="32" fillId="10" borderId="48" xfId="18" applyFont="1" applyFill="1" applyBorder="1" applyAlignment="1">
      <alignment horizontal="center"/>
    </xf>
    <xf numFmtId="0" fontId="32" fillId="10" borderId="47" xfId="18" applyFont="1" applyFill="1" applyBorder="1" applyAlignment="1">
      <alignment horizontal="center"/>
    </xf>
    <xf numFmtId="0" fontId="2" fillId="0" borderId="18" xfId="18" applyFont="1" applyBorder="1" applyAlignment="1">
      <alignment horizontal="right" vertical="center"/>
    </xf>
    <xf numFmtId="0" fontId="2" fillId="0" borderId="48" xfId="18" applyFont="1" applyBorder="1" applyAlignment="1">
      <alignment horizontal="right" vertical="center"/>
    </xf>
    <xf numFmtId="0" fontId="2" fillId="0" borderId="47" xfId="18" applyFont="1" applyBorder="1" applyAlignment="1">
      <alignment horizontal="right" vertical="center"/>
    </xf>
    <xf numFmtId="0" fontId="2" fillId="0" borderId="50" xfId="18" applyFont="1" applyBorder="1" applyAlignment="1">
      <alignment horizontal="right" vertical="center" wrapText="1"/>
    </xf>
    <xf numFmtId="0" fontId="2" fillId="0" borderId="48" xfId="18" applyFont="1" applyBorder="1" applyAlignment="1">
      <alignment horizontal="right" vertical="center" wrapText="1"/>
    </xf>
    <xf numFmtId="0" fontId="2" fillId="0" borderId="47" xfId="18" applyFont="1" applyBorder="1" applyAlignment="1">
      <alignment horizontal="right" vertical="center" wrapText="1"/>
    </xf>
  </cellXfs>
  <cellStyles count="83">
    <cellStyle name="Comma0" xfId="1"/>
    <cellStyle name="Currency0" xfId="2"/>
    <cellStyle name="Date" xfId="3"/>
    <cellStyle name="Euro" xfId="4"/>
    <cellStyle name="Fixed" xfId="5"/>
    <cellStyle name="Heading 1" xfId="6"/>
    <cellStyle name="Heading 2" xfId="7"/>
    <cellStyle name="Hyperlink 2" xfId="8"/>
    <cellStyle name="Moeda" xfId="9" builtinId="4"/>
    <cellStyle name="Moeda 2" xfId="10"/>
    <cellStyle name="Moeda 2 2" xfId="11"/>
    <cellStyle name="Moeda 2 3" xfId="80"/>
    <cellStyle name="Moeda 3" xfId="12"/>
    <cellStyle name="Moeda 4" xfId="13"/>
    <cellStyle name="Moeda 5" xfId="14"/>
    <cellStyle name="Normal" xfId="0" builtinId="0"/>
    <cellStyle name="Normal 10" xfId="15"/>
    <cellStyle name="Normal 10 2" xfId="16"/>
    <cellStyle name="Normal 10 3" xfId="17"/>
    <cellStyle name="Normal 10 4" xfId="18"/>
    <cellStyle name="Normal 11" xfId="19"/>
    <cellStyle name="Normal 11 2" xfId="20"/>
    <cellStyle name="Normal 12" xfId="21"/>
    <cellStyle name="Normal 13" xfId="22"/>
    <cellStyle name="Normal 14" xfId="23"/>
    <cellStyle name="Normal 15" xfId="24"/>
    <cellStyle name="Normal 16" xfId="73"/>
    <cellStyle name="Normal 2" xfId="25"/>
    <cellStyle name="Normal 2 2" xfId="26"/>
    <cellStyle name="Normal 2 2 2" xfId="27"/>
    <cellStyle name="Normal 2 2 3" xfId="28"/>
    <cellStyle name="Normal 2 3" xfId="29"/>
    <cellStyle name="Normal 2 4" xfId="30"/>
    <cellStyle name="Normal 2 5" xfId="75"/>
    <cellStyle name="Normal 3" xfId="31"/>
    <cellStyle name="Normal 3 2" xfId="79"/>
    <cellStyle name="Normal 3 3" xfId="77"/>
    <cellStyle name="Normal 4" xfId="32"/>
    <cellStyle name="Normal 4 2" xfId="33"/>
    <cellStyle name="Normal 4 2 2" xfId="34"/>
    <cellStyle name="Normal 4 2 3" xfId="35"/>
    <cellStyle name="Normal 4 2 4" xfId="36"/>
    <cellStyle name="Normal 4 2 5" xfId="81"/>
    <cellStyle name="Normal 4 3" xfId="37"/>
    <cellStyle name="Normal 4 4" xfId="38"/>
    <cellStyle name="Normal 5" xfId="39"/>
    <cellStyle name="Normal 5 2" xfId="40"/>
    <cellStyle name="Normal 5 3" xfId="41"/>
    <cellStyle name="Normal 5 4" xfId="42"/>
    <cellStyle name="Normal 6" xfId="43"/>
    <cellStyle name="Normal 6 2" xfId="82"/>
    <cellStyle name="Normal 7" xfId="44"/>
    <cellStyle name="Normal 7 2" xfId="45"/>
    <cellStyle name="Normal 8" xfId="46"/>
    <cellStyle name="Normal 8 2" xfId="47"/>
    <cellStyle name="Normal 9" xfId="48"/>
    <cellStyle name="Normal 9 2" xfId="49"/>
    <cellStyle name="Porcentagem" xfId="50" builtinId="5"/>
    <cellStyle name="Porcentagem 12" xfId="51"/>
    <cellStyle name="Porcentagem 12 2" xfId="52"/>
    <cellStyle name="Porcentagem 12 3" xfId="53"/>
    <cellStyle name="Porcentagem 2" xfId="54"/>
    <cellStyle name="Porcentagem 3" xfId="55"/>
    <cellStyle name="Porcentagem 3 2" xfId="56"/>
    <cellStyle name="Porcentagem 4" xfId="57"/>
    <cellStyle name="Porcentagem 5" xfId="58"/>
    <cellStyle name="Porcentagem 6" xfId="59"/>
    <cellStyle name="Separador de milhares" xfId="71" builtinId="3"/>
    <cellStyle name="Separador de milhares 2" xfId="60"/>
    <cellStyle name="Separador de milhares 2 2" xfId="61"/>
    <cellStyle name="Separador de milhares 2 2 2" xfId="62"/>
    <cellStyle name="Separador de milhares 2 3" xfId="63"/>
    <cellStyle name="Separador de milhares 3" xfId="64"/>
    <cellStyle name="Separador de milhares 4" xfId="65"/>
    <cellStyle name="Separador de milhares 5" xfId="66"/>
    <cellStyle name="Separador de milhares 6" xfId="67"/>
    <cellStyle name="Separador de milhares 7" xfId="68"/>
    <cellStyle name="Separador de milhares 8" xfId="69"/>
    <cellStyle name="Título 1 1" xfId="70"/>
    <cellStyle name="Vírgula 2" xfId="72"/>
    <cellStyle name="Vírgula 2 2" xfId="78"/>
    <cellStyle name="Vírgula 3" xfId="76"/>
    <cellStyle name="Vírgula 4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521805</xdr:colOff>
      <xdr:row>0</xdr:row>
      <xdr:rowOff>345799</xdr:rowOff>
    </xdr:from>
    <xdr:to>
      <xdr:col>9</xdr:col>
      <xdr:colOff>738899</xdr:colOff>
      <xdr:row>6</xdr:row>
      <xdr:rowOff>7522</xdr:rowOff>
    </xdr:to>
    <xdr:pic>
      <xdr:nvPicPr>
        <xdr:cNvPr id="2" name="Imagem 1" descr="Logo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78479" y="345799"/>
          <a:ext cx="1128181" cy="8461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609599</xdr:colOff>
      <xdr:row>8</xdr:row>
      <xdr:rowOff>0</xdr:rowOff>
    </xdr:from>
    <xdr:to>
      <xdr:col>3</xdr:col>
      <xdr:colOff>612733</xdr:colOff>
      <xdr:row>9</xdr:row>
      <xdr:rowOff>142876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599" y="6410325"/>
          <a:ext cx="3134" cy="304801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9</xdr:row>
      <xdr:rowOff>9525</xdr:rowOff>
    </xdr:from>
    <xdr:to>
      <xdr:col>4</xdr:col>
      <xdr:colOff>6009</xdr:colOff>
      <xdr:row>9</xdr:row>
      <xdr:rowOff>457200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495300"/>
          <a:ext cx="891834" cy="44767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19</xdr:row>
      <xdr:rowOff>22177</xdr:rowOff>
    </xdr:from>
    <xdr:to>
      <xdr:col>3</xdr:col>
      <xdr:colOff>866775</xdr:colOff>
      <xdr:row>19</xdr:row>
      <xdr:rowOff>438149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66900" y="5603827"/>
          <a:ext cx="828675" cy="415972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69</xdr:row>
      <xdr:rowOff>9524</xdr:rowOff>
    </xdr:from>
    <xdr:to>
      <xdr:col>4</xdr:col>
      <xdr:colOff>6009</xdr:colOff>
      <xdr:row>69</xdr:row>
      <xdr:rowOff>381000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7639049"/>
          <a:ext cx="891834" cy="37147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1</xdr:row>
      <xdr:rowOff>9524</xdr:rowOff>
    </xdr:from>
    <xdr:to>
      <xdr:col>4</xdr:col>
      <xdr:colOff>6009</xdr:colOff>
      <xdr:row>1</xdr:row>
      <xdr:rowOff>419100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71449"/>
          <a:ext cx="891834" cy="40957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26</xdr:row>
      <xdr:rowOff>9524</xdr:rowOff>
    </xdr:from>
    <xdr:to>
      <xdr:col>4</xdr:col>
      <xdr:colOff>6009</xdr:colOff>
      <xdr:row>27</xdr:row>
      <xdr:rowOff>0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7791449"/>
          <a:ext cx="891834" cy="48577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35</xdr:row>
      <xdr:rowOff>9524</xdr:rowOff>
    </xdr:from>
    <xdr:to>
      <xdr:col>4</xdr:col>
      <xdr:colOff>6009</xdr:colOff>
      <xdr:row>36</xdr:row>
      <xdr:rowOff>0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0372724"/>
          <a:ext cx="891834" cy="35242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41</xdr:row>
      <xdr:rowOff>9524</xdr:rowOff>
    </xdr:from>
    <xdr:to>
      <xdr:col>4</xdr:col>
      <xdr:colOff>6009</xdr:colOff>
      <xdr:row>41</xdr:row>
      <xdr:rowOff>400050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2011024"/>
          <a:ext cx="891834" cy="39052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47</xdr:row>
      <xdr:rowOff>9524</xdr:rowOff>
    </xdr:from>
    <xdr:to>
      <xdr:col>4</xdr:col>
      <xdr:colOff>6009</xdr:colOff>
      <xdr:row>47</xdr:row>
      <xdr:rowOff>390526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3696949"/>
          <a:ext cx="891834" cy="381002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54</xdr:row>
      <xdr:rowOff>9524</xdr:rowOff>
    </xdr:from>
    <xdr:to>
      <xdr:col>4</xdr:col>
      <xdr:colOff>6009</xdr:colOff>
      <xdr:row>54</xdr:row>
      <xdr:rowOff>514350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5716249"/>
          <a:ext cx="891834" cy="50482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60</xdr:row>
      <xdr:rowOff>9522</xdr:rowOff>
    </xdr:from>
    <xdr:to>
      <xdr:col>4</xdr:col>
      <xdr:colOff>6009</xdr:colOff>
      <xdr:row>61</xdr:row>
      <xdr:rowOff>0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17545047"/>
          <a:ext cx="891834" cy="438153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85</xdr:row>
      <xdr:rowOff>9524</xdr:rowOff>
    </xdr:from>
    <xdr:to>
      <xdr:col>4</xdr:col>
      <xdr:colOff>6009</xdr:colOff>
      <xdr:row>85</xdr:row>
      <xdr:rowOff>447675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5475" y="23383874"/>
          <a:ext cx="891834" cy="4381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OJETOS\COPA\Av.%20Anita\Grupo\CRIST&#211;V&#195;O\or&#231;amento%20Crist&#243;v&#227;o%2022-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po\Dropbox\Ber%20Projetos%20e%20Obras\Andr&#233;\PAC_OR&#199;AMENTO_E_CRONOGRAMA_2013_desonerad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COPA%20LICITA&#199;&#195;O\Av.%20Julio%20de%20Castilhos\MATERIAL%20GRUPO\GRUPO\TP%20SMOV%20JANEIRO%202011_juli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ORÇAMENTO"/>
      <sheetName val="CRONOGRAMA"/>
      <sheetName val="MEDIÇÃO RETIFICADA"/>
      <sheetName val="Planilha15"/>
      <sheetName val="OFICIO"/>
      <sheetName val="RESUMO EMPREENDIMENTO"/>
      <sheetName val="BOLETIM"/>
    </sheetNames>
    <sheetDataSet>
      <sheetData sheetId="0"/>
      <sheetData sheetId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AD ME"/>
      <sheetName val="C.P.02.081028.10.5"/>
      <sheetName val="Comparativo"/>
      <sheetName val="Dados"/>
      <sheetName val="Lista CPUs"/>
      <sheetName val="CPUs"/>
      <sheetName val="Equipamentos 1"/>
      <sheetName val="Ct Hor Equip 2"/>
      <sheetName val="M.Obra 3"/>
      <sheetName val="Ct Hor MDO 4"/>
      <sheetName val="Materiais 5"/>
      <sheetName val="Transportes 6"/>
      <sheetName val="Ensaios Pav.Asfáltica 7"/>
      <sheetName val="Ensaios Base 8"/>
      <sheetName val="Nº ENSAIOS 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AA8">
            <v>1.9735</v>
          </cell>
          <cell r="AC8">
            <v>0.2064</v>
          </cell>
        </row>
        <row r="9">
          <cell r="AA9">
            <v>2.1135999999999999</v>
          </cell>
          <cell r="AC9">
            <v>2.59</v>
          </cell>
        </row>
      </sheetData>
      <sheetData sheetId="8" refreshError="1"/>
      <sheetData sheetId="9" refreshError="1">
        <row r="8">
          <cell r="P8">
            <v>2.1135999999999999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4"/>
  <sheetViews>
    <sheetView tabSelected="1" view="pageBreakPreview" topLeftCell="A25" zoomScale="115" zoomScaleSheetLayoutView="115" zoomScalePageLayoutView="75" workbookViewId="0">
      <selection activeCell="L11" sqref="L11:N11"/>
    </sheetView>
  </sheetViews>
  <sheetFormatPr defaultRowHeight="12.75"/>
  <cols>
    <col min="1" max="1" width="5" style="29" customWidth="1"/>
    <col min="2" max="2" width="90.85546875" style="29" customWidth="1"/>
    <col min="3" max="3" width="9.140625" style="29" bestFit="1" customWidth="1"/>
    <col min="4" max="4" width="14.5703125" style="77" customWidth="1"/>
    <col min="5" max="5" width="3.5703125" style="38" customWidth="1"/>
    <col min="6" max="6" width="17.85546875" style="29" bestFit="1" customWidth="1"/>
    <col min="7" max="7" width="17.85546875" style="75" bestFit="1" customWidth="1"/>
    <col min="8" max="8" width="9.140625" style="29" customWidth="1"/>
    <col min="9" max="9" width="13.7109375" style="29" bestFit="1" customWidth="1"/>
    <col min="10" max="10" width="11.42578125" style="29" customWidth="1"/>
    <col min="11" max="11" width="1.7109375" style="30" customWidth="1"/>
    <col min="12" max="12" width="8.7109375" style="30" customWidth="1"/>
    <col min="13" max="13" width="10.5703125" style="30" customWidth="1"/>
    <col min="14" max="14" width="11.7109375" style="30" bestFit="1" customWidth="1"/>
    <col min="15" max="15" width="11.28515625" style="30" bestFit="1" customWidth="1"/>
    <col min="16" max="16384" width="9.140625" style="30"/>
  </cols>
  <sheetData>
    <row r="1" spans="1:14" ht="30" customHeight="1">
      <c r="A1" s="139" t="s">
        <v>6</v>
      </c>
      <c r="B1" s="140"/>
      <c r="C1" s="140"/>
      <c r="D1" s="140"/>
      <c r="E1" s="140"/>
      <c r="F1" s="140"/>
      <c r="G1" s="140"/>
      <c r="H1" s="140"/>
      <c r="I1" s="140"/>
      <c r="J1" s="141"/>
      <c r="K1" s="29"/>
    </row>
    <row r="2" spans="1:14" ht="9" customHeight="1">
      <c r="A2" s="142"/>
      <c r="B2" s="143"/>
      <c r="C2" s="143"/>
      <c r="D2" s="143"/>
      <c r="E2" s="143"/>
      <c r="F2" s="143"/>
      <c r="G2" s="143"/>
      <c r="H2" s="143"/>
      <c r="I2" s="143"/>
      <c r="J2" s="144"/>
      <c r="K2" s="29"/>
    </row>
    <row r="3" spans="1:14" ht="14.25">
      <c r="A3" s="51" t="s">
        <v>82</v>
      </c>
      <c r="B3" s="50"/>
      <c r="C3" s="50"/>
      <c r="D3" s="52"/>
      <c r="E3" s="53"/>
      <c r="F3" s="37"/>
      <c r="G3" s="54"/>
      <c r="H3" s="55"/>
      <c r="I3" s="56"/>
      <c r="J3" s="57"/>
      <c r="K3" s="29"/>
    </row>
    <row r="4" spans="1:14">
      <c r="A4" s="51" t="s">
        <v>83</v>
      </c>
      <c r="B4" s="50"/>
      <c r="C4" s="50"/>
      <c r="D4" s="52"/>
      <c r="E4" s="53"/>
      <c r="F4" s="50"/>
      <c r="G4" s="55"/>
      <c r="H4" s="134"/>
      <c r="I4" s="135"/>
      <c r="J4" s="58"/>
      <c r="K4" s="29"/>
      <c r="L4" s="76"/>
    </row>
    <row r="5" spans="1:14">
      <c r="A5" s="51" t="s">
        <v>84</v>
      </c>
      <c r="B5" s="50"/>
      <c r="C5" s="50"/>
      <c r="D5" s="52"/>
      <c r="E5" s="53"/>
      <c r="F5" s="50"/>
      <c r="G5" s="55"/>
      <c r="H5" s="136"/>
      <c r="I5" s="136"/>
      <c r="J5" s="58"/>
      <c r="K5" s="29"/>
    </row>
    <row r="6" spans="1:14" ht="13.5" thickBot="1">
      <c r="A6" s="59" t="s">
        <v>39</v>
      </c>
      <c r="B6" s="50"/>
      <c r="C6" s="50"/>
      <c r="D6" s="52"/>
      <c r="E6" s="150" t="s">
        <v>19</v>
      </c>
      <c r="F6" s="150"/>
      <c r="G6" s="69">
        <v>0.22</v>
      </c>
      <c r="H6" s="55"/>
      <c r="I6" s="37"/>
      <c r="J6" s="58"/>
      <c r="K6" s="29"/>
    </row>
    <row r="7" spans="1:14" ht="13.5" customHeight="1">
      <c r="A7" s="154" t="s">
        <v>1</v>
      </c>
      <c r="B7" s="145" t="s">
        <v>7</v>
      </c>
      <c r="C7" s="159" t="s">
        <v>23</v>
      </c>
      <c r="D7" s="160"/>
      <c r="E7" s="145" t="s">
        <v>8</v>
      </c>
      <c r="F7" s="157" t="s">
        <v>9</v>
      </c>
      <c r="G7" s="148" t="s">
        <v>15</v>
      </c>
      <c r="H7" s="148" t="s">
        <v>18</v>
      </c>
      <c r="I7" s="148" t="s">
        <v>17</v>
      </c>
      <c r="J7" s="151" t="s">
        <v>2</v>
      </c>
      <c r="K7" s="29"/>
    </row>
    <row r="8" spans="1:14">
      <c r="A8" s="155"/>
      <c r="B8" s="146"/>
      <c r="C8" s="161"/>
      <c r="D8" s="162"/>
      <c r="E8" s="146"/>
      <c r="F8" s="158"/>
      <c r="G8" s="149"/>
      <c r="H8" s="149"/>
      <c r="I8" s="149"/>
      <c r="J8" s="152"/>
      <c r="K8" s="29"/>
    </row>
    <row r="9" spans="1:14" ht="13.5" thickBot="1">
      <c r="A9" s="156"/>
      <c r="B9" s="147"/>
      <c r="C9" s="163"/>
      <c r="D9" s="164"/>
      <c r="E9" s="147"/>
      <c r="F9" s="32" t="s">
        <v>10</v>
      </c>
      <c r="G9" s="33" t="s">
        <v>16</v>
      </c>
      <c r="H9" s="33" t="s">
        <v>20</v>
      </c>
      <c r="I9" s="165"/>
      <c r="J9" s="153"/>
      <c r="K9" s="29"/>
    </row>
    <row r="10" spans="1:14" s="37" customFormat="1" ht="8.25" customHeight="1" thickBot="1">
      <c r="A10" s="34"/>
      <c r="B10" s="34"/>
      <c r="C10" s="34"/>
      <c r="D10" s="34"/>
      <c r="E10" s="34"/>
      <c r="F10" s="34"/>
      <c r="G10" s="34"/>
      <c r="H10" s="35"/>
      <c r="I10" s="35"/>
      <c r="J10" s="36"/>
    </row>
    <row r="11" spans="1:14" ht="18" customHeight="1">
      <c r="A11" s="65">
        <v>1</v>
      </c>
      <c r="B11" s="130" t="s">
        <v>13</v>
      </c>
      <c r="C11" s="131"/>
      <c r="D11" s="131"/>
      <c r="E11" s="131"/>
      <c r="F11" s="131"/>
      <c r="G11" s="131"/>
      <c r="H11" s="131"/>
      <c r="I11" s="131"/>
      <c r="J11" s="132"/>
      <c r="K11" s="29"/>
      <c r="L11" s="123" t="s">
        <v>164</v>
      </c>
      <c r="M11" s="123" t="s">
        <v>165</v>
      </c>
      <c r="N11" s="123" t="s">
        <v>166</v>
      </c>
    </row>
    <row r="12" spans="1:14" ht="12.75" customHeight="1">
      <c r="A12" s="80" t="s">
        <v>12</v>
      </c>
      <c r="B12" s="83" t="s">
        <v>33</v>
      </c>
      <c r="C12" s="44" t="s">
        <v>24</v>
      </c>
      <c r="D12" s="66">
        <v>4813</v>
      </c>
      <c r="E12" s="66" t="s">
        <v>27</v>
      </c>
      <c r="F12" s="82">
        <f>2.4*1.2</f>
        <v>2.88</v>
      </c>
      <c r="G12" s="71">
        <v>400</v>
      </c>
      <c r="H12" s="45">
        <f>ROUND(G12*(1+$G$6),2)</f>
        <v>488</v>
      </c>
      <c r="I12" s="46">
        <f>ROUND(F12*H12,2)</f>
        <v>1405.44</v>
      </c>
      <c r="J12" s="47">
        <f>ROUND(I12/$I$15,4)</f>
        <v>0.13639999999999999</v>
      </c>
      <c r="K12" s="29"/>
      <c r="L12" s="30">
        <v>400</v>
      </c>
      <c r="N12" s="30">
        <f>M12+L12</f>
        <v>400</v>
      </c>
    </row>
    <row r="13" spans="1:14" ht="34.5" customHeight="1">
      <c r="A13" s="80" t="s">
        <v>153</v>
      </c>
      <c r="B13" s="105" t="s">
        <v>149</v>
      </c>
      <c r="C13" s="106">
        <v>10775</v>
      </c>
      <c r="D13" s="106" t="s">
        <v>150</v>
      </c>
      <c r="E13" s="106">
        <v>1</v>
      </c>
      <c r="F13" s="107">
        <v>1000</v>
      </c>
      <c r="G13" s="108">
        <f t="shared" ref="G13:G14" si="0">F13+F13*0.22</f>
        <v>1220</v>
      </c>
      <c r="H13" s="45">
        <f t="shared" ref="H13:H14" si="1">ROUND(G13*(1+$G$6),2)</f>
        <v>1488.4</v>
      </c>
      <c r="I13" s="46">
        <f>E13*H13</f>
        <v>1488.4</v>
      </c>
      <c r="J13" s="47">
        <f t="shared" ref="J13:J14" si="2">ROUND(I13/$I$15,4)</f>
        <v>0.14449999999999999</v>
      </c>
      <c r="K13" s="29"/>
      <c r="L13" s="30">
        <v>1000</v>
      </c>
      <c r="N13" s="30">
        <f t="shared" ref="N13:N55" si="3">M13+L13</f>
        <v>1000</v>
      </c>
    </row>
    <row r="14" spans="1:14" ht="12.75" customHeight="1">
      <c r="A14" s="80" t="s">
        <v>154</v>
      </c>
      <c r="B14" s="109" t="s">
        <v>151</v>
      </c>
      <c r="C14" s="106">
        <v>90778</v>
      </c>
      <c r="D14" s="106" t="s">
        <v>152</v>
      </c>
      <c r="E14" s="106">
        <v>40</v>
      </c>
      <c r="F14" s="107">
        <v>124.45</v>
      </c>
      <c r="G14" s="108">
        <f t="shared" si="0"/>
        <v>151.83000000000001</v>
      </c>
      <c r="H14" s="45">
        <f t="shared" si="1"/>
        <v>185.23</v>
      </c>
      <c r="I14" s="46">
        <f>E14*H14</f>
        <v>7409.2</v>
      </c>
      <c r="J14" s="47">
        <f t="shared" si="2"/>
        <v>0.71909999999999996</v>
      </c>
      <c r="K14" s="29"/>
      <c r="M14" s="30">
        <v>124.45</v>
      </c>
      <c r="N14" s="30">
        <f t="shared" si="3"/>
        <v>124.45</v>
      </c>
    </row>
    <row r="15" spans="1:14" ht="12.75" customHeight="1" thickBot="1">
      <c r="A15" s="128" t="s">
        <v>22</v>
      </c>
      <c r="B15" s="129"/>
      <c r="C15" s="129"/>
      <c r="D15" s="129"/>
      <c r="E15" s="129"/>
      <c r="F15" s="129"/>
      <c r="G15" s="129"/>
      <c r="H15" s="39">
        <f>$A$11</f>
        <v>1</v>
      </c>
      <c r="I15" s="42">
        <f>I12+I13+I14</f>
        <v>10303.040000000001</v>
      </c>
      <c r="J15" s="41">
        <f>ROUND(I15/$I$59,4)</f>
        <v>0.1764</v>
      </c>
      <c r="K15" s="29"/>
      <c r="L15" s="61"/>
    </row>
    <row r="16" spans="1:14" ht="12.75" customHeight="1">
      <c r="A16" s="65">
        <v>2</v>
      </c>
      <c r="B16" s="130" t="s">
        <v>115</v>
      </c>
      <c r="C16" s="131"/>
      <c r="D16" s="131"/>
      <c r="E16" s="131"/>
      <c r="F16" s="131"/>
      <c r="G16" s="131"/>
      <c r="H16" s="131"/>
      <c r="I16" s="131"/>
      <c r="J16" s="132"/>
      <c r="K16" s="29"/>
      <c r="L16" s="60"/>
    </row>
    <row r="17" spans="1:14" ht="12.75" customHeight="1">
      <c r="A17" s="43" t="s">
        <v>53</v>
      </c>
      <c r="B17" s="64" t="s">
        <v>57</v>
      </c>
      <c r="C17" s="44" t="s">
        <v>24</v>
      </c>
      <c r="D17" s="66">
        <v>87775</v>
      </c>
      <c r="E17" s="66" t="s">
        <v>27</v>
      </c>
      <c r="F17" s="67">
        <v>20</v>
      </c>
      <c r="G17" s="71">
        <v>56.46</v>
      </c>
      <c r="H17" s="45">
        <f t="shared" ref="H17" si="4">ROUND(G17*(1+$G$6),2)</f>
        <v>68.88</v>
      </c>
      <c r="I17" s="46">
        <f t="shared" ref="I17:I19" si="5">ROUND(F17*H17,2)</f>
        <v>1377.6</v>
      </c>
      <c r="J17" s="47">
        <f>ROUND(I17/$I$20,4)</f>
        <v>0.1338</v>
      </c>
      <c r="K17" s="29"/>
      <c r="L17" s="91">
        <f>0.05+25.36</f>
        <v>25.41</v>
      </c>
      <c r="M17" s="91">
        <v>31.05</v>
      </c>
      <c r="N17" s="91">
        <f t="shared" ref="N17:N18" si="6">L17+M17</f>
        <v>56.46</v>
      </c>
    </row>
    <row r="18" spans="1:14" ht="12.75" customHeight="1">
      <c r="A18" s="43" t="s">
        <v>54</v>
      </c>
      <c r="B18" s="64" t="s">
        <v>58</v>
      </c>
      <c r="C18" s="44" t="s">
        <v>24</v>
      </c>
      <c r="D18" s="66">
        <v>87530</v>
      </c>
      <c r="E18" s="66" t="s">
        <v>27</v>
      </c>
      <c r="F18" s="67">
        <v>20</v>
      </c>
      <c r="G18" s="71">
        <v>40.01</v>
      </c>
      <c r="H18" s="45">
        <f t="shared" ref="H18" si="7">ROUND(G18*(1+$G$6),2)</f>
        <v>48.81</v>
      </c>
      <c r="I18" s="46">
        <f t="shared" si="5"/>
        <v>976.2</v>
      </c>
      <c r="J18" s="47">
        <f>ROUND(I18/$I$20,4)</f>
        <v>9.4799999999999995E-2</v>
      </c>
      <c r="K18" s="29"/>
      <c r="L18" s="91">
        <v>19.59</v>
      </c>
      <c r="M18" s="91">
        <v>20.420000000000002</v>
      </c>
      <c r="N18" s="91">
        <f t="shared" si="6"/>
        <v>40.01</v>
      </c>
    </row>
    <row r="19" spans="1:14" ht="12.75" customHeight="1">
      <c r="A19" s="43" t="s">
        <v>147</v>
      </c>
      <c r="B19" s="100" t="s">
        <v>145</v>
      </c>
      <c r="C19" s="101" t="s">
        <v>24</v>
      </c>
      <c r="D19" s="66" t="s">
        <v>162</v>
      </c>
      <c r="E19" s="66" t="s">
        <v>75</v>
      </c>
      <c r="F19" s="67">
        <v>145</v>
      </c>
      <c r="G19" s="102">
        <v>44.9</v>
      </c>
      <c r="H19" s="103">
        <f>G19+G19*0.22</f>
        <v>54.78</v>
      </c>
      <c r="I19" s="46">
        <f t="shared" si="5"/>
        <v>7943.1</v>
      </c>
      <c r="J19" s="47">
        <f>ROUND(I19/$I$20,4)</f>
        <v>0.77139999999999997</v>
      </c>
      <c r="K19" s="29"/>
      <c r="L19" s="60"/>
      <c r="N19" s="30">
        <f t="shared" si="3"/>
        <v>0</v>
      </c>
    </row>
    <row r="20" spans="1:14" ht="12.75" customHeight="1" thickBot="1">
      <c r="A20" s="128" t="s">
        <v>22</v>
      </c>
      <c r="B20" s="129"/>
      <c r="C20" s="129"/>
      <c r="D20" s="129"/>
      <c r="E20" s="129"/>
      <c r="F20" s="129"/>
      <c r="G20" s="129"/>
      <c r="H20" s="39">
        <f>A16</f>
        <v>2</v>
      </c>
      <c r="I20" s="42">
        <f>I17+I18+I19</f>
        <v>10296.9</v>
      </c>
      <c r="J20" s="41">
        <f>ROUND(I20/$I$59,4)</f>
        <v>0.17630000000000001</v>
      </c>
      <c r="K20" s="29"/>
      <c r="L20" s="60"/>
    </row>
    <row r="21" spans="1:14" ht="12.75" customHeight="1">
      <c r="A21" s="65">
        <v>3</v>
      </c>
      <c r="B21" s="130" t="s">
        <v>26</v>
      </c>
      <c r="C21" s="131"/>
      <c r="D21" s="131"/>
      <c r="E21" s="131"/>
      <c r="F21" s="131"/>
      <c r="G21" s="131"/>
      <c r="H21" s="131"/>
      <c r="I21" s="131"/>
      <c r="J21" s="132"/>
      <c r="K21" s="29"/>
      <c r="L21" s="60"/>
    </row>
    <row r="22" spans="1:14" ht="12.75" customHeight="1">
      <c r="A22" s="43" t="s">
        <v>55</v>
      </c>
      <c r="B22" s="64" t="s">
        <v>107</v>
      </c>
      <c r="C22" s="44" t="s">
        <v>24</v>
      </c>
      <c r="D22" s="66">
        <v>88489</v>
      </c>
      <c r="E22" s="66" t="s">
        <v>27</v>
      </c>
      <c r="F22" s="67">
        <v>478</v>
      </c>
      <c r="G22" s="71">
        <v>13.83</v>
      </c>
      <c r="H22" s="45">
        <f t="shared" ref="H22" si="8">ROUND(G22*(1+$G$6),2)</f>
        <v>16.87</v>
      </c>
      <c r="I22" s="46">
        <f t="shared" ref="I22:I25" si="9">ROUND(F22*H22,2)</f>
        <v>8063.86</v>
      </c>
      <c r="J22" s="47">
        <f>ROUND(I22/$I$26,4)</f>
        <v>0.44969999999999999</v>
      </c>
      <c r="K22" s="29"/>
      <c r="L22" s="124">
        <v>9.32</v>
      </c>
      <c r="M22" s="76">
        <v>4.51</v>
      </c>
      <c r="N22" s="91">
        <f t="shared" ref="N22:N23" si="10">L22+M22</f>
        <v>13.83</v>
      </c>
    </row>
    <row r="23" spans="1:14" s="76" customFormat="1" ht="12.75" customHeight="1">
      <c r="A23" s="43" t="s">
        <v>139</v>
      </c>
      <c r="B23" s="81" t="s">
        <v>78</v>
      </c>
      <c r="C23" s="70" t="s">
        <v>24</v>
      </c>
      <c r="D23" s="66">
        <v>102217</v>
      </c>
      <c r="E23" s="66" t="s">
        <v>27</v>
      </c>
      <c r="F23" s="67">
        <v>122.5</v>
      </c>
      <c r="G23" s="71">
        <v>17.87</v>
      </c>
      <c r="H23" s="72">
        <f t="shared" ref="H23" si="11">ROUND(G23*(1+$G$6),2)</f>
        <v>21.8</v>
      </c>
      <c r="I23" s="46">
        <f t="shared" si="9"/>
        <v>2670.5</v>
      </c>
      <c r="J23" s="74">
        <f>ROUND(I23/$I$26,4)</f>
        <v>0.1489</v>
      </c>
      <c r="K23" s="75"/>
      <c r="L23" s="124">
        <v>9.52</v>
      </c>
      <c r="M23" s="76">
        <v>8.35</v>
      </c>
      <c r="N23" s="91">
        <f t="shared" si="10"/>
        <v>17.87</v>
      </c>
    </row>
    <row r="24" spans="1:14" s="76" customFormat="1" ht="12.75" customHeight="1">
      <c r="A24" s="43" t="s">
        <v>146</v>
      </c>
      <c r="B24" s="104" t="s">
        <v>148</v>
      </c>
      <c r="C24" s="101" t="s">
        <v>24</v>
      </c>
      <c r="D24" s="66">
        <v>88411</v>
      </c>
      <c r="E24" s="66" t="s">
        <v>27</v>
      </c>
      <c r="F24" s="67">
        <v>425</v>
      </c>
      <c r="G24" s="102">
        <v>4.0599999999999996</v>
      </c>
      <c r="H24" s="103">
        <f t="shared" ref="H24:H25" si="12">G24+G24*0.22</f>
        <v>4.95</v>
      </c>
      <c r="I24" s="46">
        <f t="shared" si="9"/>
        <v>2103.75</v>
      </c>
      <c r="J24" s="74">
        <f t="shared" ref="J24:J25" si="13">ROUND(I24/$I$26,4)</f>
        <v>0.1173</v>
      </c>
      <c r="K24" s="75"/>
      <c r="L24" s="124">
        <v>2.8</v>
      </c>
      <c r="M24" s="76">
        <v>1.26</v>
      </c>
      <c r="N24" s="30">
        <f t="shared" si="3"/>
        <v>4.0599999999999996</v>
      </c>
    </row>
    <row r="25" spans="1:14" s="76" customFormat="1" ht="12.75" customHeight="1">
      <c r="A25" s="43" t="s">
        <v>155</v>
      </c>
      <c r="B25" s="110" t="s">
        <v>157</v>
      </c>
      <c r="C25" s="101" t="s">
        <v>24</v>
      </c>
      <c r="D25" s="111">
        <v>96130</v>
      </c>
      <c r="E25" s="66" t="s">
        <v>156</v>
      </c>
      <c r="F25" s="82">
        <v>202</v>
      </c>
      <c r="G25" s="102">
        <v>20.67</v>
      </c>
      <c r="H25" s="103">
        <f t="shared" si="12"/>
        <v>25.22</v>
      </c>
      <c r="I25" s="46">
        <f t="shared" si="9"/>
        <v>5094.4399999999996</v>
      </c>
      <c r="J25" s="74">
        <f t="shared" si="13"/>
        <v>0.28410000000000002</v>
      </c>
      <c r="K25" s="75"/>
      <c r="L25" s="124">
        <v>9.9499999999999993</v>
      </c>
      <c r="M25" s="76">
        <v>10.72</v>
      </c>
      <c r="N25" s="30">
        <f t="shared" si="3"/>
        <v>20.67</v>
      </c>
    </row>
    <row r="26" spans="1:14" ht="12.75" customHeight="1" thickBot="1">
      <c r="A26" s="128" t="s">
        <v>22</v>
      </c>
      <c r="B26" s="129"/>
      <c r="C26" s="129"/>
      <c r="D26" s="129"/>
      <c r="E26" s="129"/>
      <c r="F26" s="129"/>
      <c r="G26" s="129"/>
      <c r="H26" s="39">
        <f>A21</f>
        <v>3</v>
      </c>
      <c r="I26" s="42">
        <f>I22+I23+I24+I25</f>
        <v>17932.55</v>
      </c>
      <c r="J26" s="41">
        <f>ROUND(I26/$I$59,4)</f>
        <v>0.30709999999999998</v>
      </c>
      <c r="K26" s="29"/>
      <c r="L26" s="125"/>
    </row>
    <row r="27" spans="1:14" ht="12.75" customHeight="1">
      <c r="A27" s="65">
        <v>4</v>
      </c>
      <c r="B27" s="130" t="s">
        <v>101</v>
      </c>
      <c r="C27" s="131"/>
      <c r="D27" s="131"/>
      <c r="E27" s="131"/>
      <c r="F27" s="131"/>
      <c r="G27" s="131"/>
      <c r="H27" s="131"/>
      <c r="I27" s="131"/>
      <c r="J27" s="132"/>
      <c r="K27" s="29"/>
      <c r="L27" s="125"/>
    </row>
    <row r="28" spans="1:14" ht="12.75" customHeight="1">
      <c r="A28" s="80" t="s">
        <v>29</v>
      </c>
      <c r="B28" s="64" t="s">
        <v>102</v>
      </c>
      <c r="C28" s="126" t="s">
        <v>47</v>
      </c>
      <c r="D28" s="133"/>
      <c r="E28" s="66" t="s">
        <v>27</v>
      </c>
      <c r="F28" s="67">
        <f>104+86</f>
        <v>190</v>
      </c>
      <c r="G28" s="71">
        <f>COMP!J7</f>
        <v>43.36</v>
      </c>
      <c r="H28" s="45">
        <f t="shared" ref="H28" si="14">ROUND(G28*(1+$G$6),2)</f>
        <v>52.9</v>
      </c>
      <c r="I28" s="46">
        <f t="shared" ref="I28" si="15">ROUND(F28*H28,2)</f>
        <v>10051</v>
      </c>
      <c r="J28" s="47">
        <f>ROUND(I28/$I$48,4)</f>
        <v>25.215800000000002</v>
      </c>
      <c r="K28" s="29"/>
      <c r="L28" s="125"/>
      <c r="N28" s="30">
        <f t="shared" si="3"/>
        <v>0</v>
      </c>
    </row>
    <row r="29" spans="1:14" ht="12.75" customHeight="1" thickBot="1">
      <c r="A29" s="128" t="s">
        <v>22</v>
      </c>
      <c r="B29" s="129"/>
      <c r="C29" s="129"/>
      <c r="D29" s="129"/>
      <c r="E29" s="129"/>
      <c r="F29" s="129"/>
      <c r="G29" s="129"/>
      <c r="H29" s="39">
        <f>A27</f>
        <v>4</v>
      </c>
      <c r="I29" s="42">
        <f>I28</f>
        <v>10051</v>
      </c>
      <c r="J29" s="41">
        <f>ROUND(I29/$I$59,4)</f>
        <v>0.1721</v>
      </c>
      <c r="K29" s="29"/>
      <c r="L29" s="125"/>
    </row>
    <row r="30" spans="1:14" ht="12.75" customHeight="1">
      <c r="A30" s="65">
        <v>5</v>
      </c>
      <c r="B30" s="130" t="s">
        <v>52</v>
      </c>
      <c r="C30" s="131"/>
      <c r="D30" s="131"/>
      <c r="E30" s="131"/>
      <c r="F30" s="131"/>
      <c r="G30" s="131"/>
      <c r="H30" s="131"/>
      <c r="I30" s="131"/>
      <c r="J30" s="132"/>
      <c r="K30" s="29"/>
      <c r="L30" s="125"/>
    </row>
    <row r="31" spans="1:14" ht="12.75" customHeight="1">
      <c r="A31" s="43" t="s">
        <v>30</v>
      </c>
      <c r="B31" s="81" t="s">
        <v>93</v>
      </c>
      <c r="C31" s="70" t="s">
        <v>24</v>
      </c>
      <c r="D31" s="66">
        <v>90791</v>
      </c>
      <c r="E31" s="66" t="s">
        <v>28</v>
      </c>
      <c r="F31" s="99">
        <v>1</v>
      </c>
      <c r="G31" s="71">
        <v>1217.52</v>
      </c>
      <c r="H31" s="72">
        <f t="shared" ref="H31" si="16">ROUND(G31*(1+$G$6),2)</f>
        <v>1485.37</v>
      </c>
      <c r="I31" s="73">
        <f t="shared" ref="I31" si="17">ROUND(F31*H31,2)</f>
        <v>1485.37</v>
      </c>
      <c r="J31" s="74">
        <f t="shared" ref="J31" si="18">ROUND(I31/$I$26,4)</f>
        <v>8.2799999999999999E-2</v>
      </c>
      <c r="K31" s="29"/>
      <c r="L31" s="125">
        <v>1195.54</v>
      </c>
      <c r="M31" s="30">
        <v>21.98</v>
      </c>
      <c r="N31" s="30">
        <f t="shared" si="3"/>
        <v>1217.52</v>
      </c>
    </row>
    <row r="32" spans="1:14" ht="12.75" customHeight="1">
      <c r="A32" s="80" t="s">
        <v>112</v>
      </c>
      <c r="B32" s="64" t="s">
        <v>113</v>
      </c>
      <c r="C32" s="126" t="s">
        <v>48</v>
      </c>
      <c r="D32" s="133"/>
      <c r="E32" s="66" t="s">
        <v>27</v>
      </c>
      <c r="F32" s="99">
        <v>20.5</v>
      </c>
      <c r="G32" s="71">
        <f>COMP!J17</f>
        <v>91.67</v>
      </c>
      <c r="H32" s="72">
        <f t="shared" ref="H32" si="19">ROUND(G32*(1+$G$6),2)</f>
        <v>111.84</v>
      </c>
      <c r="I32" s="73">
        <f t="shared" ref="I32" si="20">ROUND(F32*H32,2)</f>
        <v>2292.7199999999998</v>
      </c>
      <c r="J32" s="74">
        <f t="shared" ref="J32" si="21">ROUND(I32/$I$26,4)</f>
        <v>0.12790000000000001</v>
      </c>
      <c r="K32" s="29"/>
      <c r="L32" s="125"/>
      <c r="N32" s="30">
        <f t="shared" si="3"/>
        <v>0</v>
      </c>
    </row>
    <row r="33" spans="1:14" ht="12.75" customHeight="1" thickBot="1">
      <c r="A33" s="128" t="s">
        <v>22</v>
      </c>
      <c r="B33" s="129"/>
      <c r="C33" s="129"/>
      <c r="D33" s="129"/>
      <c r="E33" s="129"/>
      <c r="F33" s="129"/>
      <c r="G33" s="129"/>
      <c r="H33" s="39">
        <f>A30</f>
        <v>5</v>
      </c>
      <c r="I33" s="42">
        <f>I32+I31</f>
        <v>3778.09</v>
      </c>
      <c r="J33" s="41">
        <f>ROUND(I33/$I$59,4)</f>
        <v>6.4699999999999994E-2</v>
      </c>
      <c r="K33" s="29"/>
      <c r="L33" s="125"/>
    </row>
    <row r="34" spans="1:14" ht="12.75" customHeight="1">
      <c r="A34" s="65">
        <v>6</v>
      </c>
      <c r="B34" s="130" t="s">
        <v>51</v>
      </c>
      <c r="C34" s="131"/>
      <c r="D34" s="131"/>
      <c r="E34" s="131"/>
      <c r="F34" s="131"/>
      <c r="G34" s="131"/>
      <c r="H34" s="131"/>
      <c r="I34" s="131"/>
      <c r="J34" s="132"/>
      <c r="K34" s="29"/>
      <c r="L34" s="125"/>
    </row>
    <row r="35" spans="1:14" ht="12.75" customHeight="1">
      <c r="A35" s="43" t="s">
        <v>31</v>
      </c>
      <c r="B35" s="64" t="s">
        <v>123</v>
      </c>
      <c r="C35" s="126" t="s">
        <v>59</v>
      </c>
      <c r="D35" s="133"/>
      <c r="E35" s="66" t="s">
        <v>28</v>
      </c>
      <c r="F35" s="67">
        <v>5</v>
      </c>
      <c r="G35" s="71">
        <f>COMP!J24</f>
        <v>45.78</v>
      </c>
      <c r="H35" s="45">
        <f t="shared" ref="H35" si="22">ROUND(G35*(1+$G$6),2)</f>
        <v>55.85</v>
      </c>
      <c r="I35" s="46">
        <f t="shared" ref="I35" si="23">ROUND(F35*H35,2)</f>
        <v>279.25</v>
      </c>
      <c r="J35" s="47">
        <f>ROUND(I35/$I$48,4)</f>
        <v>0.7006</v>
      </c>
      <c r="K35" s="29"/>
      <c r="L35" s="125"/>
      <c r="N35" s="30">
        <f t="shared" si="3"/>
        <v>0</v>
      </c>
    </row>
    <row r="36" spans="1:14" ht="12.75" customHeight="1">
      <c r="A36" s="80" t="s">
        <v>96</v>
      </c>
      <c r="B36" s="97" t="s">
        <v>95</v>
      </c>
      <c r="C36" s="126" t="s">
        <v>97</v>
      </c>
      <c r="D36" s="133"/>
      <c r="E36" s="66" t="s">
        <v>28</v>
      </c>
      <c r="F36" s="67">
        <v>1</v>
      </c>
      <c r="G36" s="71">
        <v>1100</v>
      </c>
      <c r="H36" s="45">
        <f t="shared" ref="H36:H37" si="24">ROUND(G36*(1+$G$6),2)</f>
        <v>1342</v>
      </c>
      <c r="I36" s="46">
        <f t="shared" ref="I36:I37" si="25">ROUND(F36*H36,2)</f>
        <v>1342</v>
      </c>
      <c r="J36" s="47">
        <f>ROUND(I36/$I$48,4)</f>
        <v>3.3668</v>
      </c>
      <c r="K36" s="29"/>
      <c r="L36" s="125">
        <v>1100</v>
      </c>
      <c r="N36" s="30">
        <f t="shared" si="3"/>
        <v>1100</v>
      </c>
    </row>
    <row r="37" spans="1:14" ht="12.75" customHeight="1">
      <c r="A37" s="80" t="s">
        <v>100</v>
      </c>
      <c r="B37" s="64" t="s">
        <v>98</v>
      </c>
      <c r="C37" s="126" t="s">
        <v>60</v>
      </c>
      <c r="D37" s="133"/>
      <c r="E37" s="66" t="s">
        <v>28</v>
      </c>
      <c r="F37" s="67">
        <v>2</v>
      </c>
      <c r="G37" s="71">
        <f>COMP!J33</f>
        <v>46.42</v>
      </c>
      <c r="H37" s="45">
        <f t="shared" si="24"/>
        <v>56.63</v>
      </c>
      <c r="I37" s="46">
        <f t="shared" si="25"/>
        <v>113.26</v>
      </c>
      <c r="J37" s="47">
        <f>ROUND(I37/$I$48,4)</f>
        <v>0.28410000000000002</v>
      </c>
      <c r="K37" s="29"/>
      <c r="L37" s="125"/>
      <c r="N37" s="30">
        <f t="shared" si="3"/>
        <v>0</v>
      </c>
    </row>
    <row r="38" spans="1:14" ht="12.75" customHeight="1" thickBot="1">
      <c r="A38" s="128" t="s">
        <v>22</v>
      </c>
      <c r="B38" s="129"/>
      <c r="C38" s="129"/>
      <c r="D38" s="129"/>
      <c r="E38" s="129"/>
      <c r="F38" s="129"/>
      <c r="G38" s="129"/>
      <c r="H38" s="39">
        <f>A34</f>
        <v>6</v>
      </c>
      <c r="I38" s="42">
        <f>I35+I36+I37</f>
        <v>1734.51</v>
      </c>
      <c r="J38" s="41">
        <f>ROUND(I38/$I$59,4)</f>
        <v>2.9700000000000001E-2</v>
      </c>
      <c r="K38" s="29"/>
      <c r="L38" s="125"/>
    </row>
    <row r="39" spans="1:14" ht="12.75" customHeight="1">
      <c r="A39" s="65">
        <v>7</v>
      </c>
      <c r="B39" s="130" t="s">
        <v>140</v>
      </c>
      <c r="C39" s="131"/>
      <c r="D39" s="131"/>
      <c r="E39" s="131"/>
      <c r="F39" s="131"/>
      <c r="G39" s="131"/>
      <c r="H39" s="131"/>
      <c r="I39" s="131"/>
      <c r="J39" s="132"/>
      <c r="K39" s="29"/>
      <c r="L39" s="125"/>
    </row>
    <row r="40" spans="1:14" ht="12.75" customHeight="1">
      <c r="A40" s="43" t="s">
        <v>56</v>
      </c>
      <c r="B40" s="64" t="s">
        <v>141</v>
      </c>
      <c r="C40" s="44" t="s">
        <v>24</v>
      </c>
      <c r="D40" s="66">
        <v>4006</v>
      </c>
      <c r="E40" s="66" t="s">
        <v>75</v>
      </c>
      <c r="F40" s="67">
        <v>5</v>
      </c>
      <c r="G40" s="71">
        <v>37.64</v>
      </c>
      <c r="H40" s="45">
        <f t="shared" ref="H40" si="26">ROUND(G40*(1+$G$6),2)</f>
        <v>45.92</v>
      </c>
      <c r="I40" s="46">
        <f t="shared" ref="I40" si="27">ROUND(F40*H40,2)</f>
        <v>229.6</v>
      </c>
      <c r="J40" s="47">
        <f>ROUND(I40/$I$56,4)</f>
        <v>9.9599999999999994E-2</v>
      </c>
      <c r="K40" s="29"/>
      <c r="L40" s="125">
        <v>37.64</v>
      </c>
      <c r="N40" s="30">
        <f t="shared" si="3"/>
        <v>37.64</v>
      </c>
    </row>
    <row r="41" spans="1:14" ht="12.75" customHeight="1">
      <c r="A41" s="43" t="s">
        <v>142</v>
      </c>
      <c r="B41" s="64" t="s">
        <v>143</v>
      </c>
      <c r="C41" s="44" t="s">
        <v>24</v>
      </c>
      <c r="D41" s="66">
        <v>88262</v>
      </c>
      <c r="E41" s="66" t="s">
        <v>44</v>
      </c>
      <c r="F41" s="67">
        <v>2</v>
      </c>
      <c r="G41" s="71">
        <v>27.55</v>
      </c>
      <c r="H41" s="45">
        <f t="shared" ref="H41" si="28">ROUND(G41*(1+$G$6),2)</f>
        <v>33.61</v>
      </c>
      <c r="I41" s="46">
        <f t="shared" ref="I41" si="29">ROUND(F41*H41,2)</f>
        <v>67.22</v>
      </c>
      <c r="J41" s="47">
        <f>ROUND(I41/$I$56,4)</f>
        <v>2.92E-2</v>
      </c>
      <c r="K41" s="29"/>
      <c r="L41" s="125"/>
      <c r="M41" s="30">
        <v>27.55</v>
      </c>
      <c r="N41" s="30">
        <f t="shared" si="3"/>
        <v>27.55</v>
      </c>
    </row>
    <row r="42" spans="1:14" ht="12.75" customHeight="1" thickBot="1">
      <c r="A42" s="128" t="s">
        <v>22</v>
      </c>
      <c r="B42" s="129"/>
      <c r="C42" s="129"/>
      <c r="D42" s="129"/>
      <c r="E42" s="129"/>
      <c r="F42" s="129"/>
      <c r="G42" s="129"/>
      <c r="H42" s="39">
        <f>A39</f>
        <v>7</v>
      </c>
      <c r="I42" s="42">
        <f>I41+I40</f>
        <v>296.82</v>
      </c>
      <c r="J42" s="41">
        <f>ROUND(I42/$I$59,4)</f>
        <v>5.1000000000000004E-3</v>
      </c>
      <c r="K42" s="29"/>
      <c r="L42" s="125"/>
    </row>
    <row r="43" spans="1:14" ht="12.75" customHeight="1">
      <c r="A43" s="65">
        <v>8</v>
      </c>
      <c r="B43" s="130" t="s">
        <v>68</v>
      </c>
      <c r="C43" s="131"/>
      <c r="D43" s="131"/>
      <c r="E43" s="131"/>
      <c r="F43" s="131"/>
      <c r="G43" s="131"/>
      <c r="H43" s="131"/>
      <c r="I43" s="131"/>
      <c r="J43" s="132"/>
      <c r="K43" s="29"/>
      <c r="L43" s="125"/>
    </row>
    <row r="44" spans="1:14" ht="12.75" customHeight="1">
      <c r="A44" s="43" t="s">
        <v>88</v>
      </c>
      <c r="B44" s="64" t="s">
        <v>69</v>
      </c>
      <c r="C44" s="44" t="s">
        <v>24</v>
      </c>
      <c r="D44" s="66">
        <v>91994</v>
      </c>
      <c r="E44" s="66" t="s">
        <v>28</v>
      </c>
      <c r="F44" s="67">
        <v>3</v>
      </c>
      <c r="G44" s="71">
        <v>27.08</v>
      </c>
      <c r="H44" s="45">
        <f t="shared" ref="H44" si="30">ROUND(G44*(1+$G$6),2)</f>
        <v>33.04</v>
      </c>
      <c r="I44" s="46">
        <f t="shared" ref="I44" si="31">ROUND(F44*H44,2)</f>
        <v>99.12</v>
      </c>
      <c r="J44" s="47">
        <f>ROUND(I44/$I$56,4)</f>
        <v>4.2999999999999997E-2</v>
      </c>
      <c r="K44" s="29"/>
      <c r="L44" s="125">
        <v>16.149999999999999</v>
      </c>
      <c r="M44" s="30">
        <v>13.65</v>
      </c>
      <c r="N44" s="30">
        <f t="shared" si="3"/>
        <v>29.8</v>
      </c>
    </row>
    <row r="45" spans="1:14" ht="12.75" customHeight="1">
      <c r="A45" s="96" t="s">
        <v>89</v>
      </c>
      <c r="B45" s="81" t="s">
        <v>70</v>
      </c>
      <c r="C45" s="44" t="s">
        <v>24</v>
      </c>
      <c r="D45" s="66">
        <v>39387</v>
      </c>
      <c r="E45" s="66" t="s">
        <v>28</v>
      </c>
      <c r="F45" s="67">
        <v>15</v>
      </c>
      <c r="G45" s="71">
        <v>9.39</v>
      </c>
      <c r="H45" s="45">
        <f t="shared" ref="H45" si="32">ROUND(G45*(1+$G$6),2)</f>
        <v>11.46</v>
      </c>
      <c r="I45" s="46">
        <f t="shared" ref="I45" si="33">ROUND(F45*H45,2)</f>
        <v>171.9</v>
      </c>
      <c r="J45" s="47">
        <f>ROUND(I45/$I$56,4)</f>
        <v>7.46E-2</v>
      </c>
      <c r="K45" s="29"/>
      <c r="L45" s="125">
        <v>9.39</v>
      </c>
      <c r="N45" s="30">
        <f t="shared" si="3"/>
        <v>9.39</v>
      </c>
    </row>
    <row r="46" spans="1:14" ht="12.75" customHeight="1">
      <c r="A46" s="98" t="s">
        <v>110</v>
      </c>
      <c r="B46" s="64" t="s">
        <v>109</v>
      </c>
      <c r="C46" s="126" t="s">
        <v>125</v>
      </c>
      <c r="D46" s="133"/>
      <c r="E46" s="66" t="s">
        <v>28</v>
      </c>
      <c r="F46" s="67">
        <v>2</v>
      </c>
      <c r="G46" s="71">
        <f>COMP!J39</f>
        <v>14.95</v>
      </c>
      <c r="H46" s="45">
        <f t="shared" ref="H46" si="34">ROUND(G46*(1+$G$6),2)</f>
        <v>18.239999999999998</v>
      </c>
      <c r="I46" s="46">
        <f t="shared" ref="I46" si="35">ROUND(F46*H46,2)</f>
        <v>36.479999999999997</v>
      </c>
      <c r="J46" s="47">
        <f>ROUND(I46/$I$56,4)</f>
        <v>1.5800000000000002E-2</v>
      </c>
      <c r="K46" s="29"/>
      <c r="L46" s="125"/>
      <c r="N46" s="30">
        <f t="shared" si="3"/>
        <v>0</v>
      </c>
    </row>
    <row r="47" spans="1:14" ht="12.75" customHeight="1">
      <c r="A47" s="98" t="s">
        <v>116</v>
      </c>
      <c r="B47" s="64" t="s">
        <v>117</v>
      </c>
      <c r="C47" s="126" t="s">
        <v>127</v>
      </c>
      <c r="D47" s="133"/>
      <c r="E47" s="66" t="s">
        <v>28</v>
      </c>
      <c r="F47" s="67">
        <v>10</v>
      </c>
      <c r="G47" s="71">
        <f>COMP!J45</f>
        <v>7.47</v>
      </c>
      <c r="H47" s="45">
        <f t="shared" ref="H47" si="36">ROUND(G47*(1+$G$6),2)</f>
        <v>9.11</v>
      </c>
      <c r="I47" s="46">
        <f t="shared" ref="I47" si="37">ROUND(F47*H47,2)</f>
        <v>91.1</v>
      </c>
      <c r="J47" s="47">
        <f>ROUND(I47/$I$56,4)</f>
        <v>3.95E-2</v>
      </c>
      <c r="K47" s="29"/>
      <c r="L47" s="125"/>
      <c r="N47" s="30">
        <f t="shared" si="3"/>
        <v>0</v>
      </c>
    </row>
    <row r="48" spans="1:14" ht="12.75" customHeight="1" thickBot="1">
      <c r="A48" s="128" t="s">
        <v>22</v>
      </c>
      <c r="B48" s="129"/>
      <c r="C48" s="129"/>
      <c r="D48" s="129"/>
      <c r="E48" s="129"/>
      <c r="F48" s="129"/>
      <c r="G48" s="129"/>
      <c r="H48" s="39">
        <f>A43</f>
        <v>8</v>
      </c>
      <c r="I48" s="42">
        <f>I44+I45+I46+I47</f>
        <v>398.6</v>
      </c>
      <c r="J48" s="41">
        <f>ROUND(I48/$I$59,4)</f>
        <v>6.7999999999999996E-3</v>
      </c>
      <c r="K48" s="29"/>
      <c r="L48" s="125"/>
    </row>
    <row r="49" spans="1:14" ht="12.75" customHeight="1">
      <c r="A49" s="65">
        <v>9</v>
      </c>
      <c r="B49" s="130" t="s">
        <v>85</v>
      </c>
      <c r="C49" s="131"/>
      <c r="D49" s="131"/>
      <c r="E49" s="131"/>
      <c r="F49" s="131"/>
      <c r="G49" s="131"/>
      <c r="H49" s="131"/>
      <c r="I49" s="131"/>
      <c r="J49" s="132"/>
      <c r="K49" s="29"/>
      <c r="L49" s="125"/>
    </row>
    <row r="50" spans="1:14" ht="12.75" customHeight="1">
      <c r="A50" s="43" t="s">
        <v>86</v>
      </c>
      <c r="B50" s="64" t="s">
        <v>118</v>
      </c>
      <c r="C50" s="126" t="s">
        <v>129</v>
      </c>
      <c r="D50" s="127"/>
      <c r="E50" s="66" t="s">
        <v>28</v>
      </c>
      <c r="F50" s="67">
        <v>2</v>
      </c>
      <c r="G50" s="71">
        <f>COMP!J52</f>
        <v>9.18</v>
      </c>
      <c r="H50" s="45">
        <f t="shared" ref="H50" si="38">ROUND(G50*(1+$G$6),2)</f>
        <v>11.2</v>
      </c>
      <c r="I50" s="46">
        <f t="shared" ref="I50" si="39">ROUND(F50*H50,2)</f>
        <v>22.4</v>
      </c>
      <c r="J50" s="47">
        <f>ROUND(I50/$I$56,4)</f>
        <v>9.7000000000000003E-3</v>
      </c>
      <c r="K50" s="29"/>
      <c r="L50" s="125"/>
      <c r="N50" s="30">
        <f t="shared" si="3"/>
        <v>0</v>
      </c>
    </row>
    <row r="51" spans="1:14" ht="12.75" customHeight="1">
      <c r="A51" s="80" t="s">
        <v>99</v>
      </c>
      <c r="B51" s="64" t="s">
        <v>91</v>
      </c>
      <c r="C51" s="126" t="s">
        <v>131</v>
      </c>
      <c r="D51" s="127"/>
      <c r="E51" s="66" t="s">
        <v>28</v>
      </c>
      <c r="F51" s="67">
        <v>20</v>
      </c>
      <c r="G51" s="71">
        <f>COMP!J58</f>
        <v>18.100000000000001</v>
      </c>
      <c r="H51" s="45">
        <f t="shared" ref="H51" si="40">ROUND(G51*(1+$G$6),2)</f>
        <v>22.08</v>
      </c>
      <c r="I51" s="46">
        <f t="shared" ref="I51" si="41">ROUND(F51*H51,2)</f>
        <v>441.6</v>
      </c>
      <c r="J51" s="47">
        <f>ROUND(I51/$I$56,4)</f>
        <v>0.19159999999999999</v>
      </c>
      <c r="K51" s="29"/>
      <c r="L51" s="125"/>
      <c r="N51" s="30">
        <f t="shared" si="3"/>
        <v>0</v>
      </c>
    </row>
    <row r="52" spans="1:14" ht="12.75" customHeight="1">
      <c r="A52" s="80" t="s">
        <v>119</v>
      </c>
      <c r="B52" s="64" t="s">
        <v>120</v>
      </c>
      <c r="C52" s="126" t="s">
        <v>133</v>
      </c>
      <c r="D52" s="127"/>
      <c r="E52" s="66" t="s">
        <v>28</v>
      </c>
      <c r="F52" s="67">
        <v>2</v>
      </c>
      <c r="G52" s="71">
        <f>COMP!J67</f>
        <v>341.74</v>
      </c>
      <c r="H52" s="45">
        <f t="shared" ref="H52" si="42">ROUND(G52*(1+$G$6),2)</f>
        <v>416.92</v>
      </c>
      <c r="I52" s="46">
        <f t="shared" ref="I52" si="43">ROUND(F52*H52,2)</f>
        <v>833.84</v>
      </c>
      <c r="J52" s="47">
        <f>ROUND(I52/$I$56,4)</f>
        <v>0.36170000000000002</v>
      </c>
      <c r="K52" s="29"/>
      <c r="L52" s="125"/>
      <c r="N52" s="30">
        <f t="shared" si="3"/>
        <v>0</v>
      </c>
    </row>
    <row r="53" spans="1:14" ht="12.75" customHeight="1" thickBot="1">
      <c r="A53" s="128" t="s">
        <v>22</v>
      </c>
      <c r="B53" s="129"/>
      <c r="C53" s="129"/>
      <c r="D53" s="129"/>
      <c r="E53" s="129"/>
      <c r="F53" s="129"/>
      <c r="G53" s="129"/>
      <c r="H53" s="39">
        <f>A49</f>
        <v>9</v>
      </c>
      <c r="I53" s="42">
        <f>I50+I51+I52</f>
        <v>1297.8399999999999</v>
      </c>
      <c r="J53" s="41">
        <f>ROUND(I53/$I$59,4)</f>
        <v>2.2200000000000001E-2</v>
      </c>
      <c r="K53" s="29"/>
      <c r="L53" s="125"/>
    </row>
    <row r="54" spans="1:14" ht="12.75" customHeight="1">
      <c r="A54" s="65">
        <v>10</v>
      </c>
      <c r="B54" s="130" t="s">
        <v>94</v>
      </c>
      <c r="C54" s="131"/>
      <c r="D54" s="131"/>
      <c r="E54" s="131"/>
      <c r="F54" s="131"/>
      <c r="G54" s="131"/>
      <c r="H54" s="131"/>
      <c r="I54" s="131"/>
      <c r="J54" s="132"/>
      <c r="K54" s="29"/>
      <c r="L54" s="124"/>
    </row>
    <row r="55" spans="1:14" ht="12.75" customHeight="1">
      <c r="A55" s="43" t="s">
        <v>87</v>
      </c>
      <c r="B55" s="64" t="s">
        <v>71</v>
      </c>
      <c r="C55" s="126" t="s">
        <v>135</v>
      </c>
      <c r="D55" s="133"/>
      <c r="E55" s="66" t="s">
        <v>81</v>
      </c>
      <c r="F55" s="67">
        <v>2</v>
      </c>
      <c r="G55" s="71">
        <f>COMP!J83</f>
        <v>944.71</v>
      </c>
      <c r="H55" s="45">
        <f t="shared" ref="H55" si="44">ROUND(G55*(1+$G$6),2)</f>
        <v>1152.55</v>
      </c>
      <c r="I55" s="46">
        <f t="shared" ref="I55" si="45">ROUND(F55*H55,2)</f>
        <v>2305.1</v>
      </c>
      <c r="J55" s="47">
        <f>ROUND(I55/$I$56,4)</f>
        <v>1</v>
      </c>
      <c r="K55" s="29"/>
      <c r="L55" s="124"/>
      <c r="N55" s="30">
        <f t="shared" si="3"/>
        <v>0</v>
      </c>
    </row>
    <row r="56" spans="1:14" ht="12.75" customHeight="1" thickBot="1">
      <c r="A56" s="128" t="s">
        <v>22</v>
      </c>
      <c r="B56" s="129"/>
      <c r="C56" s="129"/>
      <c r="D56" s="129"/>
      <c r="E56" s="129"/>
      <c r="F56" s="129"/>
      <c r="G56" s="129"/>
      <c r="H56" s="39">
        <f>A54</f>
        <v>10</v>
      </c>
      <c r="I56" s="42">
        <f>ROUND(SUM(I55:I55),2)</f>
        <v>2305.1</v>
      </c>
      <c r="J56" s="41">
        <f>ROUND(I56/$I$59,4)</f>
        <v>3.95E-2</v>
      </c>
      <c r="K56" s="29"/>
      <c r="L56" s="124"/>
      <c r="N56" s="31"/>
    </row>
    <row r="57" spans="1:14">
      <c r="L57" s="125"/>
    </row>
    <row r="58" spans="1:14" ht="9" customHeight="1" thickBot="1">
      <c r="L58" s="125"/>
    </row>
    <row r="59" spans="1:14" ht="20.25" customHeight="1" thickBot="1">
      <c r="A59" s="137" t="s">
        <v>21</v>
      </c>
      <c r="B59" s="138"/>
      <c r="C59" s="138"/>
      <c r="D59" s="138"/>
      <c r="E59" s="138"/>
      <c r="F59" s="138"/>
      <c r="G59" s="138"/>
      <c r="H59" s="138"/>
      <c r="I59" s="40">
        <f>I56+I53+I48+I42+I38+I33+I29+I26+I20+I15</f>
        <v>58394.45</v>
      </c>
      <c r="J59" s="79">
        <f>J56+J53+J48+J42+J38+J33+J29+J26+J20+J15</f>
        <v>1</v>
      </c>
      <c r="L59" s="125"/>
    </row>
    <row r="60" spans="1:14">
      <c r="I60" s="78"/>
      <c r="L60" s="125"/>
    </row>
    <row r="66" spans="2:2">
      <c r="B66" s="75" t="s">
        <v>50</v>
      </c>
    </row>
    <row r="67" spans="2:2">
      <c r="B67" s="75">
        <f>((1.17+7.35+0.74+6.72+5.67+3.66)*2)</f>
        <v>50.62</v>
      </c>
    </row>
    <row r="68" spans="2:2">
      <c r="B68" s="75">
        <f>((2.31+0.74+1.05+5.07))</f>
        <v>9.17</v>
      </c>
    </row>
    <row r="69" spans="2:2">
      <c r="B69" s="75"/>
    </row>
    <row r="70" spans="2:2">
      <c r="B70" s="75">
        <f>((5.67+6.72+7.35+0.07+0.75+1.4+2.73+2.31+0.63))</f>
        <v>27.63</v>
      </c>
    </row>
    <row r="71" spans="2:2">
      <c r="B71" s="75">
        <f>((2.67+2.14+1.59+1.38+0.32+1.05+0.6+1.39+1.54+2.14)*2)</f>
        <v>29.64</v>
      </c>
    </row>
    <row r="72" spans="2:2">
      <c r="B72" s="29">
        <f>((2.25+2.25+3.07+3.19+1.24+0.9)*2)+((13.48+0.74+1.5+6.52+0.71+10.44+2.87)*2)+((2.87+11.96+10.22+0.93+0.74)*2)</f>
        <v>151.76</v>
      </c>
    </row>
    <row r="73" spans="2:2">
      <c r="B73" s="29">
        <f>((3.6+2.76+0.98+0.44+1.8)*2)+((1.8+1.8+1.26)*2)+14.82+2.73+9.87+2.73+1.68+8.19+1.35+0.51+8.19+1.68+9.87+1.68+1.89+1.26+5.88+4.62+6.51+0.98+1.33+5.18+1.59+1.58+1.68+9.87+1.35+3.36+2.07+3.23+2.52+3.22+0.62+3.22+2.92+0.6+3.2+4.83+5.73+3.75+9.66+3.57+3.15+2.1+4.26+1.47+5.81+0.78+7.56+2.46+4.5+2.83+2.18+0.98+3.99+4.59+7.98+1.05+1.26+1.8+((1.89+2.31+0.63+3.23)*2)</f>
        <v>263.27</v>
      </c>
    </row>
    <row r="74" spans="2:2">
      <c r="B74" s="29">
        <f>B67+B68+B70+B71+B72</f>
        <v>268.82</v>
      </c>
    </row>
  </sheetData>
  <mergeCells count="46">
    <mergeCell ref="A29:G29"/>
    <mergeCell ref="B43:J43"/>
    <mergeCell ref="A42:G42"/>
    <mergeCell ref="C36:D36"/>
    <mergeCell ref="C37:D37"/>
    <mergeCell ref="A33:G33"/>
    <mergeCell ref="C32:D32"/>
    <mergeCell ref="A59:H59"/>
    <mergeCell ref="A48:G48"/>
    <mergeCell ref="B54:J54"/>
    <mergeCell ref="A56:G56"/>
    <mergeCell ref="A1:J1"/>
    <mergeCell ref="A2:J2"/>
    <mergeCell ref="B7:B9"/>
    <mergeCell ref="H7:H8"/>
    <mergeCell ref="G7:G8"/>
    <mergeCell ref="E6:F6"/>
    <mergeCell ref="J7:J9"/>
    <mergeCell ref="A7:A9"/>
    <mergeCell ref="F7:F8"/>
    <mergeCell ref="C7:D9"/>
    <mergeCell ref="I7:I9"/>
    <mergeCell ref="E7:E9"/>
    <mergeCell ref="C55:D55"/>
    <mergeCell ref="H4:I4"/>
    <mergeCell ref="H5:I5"/>
    <mergeCell ref="B34:J34"/>
    <mergeCell ref="C35:D35"/>
    <mergeCell ref="B30:J30"/>
    <mergeCell ref="B11:J11"/>
    <mergeCell ref="A15:G15"/>
    <mergeCell ref="B27:J27"/>
    <mergeCell ref="A20:G20"/>
    <mergeCell ref="A26:G26"/>
    <mergeCell ref="B16:J16"/>
    <mergeCell ref="B21:J21"/>
    <mergeCell ref="A38:G38"/>
    <mergeCell ref="B39:J39"/>
    <mergeCell ref="C28:D28"/>
    <mergeCell ref="C50:D50"/>
    <mergeCell ref="A53:G53"/>
    <mergeCell ref="B49:J49"/>
    <mergeCell ref="C51:D51"/>
    <mergeCell ref="C46:D46"/>
    <mergeCell ref="C47:D47"/>
    <mergeCell ref="C52:D52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4"/>
  <sheetViews>
    <sheetView view="pageBreakPreview" topLeftCell="B4" zoomScale="145" zoomScaleNormal="70" zoomScaleSheetLayoutView="145" workbookViewId="0">
      <selection activeCell="G20" sqref="G20"/>
    </sheetView>
  </sheetViews>
  <sheetFormatPr defaultRowHeight="12.75"/>
  <cols>
    <col min="1" max="1" width="4.85546875" style="2" customWidth="1"/>
    <col min="2" max="2" width="49.7109375" style="2" customWidth="1"/>
    <col min="3" max="3" width="13.7109375" style="2" bestFit="1" customWidth="1"/>
    <col min="4" max="4" width="6.28515625" style="2" bestFit="1" customWidth="1"/>
    <col min="5" max="5" width="10.140625" style="2" bestFit="1" customWidth="1"/>
    <col min="6" max="6" width="9.140625" style="2" customWidth="1"/>
    <col min="7" max="7" width="10.140625" style="2" bestFit="1" customWidth="1"/>
    <col min="8" max="8" width="9.140625" style="2" customWidth="1"/>
    <col min="9" max="9" width="21" style="3" customWidth="1"/>
    <col min="10" max="16384" width="9.140625" style="3"/>
  </cols>
  <sheetData>
    <row r="1" spans="1:10" ht="30" customHeight="1">
      <c r="A1" s="173" t="s">
        <v>14</v>
      </c>
      <c r="B1" s="173"/>
      <c r="C1" s="173"/>
      <c r="D1" s="173"/>
      <c r="E1" s="173"/>
      <c r="F1" s="173"/>
      <c r="G1" s="173"/>
      <c r="H1" s="173"/>
    </row>
    <row r="2" spans="1:10" ht="15.75">
      <c r="A2" s="176"/>
      <c r="B2" s="176"/>
      <c r="C2" s="176"/>
      <c r="D2" s="176"/>
      <c r="E2" s="176"/>
      <c r="F2" s="176"/>
      <c r="G2" s="68"/>
      <c r="H2" s="68"/>
    </row>
    <row r="3" spans="1:10" ht="14.25">
      <c r="A3" s="2" t="str">
        <f>'PO -'!A3</f>
        <v>OBRA: REFORMA ESCOLA  MUNICIPAL - NOSSA SENHORA DAS GRAÇAS</v>
      </c>
      <c r="B3" s="1"/>
      <c r="C3" s="1"/>
      <c r="D3" s="17"/>
      <c r="E3" s="8"/>
      <c r="F3" s="9"/>
      <c r="G3" s="9"/>
      <c r="H3" s="9"/>
    </row>
    <row r="4" spans="1:10" ht="14.25">
      <c r="A4" s="2" t="str">
        <f>'PO -'!A4</f>
        <v>LOCALIZAÇÃO: Rua Helmo Nonnemacher,Nº1115,  CAPELA DE SANTANA - RS</v>
      </c>
      <c r="B4" s="1"/>
      <c r="C4" s="1"/>
      <c r="D4" s="17"/>
      <c r="E4" s="8"/>
      <c r="F4" s="9"/>
      <c r="G4" s="9"/>
      <c r="H4" s="9"/>
    </row>
    <row r="5" spans="1:10">
      <c r="A5" s="2" t="str">
        <f>'PO -'!A5</f>
        <v>ÁREA:879,56 m²</v>
      </c>
      <c r="B5" s="5"/>
      <c r="C5" s="4"/>
      <c r="D5" s="4"/>
      <c r="E5" s="4"/>
      <c r="F5" s="4"/>
      <c r="G5" s="4"/>
      <c r="H5" s="4"/>
    </row>
    <row r="6" spans="1:10">
      <c r="A6" s="2" t="str">
        <f>'PO -'!A6</f>
        <v>SINAPI:  DATA BASE : novembro/2024</v>
      </c>
      <c r="C6" s="6"/>
      <c r="D6" s="7"/>
      <c r="E6" s="6"/>
      <c r="F6" s="6"/>
      <c r="G6" s="6"/>
      <c r="H6" s="6"/>
    </row>
    <row r="7" spans="1:10" ht="13.5" thickBot="1">
      <c r="C7" s="6"/>
      <c r="D7" s="7"/>
      <c r="E7" s="6"/>
      <c r="F7" s="6"/>
      <c r="G7" s="6"/>
      <c r="H7" s="6"/>
    </row>
    <row r="8" spans="1:10" ht="13.5" thickTop="1">
      <c r="A8" s="171" t="s">
        <v>1</v>
      </c>
      <c r="B8" s="169" t="s">
        <v>0</v>
      </c>
      <c r="C8" s="18" t="s">
        <v>3</v>
      </c>
      <c r="D8" s="177" t="s">
        <v>2</v>
      </c>
      <c r="E8" s="177" t="s">
        <v>5</v>
      </c>
      <c r="F8" s="177" t="s">
        <v>2</v>
      </c>
      <c r="G8" s="177" t="s">
        <v>32</v>
      </c>
      <c r="H8" s="177" t="s">
        <v>2</v>
      </c>
    </row>
    <row r="9" spans="1:10" ht="13.5" thickBot="1">
      <c r="A9" s="172"/>
      <c r="B9" s="170"/>
      <c r="C9" s="11" t="s">
        <v>4</v>
      </c>
      <c r="D9" s="178"/>
      <c r="E9" s="178"/>
      <c r="F9" s="178"/>
      <c r="G9" s="178"/>
      <c r="H9" s="178"/>
    </row>
    <row r="10" spans="1:10" ht="12.75" customHeight="1" thickTop="1">
      <c r="A10" s="10"/>
      <c r="B10" s="16"/>
      <c r="C10" s="19"/>
      <c r="D10" s="12"/>
      <c r="E10" s="20"/>
      <c r="F10" s="14"/>
      <c r="G10" s="20"/>
      <c r="H10" s="14"/>
    </row>
    <row r="11" spans="1:10">
      <c r="A11" s="21">
        <f>'PO -'!A11</f>
        <v>1</v>
      </c>
      <c r="B11" s="22" t="str">
        <f>'PO -'!B11</f>
        <v>SERVIÇOS PRELIMINARES</v>
      </c>
      <c r="C11" s="24">
        <f>'PO -'!I15</f>
        <v>10303.040000000001</v>
      </c>
      <c r="D11" s="63">
        <f>'PO -'!J15</f>
        <v>0.1764</v>
      </c>
      <c r="E11" s="25">
        <f>F11*$C11</f>
        <v>5151.5200000000004</v>
      </c>
      <c r="F11" s="49">
        <v>0.5</v>
      </c>
      <c r="G11" s="25">
        <f>H11*$C11</f>
        <v>5151.5200000000004</v>
      </c>
      <c r="H11" s="49">
        <v>0.5</v>
      </c>
      <c r="I11" s="86">
        <f>E11+G11</f>
        <v>10303.040000000001</v>
      </c>
      <c r="J11" s="28">
        <f>F11+H11</f>
        <v>1</v>
      </c>
    </row>
    <row r="12" spans="1:10">
      <c r="A12" s="21">
        <f>'PO -'!A16</f>
        <v>2</v>
      </c>
      <c r="B12" s="22" t="str">
        <f>'PO -'!B16</f>
        <v>REFORMA DE PAREDES</v>
      </c>
      <c r="C12" s="24">
        <f>'PO -'!I20</f>
        <v>10296.9</v>
      </c>
      <c r="D12" s="63">
        <f>'PO -'!J20</f>
        <v>0.17630000000000001</v>
      </c>
      <c r="E12" s="25">
        <f>F12*$C12</f>
        <v>5148.45</v>
      </c>
      <c r="F12" s="49">
        <v>0.5</v>
      </c>
      <c r="G12" s="25">
        <f>H12*$C12+0.01</f>
        <v>5148.46</v>
      </c>
      <c r="H12" s="49">
        <v>0.5</v>
      </c>
      <c r="I12" s="86">
        <f>E12+G12-0.01</f>
        <v>10296.9</v>
      </c>
      <c r="J12" s="28">
        <f t="shared" ref="J12:J14" si="0">F12+H12</f>
        <v>1</v>
      </c>
    </row>
    <row r="13" spans="1:10">
      <c r="A13" s="21">
        <f>'PO -'!A21</f>
        <v>3</v>
      </c>
      <c r="B13" s="22" t="str">
        <f>'PO -'!B21</f>
        <v>PINTURAS</v>
      </c>
      <c r="C13" s="24">
        <f>'PO -'!I26</f>
        <v>17932.55</v>
      </c>
      <c r="D13" s="63">
        <f>'PO -'!J26</f>
        <v>0.30709999999999998</v>
      </c>
      <c r="E13" s="25">
        <f t="shared" ref="E13:G13" si="1">F13*$C13</f>
        <v>8966.2800000000007</v>
      </c>
      <c r="F13" s="49">
        <v>0.5</v>
      </c>
      <c r="G13" s="25">
        <f t="shared" si="1"/>
        <v>8966.2800000000007</v>
      </c>
      <c r="H13" s="49">
        <v>0.5</v>
      </c>
      <c r="I13" s="86">
        <f t="shared" ref="I13:I14" si="2">E13+G13</f>
        <v>17932.560000000001</v>
      </c>
      <c r="J13" s="28">
        <f t="shared" si="0"/>
        <v>1</v>
      </c>
    </row>
    <row r="14" spans="1:10">
      <c r="A14" s="21">
        <f>'PO -'!A27</f>
        <v>4</v>
      </c>
      <c r="B14" s="22" t="str">
        <f>'PO -'!B27</f>
        <v>COBERTURA INFILTRAÇÕES</v>
      </c>
      <c r="C14" s="24">
        <f>'PO -'!I29</f>
        <v>10051</v>
      </c>
      <c r="D14" s="63">
        <f>'PO -'!J29</f>
        <v>0.1721</v>
      </c>
      <c r="E14" s="25">
        <f t="shared" ref="E14:E20" si="3">F14*$C14</f>
        <v>5025.5</v>
      </c>
      <c r="F14" s="49">
        <v>0.5</v>
      </c>
      <c r="G14" s="25">
        <f t="shared" ref="G14:G20" si="4">H14*$C14</f>
        <v>5025.5</v>
      </c>
      <c r="H14" s="49">
        <v>0.5</v>
      </c>
      <c r="I14" s="86">
        <f t="shared" si="2"/>
        <v>10051</v>
      </c>
      <c r="J14" s="28">
        <f t="shared" si="0"/>
        <v>1</v>
      </c>
    </row>
    <row r="15" spans="1:10">
      <c r="A15" s="21">
        <f>'PO -'!A30</f>
        <v>5</v>
      </c>
      <c r="B15" s="22" t="str">
        <f>'PO -'!B30:J30</f>
        <v>ABERTURAS</v>
      </c>
      <c r="C15" s="24">
        <f>'PO -'!I33</f>
        <v>3778.09</v>
      </c>
      <c r="D15" s="63">
        <f>'PO -'!J33</f>
        <v>6.4699999999999994E-2</v>
      </c>
      <c r="E15" s="25">
        <f t="shared" si="3"/>
        <v>0</v>
      </c>
      <c r="F15" s="49">
        <v>0</v>
      </c>
      <c r="G15" s="25">
        <f t="shared" si="4"/>
        <v>3778.09</v>
      </c>
      <c r="H15" s="49">
        <v>1</v>
      </c>
      <c r="I15" s="86">
        <f t="shared" ref="I15:I20" si="5">E15+G15</f>
        <v>3778.09</v>
      </c>
      <c r="J15" s="28">
        <f t="shared" ref="J15:J20" si="6">F15+H15</f>
        <v>1</v>
      </c>
    </row>
    <row r="16" spans="1:10">
      <c r="A16" s="21">
        <v>6</v>
      </c>
      <c r="B16" s="22" t="str">
        <f>'PO -'!B34:J34</f>
        <v>HIDRAULICA</v>
      </c>
      <c r="C16" s="24">
        <f>'PO -'!I38</f>
        <v>1734.51</v>
      </c>
      <c r="D16" s="63">
        <f>'PO -'!J38</f>
        <v>2.9700000000000001E-2</v>
      </c>
      <c r="E16" s="25">
        <f t="shared" si="3"/>
        <v>0</v>
      </c>
      <c r="F16" s="49">
        <v>0</v>
      </c>
      <c r="G16" s="25">
        <f t="shared" si="4"/>
        <v>1734.51</v>
      </c>
      <c r="H16" s="49">
        <v>1</v>
      </c>
      <c r="I16" s="86">
        <f t="shared" ref="I16:I19" si="7">E16+G16</f>
        <v>1734.51</v>
      </c>
      <c r="J16" s="28">
        <f t="shared" ref="J16:J19" si="8">F16+H16</f>
        <v>1</v>
      </c>
    </row>
    <row r="17" spans="1:10">
      <c r="A17" s="21">
        <v>7</v>
      </c>
      <c r="B17" s="22" t="str">
        <f>'PO -'!B39:J39</f>
        <v>RAMPA ACESSIBILIDADE TROCA MADEIRAS</v>
      </c>
      <c r="C17" s="24">
        <f>'PO -'!I42</f>
        <v>296.82</v>
      </c>
      <c r="D17" s="63">
        <f>'PO -'!J42</f>
        <v>5.1000000000000004E-3</v>
      </c>
      <c r="E17" s="25">
        <f t="shared" si="3"/>
        <v>148.41</v>
      </c>
      <c r="F17" s="49">
        <v>0.5</v>
      </c>
      <c r="G17" s="25">
        <f t="shared" si="4"/>
        <v>148.41</v>
      </c>
      <c r="H17" s="49">
        <v>0.5</v>
      </c>
      <c r="I17" s="86">
        <f t="shared" si="7"/>
        <v>296.82</v>
      </c>
      <c r="J17" s="28">
        <f t="shared" si="8"/>
        <v>1</v>
      </c>
    </row>
    <row r="18" spans="1:10">
      <c r="A18" s="21">
        <f>'PO -'!A43</f>
        <v>8</v>
      </c>
      <c r="B18" s="22" t="str">
        <f>'PO -'!B43:J43</f>
        <v>ELETRICA</v>
      </c>
      <c r="C18" s="24">
        <f>'PO -'!I48</f>
        <v>398.6</v>
      </c>
      <c r="D18" s="63">
        <f>'PO -'!J48</f>
        <v>6.7999999999999996E-3</v>
      </c>
      <c r="E18" s="25">
        <f t="shared" si="3"/>
        <v>0</v>
      </c>
      <c r="F18" s="49">
        <v>0</v>
      </c>
      <c r="G18" s="25">
        <f t="shared" si="4"/>
        <v>398.6</v>
      </c>
      <c r="H18" s="49">
        <v>1</v>
      </c>
      <c r="I18" s="86">
        <f t="shared" si="7"/>
        <v>398.6</v>
      </c>
      <c r="J18" s="28">
        <f t="shared" si="8"/>
        <v>1</v>
      </c>
    </row>
    <row r="19" spans="1:10">
      <c r="A19" s="21">
        <v>9</v>
      </c>
      <c r="B19" s="22" t="str">
        <f>'PO -'!B49:J49</f>
        <v xml:space="preserve"> ACESSÓRIOS </v>
      </c>
      <c r="C19" s="24">
        <f>'PO -'!I53</f>
        <v>1297.8399999999999</v>
      </c>
      <c r="D19" s="63">
        <f>'PO -'!J53</f>
        <v>2.2200000000000001E-2</v>
      </c>
      <c r="E19" s="25">
        <f t="shared" si="3"/>
        <v>648.91999999999996</v>
      </c>
      <c r="F19" s="49">
        <v>0.5</v>
      </c>
      <c r="G19" s="25">
        <f t="shared" si="4"/>
        <v>648.91999999999996</v>
      </c>
      <c r="H19" s="49">
        <v>0.5</v>
      </c>
      <c r="I19" s="86">
        <f t="shared" si="7"/>
        <v>1297.8399999999999</v>
      </c>
      <c r="J19" s="28">
        <f t="shared" si="8"/>
        <v>1</v>
      </c>
    </row>
    <row r="20" spans="1:10">
      <c r="A20" s="21">
        <f>'PO -'!A54</f>
        <v>10</v>
      </c>
      <c r="B20" s="22" t="str">
        <f>'PO -'!B54:J54</f>
        <v xml:space="preserve">REFORMA DA PRASINHA , PLAY GRAUD E PINTURA </v>
      </c>
      <c r="C20" s="24">
        <f>'PO -'!I56</f>
        <v>2305.1</v>
      </c>
      <c r="D20" s="63">
        <f>'PO -'!J56</f>
        <v>3.95E-2</v>
      </c>
      <c r="E20" s="25">
        <f t="shared" si="3"/>
        <v>1152.55</v>
      </c>
      <c r="F20" s="49">
        <v>0.5</v>
      </c>
      <c r="G20" s="25">
        <f t="shared" si="4"/>
        <v>1152.55</v>
      </c>
      <c r="H20" s="49">
        <v>0.5</v>
      </c>
      <c r="I20" s="86">
        <f t="shared" si="5"/>
        <v>2305.1</v>
      </c>
      <c r="J20" s="28">
        <f t="shared" si="6"/>
        <v>1</v>
      </c>
    </row>
    <row r="21" spans="1:10" ht="12.75" customHeight="1" thickBot="1">
      <c r="A21" s="10"/>
      <c r="B21" s="16"/>
      <c r="C21" s="19"/>
      <c r="D21" s="12"/>
      <c r="E21" s="20"/>
      <c r="F21" s="14"/>
      <c r="G21" s="20"/>
      <c r="H21" s="14"/>
      <c r="J21" s="28"/>
    </row>
    <row r="22" spans="1:10" ht="21" customHeight="1" thickTop="1" thickBot="1">
      <c r="A22" s="174" t="s">
        <v>11</v>
      </c>
      <c r="B22" s="175"/>
      <c r="C22" s="48">
        <f>SUM(C11:C21)</f>
        <v>58394.45</v>
      </c>
      <c r="D22" s="62">
        <f>D11+D12+D13+D14+D15+D16+D17+D18+D19+D20</f>
        <v>1</v>
      </c>
      <c r="E22" s="26">
        <f>SUM(E11:E20)</f>
        <v>26241.63</v>
      </c>
      <c r="F22" s="13">
        <f>E22/$C22</f>
        <v>0.44940000000000002</v>
      </c>
      <c r="G22" s="26">
        <f>SUM(G11:G20)</f>
        <v>32152.84</v>
      </c>
      <c r="H22" s="13">
        <f>G22/$C22</f>
        <v>0.55059999999999998</v>
      </c>
      <c r="J22" s="28">
        <f>AVERAGE(J11:J14)</f>
        <v>1</v>
      </c>
    </row>
    <row r="23" spans="1:10" ht="21" customHeight="1" thickTop="1" thickBot="1">
      <c r="A23" s="166" t="s">
        <v>25</v>
      </c>
      <c r="B23" s="167"/>
      <c r="C23" s="167"/>
      <c r="D23" s="168"/>
      <c r="E23" s="27">
        <f>E22</f>
        <v>26241.63</v>
      </c>
      <c r="F23" s="15">
        <f>E23/$C22</f>
        <v>0.44940000000000002</v>
      </c>
      <c r="G23" s="27">
        <f>G22+E23-0.01</f>
        <v>58394.46</v>
      </c>
      <c r="H23" s="15">
        <f>G23/$C22</f>
        <v>1</v>
      </c>
    </row>
    <row r="24" spans="1:10" ht="12.75" customHeight="1" thickTop="1"/>
    <row r="25" spans="1:10" ht="12.75" customHeight="1"/>
    <row r="26" spans="1:10" ht="12.75" customHeight="1"/>
    <row r="27" spans="1:10" ht="12.75" customHeight="1"/>
    <row r="28" spans="1:10" ht="12.75" customHeight="1">
      <c r="A28" s="23"/>
      <c r="B28" s="23"/>
    </row>
    <row r="29" spans="1:10" ht="12.75" customHeight="1"/>
    <row r="30" spans="1:10" ht="12.75" customHeight="1"/>
    <row r="31" spans="1:10" ht="12.75" customHeight="1"/>
    <row r="32" spans="1:10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</sheetData>
  <mergeCells count="11">
    <mergeCell ref="A23:D23"/>
    <mergeCell ref="B8:B9"/>
    <mergeCell ref="A8:A9"/>
    <mergeCell ref="A1:H1"/>
    <mergeCell ref="A22:B22"/>
    <mergeCell ref="A2:F2"/>
    <mergeCell ref="D8:D9"/>
    <mergeCell ref="E8:E9"/>
    <mergeCell ref="F8:F9"/>
    <mergeCell ref="G8:G9"/>
    <mergeCell ref="H8:H9"/>
  </mergeCells>
  <phoneticPr fontId="12" type="noConversion"/>
  <printOptions horizontalCentered="1" verticalCentered="1"/>
  <pageMargins left="1.1811023622047245" right="0.78740157480314965" top="2.3622047244094491" bottom="0.78740157480314965" header="0.31496062992125984" footer="0.31496062992125984"/>
  <pageSetup paperSize="9" orientation="landscape" r:id="rId1"/>
  <headerFooter>
    <oddHeader>&amp;C&amp;"Arial,Negrito"&amp;16PREFEITURA MUNICIPAL DE CAPELA DE SANTANA&amp;"Arial,Normal"&amp;10&amp;"Arial,Negrito"&amp;12ESTADO DO RIO GRANDE DO SUL&amp;"Arial,Normal"&amp;10&amp;G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D2:M91"/>
  <sheetViews>
    <sheetView topLeftCell="C82" workbookViewId="0">
      <selection activeCell="L91" sqref="L91"/>
    </sheetView>
  </sheetViews>
  <sheetFormatPr defaultRowHeight="12.75"/>
  <cols>
    <col min="4" max="4" width="14.28515625" customWidth="1"/>
    <col min="5" max="5" width="20.85546875" customWidth="1"/>
    <col min="6" max="6" width="63.140625" customWidth="1"/>
    <col min="7" max="7" width="11.140625" customWidth="1"/>
    <col min="8" max="8" width="14.5703125" customWidth="1"/>
    <col min="9" max="9" width="11.7109375" customWidth="1"/>
    <col min="10" max="10" width="14" customWidth="1"/>
  </cols>
  <sheetData>
    <row r="2" spans="4:10" ht="35.25" customHeight="1">
      <c r="D2" s="179" t="s">
        <v>121</v>
      </c>
      <c r="E2" s="180"/>
      <c r="F2" s="180"/>
      <c r="G2" s="180"/>
      <c r="H2" s="180"/>
      <c r="I2" s="180"/>
      <c r="J2" s="181"/>
    </row>
    <row r="3" spans="4:10" ht="47.25">
      <c r="D3" s="87" t="s">
        <v>34</v>
      </c>
      <c r="E3" s="87" t="s">
        <v>35</v>
      </c>
      <c r="F3" s="87" t="s">
        <v>36</v>
      </c>
      <c r="G3" s="87" t="s">
        <v>37</v>
      </c>
      <c r="H3" s="87" t="s">
        <v>41</v>
      </c>
      <c r="I3" s="88" t="s">
        <v>42</v>
      </c>
      <c r="J3" s="88" t="s">
        <v>43</v>
      </c>
    </row>
    <row r="4" spans="4:10" ht="25.5">
      <c r="D4" s="84" t="s">
        <v>38</v>
      </c>
      <c r="E4" s="84">
        <v>88252</v>
      </c>
      <c r="F4" s="89" t="s">
        <v>49</v>
      </c>
      <c r="G4" s="84" t="s">
        <v>44</v>
      </c>
      <c r="H4" s="84">
        <v>0.5</v>
      </c>
      <c r="I4" s="84">
        <v>22.89</v>
      </c>
      <c r="J4" s="85">
        <f t="shared" ref="J4:J6" si="0">TRUNC(I4*H4,2)</f>
        <v>11.44</v>
      </c>
    </row>
    <row r="5" spans="4:10">
      <c r="D5" s="84" t="s">
        <v>38</v>
      </c>
      <c r="E5" s="84">
        <v>88316</v>
      </c>
      <c r="F5" s="89" t="s">
        <v>45</v>
      </c>
      <c r="G5" s="84" t="s">
        <v>44</v>
      </c>
      <c r="H5" s="84">
        <v>0.5</v>
      </c>
      <c r="I5" s="84">
        <v>23.08</v>
      </c>
      <c r="J5" s="85">
        <f t="shared" si="0"/>
        <v>11.54</v>
      </c>
    </row>
    <row r="6" spans="4:10" ht="25.5">
      <c r="D6" s="84" t="s">
        <v>38</v>
      </c>
      <c r="E6" s="84">
        <v>94226</v>
      </c>
      <c r="F6" s="94" t="s">
        <v>67</v>
      </c>
      <c r="G6" s="84" t="s">
        <v>27</v>
      </c>
      <c r="H6" s="84">
        <v>1</v>
      </c>
      <c r="I6" s="84">
        <v>20.38</v>
      </c>
      <c r="J6" s="85">
        <f t="shared" si="0"/>
        <v>20.38</v>
      </c>
    </row>
    <row r="7" spans="4:10" ht="15">
      <c r="D7" s="182" t="s">
        <v>46</v>
      </c>
      <c r="E7" s="183"/>
      <c r="F7" s="183"/>
      <c r="G7" s="183"/>
      <c r="H7" s="183"/>
      <c r="I7" s="184"/>
      <c r="J7" s="90">
        <f>SUM(J4:J6)</f>
        <v>43.36</v>
      </c>
    </row>
    <row r="8" spans="4:10">
      <c r="D8" s="91" t="s">
        <v>144</v>
      </c>
    </row>
    <row r="10" spans="4:10" ht="36.75" customHeight="1">
      <c r="D10" s="179" t="s">
        <v>122</v>
      </c>
      <c r="E10" s="180"/>
      <c r="F10" s="180"/>
      <c r="G10" s="180"/>
      <c r="H10" s="180"/>
      <c r="I10" s="180"/>
      <c r="J10" s="181"/>
    </row>
    <row r="11" spans="4:10" ht="47.25">
      <c r="D11" s="87" t="s">
        <v>34</v>
      </c>
      <c r="E11" s="87" t="s">
        <v>35</v>
      </c>
      <c r="F11" s="87" t="s">
        <v>36</v>
      </c>
      <c r="G11" s="87" t="s">
        <v>37</v>
      </c>
      <c r="H11" s="87" t="s">
        <v>41</v>
      </c>
      <c r="I11" s="88" t="s">
        <v>42</v>
      </c>
      <c r="J11" s="88" t="s">
        <v>43</v>
      </c>
    </row>
    <row r="12" spans="4:10" ht="25.5">
      <c r="D12" s="84" t="s">
        <v>38</v>
      </c>
      <c r="E12" s="84">
        <v>88252</v>
      </c>
      <c r="F12" s="89" t="s">
        <v>49</v>
      </c>
      <c r="G12" s="84" t="s">
        <v>44</v>
      </c>
      <c r="H12" s="84">
        <v>1.5</v>
      </c>
      <c r="I12" s="84">
        <v>22.89</v>
      </c>
      <c r="J12" s="85">
        <f t="shared" ref="J12" si="1">TRUNC(I12*H12,2)</f>
        <v>34.33</v>
      </c>
    </row>
    <row r="13" spans="4:10">
      <c r="D13" s="84" t="s">
        <v>38</v>
      </c>
      <c r="E13" s="84">
        <v>88325</v>
      </c>
      <c r="F13" s="89" t="s">
        <v>62</v>
      </c>
      <c r="G13" s="84" t="s">
        <v>44</v>
      </c>
      <c r="H13" s="84">
        <v>1.5</v>
      </c>
      <c r="I13" s="84">
        <v>27.69</v>
      </c>
      <c r="J13" s="85">
        <f t="shared" ref="J13:J14" si="2">TRUNC(I13*H13,2)</f>
        <v>41.53</v>
      </c>
    </row>
    <row r="14" spans="4:10">
      <c r="D14" s="84" t="s">
        <v>38</v>
      </c>
      <c r="E14" s="84">
        <v>88316</v>
      </c>
      <c r="F14" s="89" t="s">
        <v>45</v>
      </c>
      <c r="G14" s="84" t="s">
        <v>44</v>
      </c>
      <c r="H14" s="84">
        <v>0.5</v>
      </c>
      <c r="I14" s="84">
        <v>23.08</v>
      </c>
      <c r="J14" s="85">
        <f t="shared" si="2"/>
        <v>11.54</v>
      </c>
    </row>
    <row r="15" spans="4:10" ht="25.5">
      <c r="D15" s="84" t="s">
        <v>38</v>
      </c>
      <c r="E15" s="84">
        <v>97651</v>
      </c>
      <c r="F15" s="89" t="s">
        <v>114</v>
      </c>
      <c r="G15" s="84" t="s">
        <v>27</v>
      </c>
      <c r="H15" s="84">
        <v>0.5</v>
      </c>
      <c r="I15" s="84">
        <v>8.1199999999999992</v>
      </c>
      <c r="J15" s="85">
        <f t="shared" ref="J15" si="3">TRUNC(I15*H15,2)</f>
        <v>4.0599999999999996</v>
      </c>
    </row>
    <row r="16" spans="4:10">
      <c r="D16" s="84" t="s">
        <v>38</v>
      </c>
      <c r="E16" s="93">
        <v>5074</v>
      </c>
      <c r="F16" s="89" t="s">
        <v>65</v>
      </c>
      <c r="G16" s="84" t="s">
        <v>66</v>
      </c>
      <c r="H16" s="84">
        <v>0.15</v>
      </c>
      <c r="I16" s="84">
        <v>1.45</v>
      </c>
      <c r="J16" s="85">
        <f t="shared" ref="J16" si="4">TRUNC(I16*H16,2)</f>
        <v>0.21</v>
      </c>
    </row>
    <row r="17" spans="4:10" ht="15">
      <c r="D17" s="182" t="s">
        <v>64</v>
      </c>
      <c r="E17" s="183"/>
      <c r="F17" s="183"/>
      <c r="G17" s="183"/>
      <c r="H17" s="183"/>
      <c r="I17" s="184"/>
      <c r="J17" s="90">
        <f>SUM(J12:J16)</f>
        <v>91.67</v>
      </c>
    </row>
    <row r="18" spans="4:10">
      <c r="D18" s="91" t="s">
        <v>144</v>
      </c>
    </row>
    <row r="20" spans="4:10" ht="35.25" customHeight="1">
      <c r="D20" s="179" t="s">
        <v>103</v>
      </c>
      <c r="E20" s="180"/>
      <c r="F20" s="180"/>
      <c r="G20" s="180"/>
      <c r="H20" s="180"/>
      <c r="I20" s="180"/>
      <c r="J20" s="181"/>
    </row>
    <row r="21" spans="4:10" ht="47.25">
      <c r="D21" s="87" t="s">
        <v>34</v>
      </c>
      <c r="E21" s="87" t="s">
        <v>35</v>
      </c>
      <c r="F21" s="87" t="s">
        <v>36</v>
      </c>
      <c r="G21" s="87" t="s">
        <v>37</v>
      </c>
      <c r="H21" s="87" t="s">
        <v>41</v>
      </c>
      <c r="I21" s="88" t="s">
        <v>42</v>
      </c>
      <c r="J21" s="88" t="s">
        <v>43</v>
      </c>
    </row>
    <row r="22" spans="4:10" ht="25.5">
      <c r="D22" s="84" t="s">
        <v>38</v>
      </c>
      <c r="E22" s="84">
        <v>88252</v>
      </c>
      <c r="F22" s="89" t="s">
        <v>49</v>
      </c>
      <c r="G22" s="84" t="s">
        <v>44</v>
      </c>
      <c r="H22" s="84">
        <v>2</v>
      </c>
      <c r="I22" s="84">
        <v>22.89</v>
      </c>
      <c r="J22" s="85">
        <f t="shared" ref="J22" si="5">TRUNC(I22*H22,2)</f>
        <v>45.78</v>
      </c>
    </row>
    <row r="23" spans="4:10">
      <c r="D23" s="84"/>
      <c r="E23" s="84"/>
      <c r="F23" s="89"/>
      <c r="G23" s="84"/>
      <c r="H23" s="84"/>
      <c r="I23" s="84"/>
      <c r="J23" s="85"/>
    </row>
    <row r="24" spans="4:10" ht="15">
      <c r="D24" s="182" t="s">
        <v>61</v>
      </c>
      <c r="E24" s="183"/>
      <c r="F24" s="183"/>
      <c r="G24" s="183"/>
      <c r="H24" s="183"/>
      <c r="I24" s="184"/>
      <c r="J24" s="90">
        <f>SUM(J22:J23)</f>
        <v>45.78</v>
      </c>
    </row>
    <row r="25" spans="4:10">
      <c r="D25" s="91" t="s">
        <v>144</v>
      </c>
    </row>
    <row r="26" spans="4:10">
      <c r="D26" s="91"/>
    </row>
    <row r="27" spans="4:10" ht="39" customHeight="1">
      <c r="D27" s="179" t="s">
        <v>124</v>
      </c>
      <c r="E27" s="180"/>
      <c r="F27" s="180"/>
      <c r="G27" s="180"/>
      <c r="H27" s="180"/>
      <c r="I27" s="180"/>
      <c r="J27" s="181"/>
    </row>
    <row r="28" spans="4:10" ht="47.25">
      <c r="D28" s="87" t="s">
        <v>34</v>
      </c>
      <c r="E28" s="87" t="s">
        <v>35</v>
      </c>
      <c r="F28" s="87" t="s">
        <v>36</v>
      </c>
      <c r="G28" s="87" t="s">
        <v>37</v>
      </c>
      <c r="H28" s="87" t="s">
        <v>41</v>
      </c>
      <c r="I28" s="88" t="s">
        <v>42</v>
      </c>
      <c r="J28" s="88" t="s">
        <v>43</v>
      </c>
    </row>
    <row r="29" spans="4:10" ht="25.5">
      <c r="D29" s="84" t="s">
        <v>38</v>
      </c>
      <c r="E29" s="84">
        <v>88252</v>
      </c>
      <c r="F29" s="89" t="s">
        <v>49</v>
      </c>
      <c r="G29" s="84" t="s">
        <v>44</v>
      </c>
      <c r="H29" s="84">
        <v>0.8</v>
      </c>
      <c r="I29" s="84">
        <v>22.89</v>
      </c>
      <c r="J29" s="85">
        <f t="shared" ref="J29:J32" si="6">TRUNC(I29*H29,2)</f>
        <v>18.309999999999999</v>
      </c>
    </row>
    <row r="30" spans="4:10">
      <c r="D30" s="84" t="s">
        <v>38</v>
      </c>
      <c r="E30" s="84">
        <v>88316</v>
      </c>
      <c r="F30" s="89" t="s">
        <v>45</v>
      </c>
      <c r="G30" s="84" t="s">
        <v>44</v>
      </c>
      <c r="H30" s="84">
        <v>0.8</v>
      </c>
      <c r="I30" s="84">
        <v>23.08</v>
      </c>
      <c r="J30" s="85">
        <f t="shared" si="6"/>
        <v>18.46</v>
      </c>
    </row>
    <row r="31" spans="4:10">
      <c r="D31" s="84" t="s">
        <v>38</v>
      </c>
      <c r="E31" s="84">
        <v>34753</v>
      </c>
      <c r="F31" s="89" t="s">
        <v>104</v>
      </c>
      <c r="G31" s="84" t="s">
        <v>66</v>
      </c>
      <c r="H31" s="84">
        <v>0.1</v>
      </c>
      <c r="I31" s="84">
        <v>0.82</v>
      </c>
      <c r="J31" s="85">
        <f t="shared" si="6"/>
        <v>0.08</v>
      </c>
    </row>
    <row r="32" spans="4:10" ht="25.5">
      <c r="D32" s="84" t="s">
        <v>38</v>
      </c>
      <c r="E32" s="84">
        <v>11963</v>
      </c>
      <c r="F32" s="94" t="s">
        <v>105</v>
      </c>
      <c r="G32" s="84" t="s">
        <v>106</v>
      </c>
      <c r="H32" s="84">
        <v>1</v>
      </c>
      <c r="I32" s="84">
        <v>9.57</v>
      </c>
      <c r="J32" s="85">
        <f t="shared" si="6"/>
        <v>9.57</v>
      </c>
    </row>
    <row r="33" spans="4:10" ht="15">
      <c r="D33" s="182" t="s">
        <v>92</v>
      </c>
      <c r="E33" s="183"/>
      <c r="F33" s="183"/>
      <c r="G33" s="183"/>
      <c r="H33" s="183"/>
      <c r="I33" s="184"/>
      <c r="J33" s="90">
        <f>SUM(J29:J32)</f>
        <v>46.42</v>
      </c>
    </row>
    <row r="34" spans="4:10">
      <c r="D34" s="91" t="s">
        <v>144</v>
      </c>
    </row>
    <row r="35" spans="4:10">
      <c r="D35" s="91"/>
    </row>
    <row r="36" spans="4:10" ht="28.5" customHeight="1">
      <c r="D36" s="179" t="s">
        <v>126</v>
      </c>
      <c r="E36" s="180"/>
      <c r="F36" s="180"/>
      <c r="G36" s="180"/>
      <c r="H36" s="180"/>
      <c r="I36" s="180"/>
      <c r="J36" s="181"/>
    </row>
    <row r="37" spans="4:10" ht="47.25">
      <c r="D37" s="87" t="s">
        <v>34</v>
      </c>
      <c r="E37" s="87" t="s">
        <v>35</v>
      </c>
      <c r="F37" s="87" t="s">
        <v>36</v>
      </c>
      <c r="G37" s="87" t="s">
        <v>37</v>
      </c>
      <c r="H37" s="87" t="s">
        <v>41</v>
      </c>
      <c r="I37" s="88" t="s">
        <v>42</v>
      </c>
      <c r="J37" s="88" t="s">
        <v>43</v>
      </c>
    </row>
    <row r="38" spans="4:10">
      <c r="D38" s="84" t="s">
        <v>38</v>
      </c>
      <c r="E38" s="84">
        <v>88264</v>
      </c>
      <c r="F38" s="91" t="s">
        <v>111</v>
      </c>
      <c r="G38" s="84" t="s">
        <v>44</v>
      </c>
      <c r="H38" s="84">
        <v>0.5</v>
      </c>
      <c r="I38" s="84">
        <v>29.9</v>
      </c>
      <c r="J38" s="85">
        <f t="shared" ref="J38" si="7">TRUNC(I38*H38,2)</f>
        <v>14.95</v>
      </c>
    </row>
    <row r="39" spans="4:10" ht="15">
      <c r="D39" s="182" t="s">
        <v>92</v>
      </c>
      <c r="E39" s="183"/>
      <c r="F39" s="183"/>
      <c r="G39" s="183"/>
      <c r="H39" s="183"/>
      <c r="I39" s="184"/>
      <c r="J39" s="90">
        <f>SUM(J38:J38)</f>
        <v>14.95</v>
      </c>
    </row>
    <row r="40" spans="4:10">
      <c r="D40" s="91" t="s">
        <v>144</v>
      </c>
    </row>
    <row r="41" spans="4:10">
      <c r="D41" s="91"/>
    </row>
    <row r="42" spans="4:10" ht="32.25" customHeight="1">
      <c r="D42" s="179" t="s">
        <v>128</v>
      </c>
      <c r="E42" s="180"/>
      <c r="F42" s="180"/>
      <c r="G42" s="180"/>
      <c r="H42" s="180"/>
      <c r="I42" s="180"/>
      <c r="J42" s="181"/>
    </row>
    <row r="43" spans="4:10" ht="47.25">
      <c r="D43" s="87" t="s">
        <v>34</v>
      </c>
      <c r="E43" s="87" t="s">
        <v>35</v>
      </c>
      <c r="F43" s="87" t="s">
        <v>36</v>
      </c>
      <c r="G43" s="87" t="s">
        <v>37</v>
      </c>
      <c r="H43" s="87" t="s">
        <v>41</v>
      </c>
      <c r="I43" s="88" t="s">
        <v>42</v>
      </c>
      <c r="J43" s="88" t="s">
        <v>43</v>
      </c>
    </row>
    <row r="44" spans="4:10">
      <c r="D44" s="84" t="s">
        <v>38</v>
      </c>
      <c r="E44" s="84">
        <v>88264</v>
      </c>
      <c r="F44" s="91" t="s">
        <v>111</v>
      </c>
      <c r="G44" s="84" t="s">
        <v>44</v>
      </c>
      <c r="H44" s="84">
        <v>0.25</v>
      </c>
      <c r="I44" s="84">
        <v>29.9</v>
      </c>
      <c r="J44" s="85">
        <f t="shared" ref="J44" si="8">TRUNC(I44*H44,2)</f>
        <v>7.47</v>
      </c>
    </row>
    <row r="45" spans="4:10" ht="15">
      <c r="D45" s="182" t="s">
        <v>92</v>
      </c>
      <c r="E45" s="183"/>
      <c r="F45" s="183"/>
      <c r="G45" s="183"/>
      <c r="H45" s="183"/>
      <c r="I45" s="184"/>
      <c r="J45" s="90">
        <f>SUM(J44:J44)</f>
        <v>7.47</v>
      </c>
    </row>
    <row r="46" spans="4:10">
      <c r="D46" s="91" t="s">
        <v>144</v>
      </c>
    </row>
    <row r="47" spans="4:10">
      <c r="D47" s="91"/>
    </row>
    <row r="48" spans="4:10" ht="33" customHeight="1">
      <c r="D48" s="179" t="s">
        <v>130</v>
      </c>
      <c r="E48" s="180"/>
      <c r="F48" s="180"/>
      <c r="G48" s="180"/>
      <c r="H48" s="180"/>
      <c r="I48" s="180"/>
      <c r="J48" s="181"/>
    </row>
    <row r="49" spans="4:13" ht="47.25">
      <c r="D49" s="87" t="s">
        <v>34</v>
      </c>
      <c r="E49" s="87" t="s">
        <v>35</v>
      </c>
      <c r="F49" s="87" t="s">
        <v>36</v>
      </c>
      <c r="G49" s="87" t="s">
        <v>37</v>
      </c>
      <c r="H49" s="87" t="s">
        <v>41</v>
      </c>
      <c r="I49" s="88" t="s">
        <v>42</v>
      </c>
      <c r="J49" s="88" t="s">
        <v>43</v>
      </c>
    </row>
    <row r="50" spans="4:13" ht="25.5">
      <c r="D50" s="84" t="s">
        <v>38</v>
      </c>
      <c r="E50" s="84">
        <v>88252</v>
      </c>
      <c r="F50" s="89" t="s">
        <v>49</v>
      </c>
      <c r="G50" s="84" t="s">
        <v>44</v>
      </c>
      <c r="H50" s="84">
        <v>0.2</v>
      </c>
      <c r="I50" s="84">
        <v>22.89</v>
      </c>
      <c r="J50" s="85">
        <f t="shared" ref="J50:J51" si="9">TRUNC(I50*H50,2)</f>
        <v>4.57</v>
      </c>
    </row>
    <row r="51" spans="4:13">
      <c r="D51" s="84" t="s">
        <v>38</v>
      </c>
      <c r="E51" s="84">
        <v>88316</v>
      </c>
      <c r="F51" s="89" t="s">
        <v>45</v>
      </c>
      <c r="G51" s="84" t="s">
        <v>44</v>
      </c>
      <c r="H51" s="84">
        <v>0.2</v>
      </c>
      <c r="I51" s="84">
        <v>23.08</v>
      </c>
      <c r="J51" s="85">
        <f t="shared" si="9"/>
        <v>4.6100000000000003</v>
      </c>
    </row>
    <row r="52" spans="4:13" ht="15">
      <c r="D52" s="182" t="s">
        <v>137</v>
      </c>
      <c r="E52" s="183"/>
      <c r="F52" s="183"/>
      <c r="G52" s="183"/>
      <c r="H52" s="183"/>
      <c r="I52" s="184"/>
      <c r="J52" s="90">
        <f>SUM(J50:J51)</f>
        <v>9.18</v>
      </c>
    </row>
    <row r="53" spans="4:13">
      <c r="D53" s="91" t="s">
        <v>144</v>
      </c>
    </row>
    <row r="54" spans="4:13">
      <c r="D54" s="91"/>
    </row>
    <row r="55" spans="4:13" ht="43.5" customHeight="1">
      <c r="D55" s="179" t="s">
        <v>132</v>
      </c>
      <c r="E55" s="180"/>
      <c r="F55" s="180"/>
      <c r="G55" s="180"/>
      <c r="H55" s="180"/>
      <c r="I55" s="180"/>
      <c r="J55" s="181"/>
    </row>
    <row r="56" spans="4:13" ht="47.25">
      <c r="D56" s="87" t="s">
        <v>34</v>
      </c>
      <c r="E56" s="87" t="s">
        <v>35</v>
      </c>
      <c r="F56" s="87" t="s">
        <v>36</v>
      </c>
      <c r="G56" s="87" t="s">
        <v>37</v>
      </c>
      <c r="H56" s="87" t="s">
        <v>41</v>
      </c>
      <c r="I56" s="88" t="s">
        <v>42</v>
      </c>
      <c r="J56" s="88" t="s">
        <v>43</v>
      </c>
    </row>
    <row r="57" spans="4:13">
      <c r="D57" s="84" t="s">
        <v>38</v>
      </c>
      <c r="E57" s="84">
        <v>88317</v>
      </c>
      <c r="F57" s="94" t="s">
        <v>90</v>
      </c>
      <c r="G57" s="84" t="s">
        <v>44</v>
      </c>
      <c r="H57" s="84">
        <v>0.5</v>
      </c>
      <c r="I57" s="84">
        <v>36.200000000000003</v>
      </c>
      <c r="J57" s="85">
        <f t="shared" ref="J57" si="10">TRUNC(I57*H57,2)</f>
        <v>18.100000000000001</v>
      </c>
    </row>
    <row r="58" spans="4:13" ht="15">
      <c r="D58" s="182" t="s">
        <v>108</v>
      </c>
      <c r="E58" s="183"/>
      <c r="F58" s="183"/>
      <c r="G58" s="183"/>
      <c r="H58" s="183"/>
      <c r="I58" s="184"/>
      <c r="J58" s="90">
        <f>SUM(J57:J57)</f>
        <v>18.100000000000001</v>
      </c>
    </row>
    <row r="59" spans="4:13">
      <c r="D59" s="91" t="s">
        <v>144</v>
      </c>
    </row>
    <row r="60" spans="4:13">
      <c r="D60" s="91"/>
    </row>
    <row r="61" spans="4:13" ht="35.25" customHeight="1">
      <c r="D61" s="179" t="s">
        <v>134</v>
      </c>
      <c r="E61" s="180"/>
      <c r="F61" s="180"/>
      <c r="G61" s="180"/>
      <c r="H61" s="180"/>
      <c r="I61" s="180"/>
      <c r="J61" s="181"/>
    </row>
    <row r="62" spans="4:13" ht="47.25">
      <c r="D62" s="87" t="s">
        <v>34</v>
      </c>
      <c r="E62" s="87" t="s">
        <v>35</v>
      </c>
      <c r="F62" s="87" t="s">
        <v>36</v>
      </c>
      <c r="G62" s="87" t="s">
        <v>37</v>
      </c>
      <c r="H62" s="87" t="s">
        <v>41</v>
      </c>
      <c r="I62" s="88" t="s">
        <v>42</v>
      </c>
      <c r="J62" s="88" t="s">
        <v>43</v>
      </c>
      <c r="K62" s="123" t="s">
        <v>164</v>
      </c>
      <c r="L62" s="123" t="s">
        <v>165</v>
      </c>
      <c r="M62" s="123" t="s">
        <v>166</v>
      </c>
    </row>
    <row r="63" spans="4:13" ht="25.5">
      <c r="D63" s="84" t="s">
        <v>38</v>
      </c>
      <c r="E63" s="84">
        <v>88252</v>
      </c>
      <c r="F63" s="89" t="s">
        <v>49</v>
      </c>
      <c r="G63" s="84" t="s">
        <v>44</v>
      </c>
      <c r="H63" s="84">
        <v>0.2</v>
      </c>
      <c r="I63" s="84">
        <v>22.89</v>
      </c>
      <c r="J63" s="85">
        <f t="shared" ref="J63:J66" si="11">TRUNC(I63*H63,2)</f>
        <v>4.57</v>
      </c>
      <c r="L63">
        <v>22.89</v>
      </c>
    </row>
    <row r="64" spans="4:13">
      <c r="D64" s="84" t="s">
        <v>38</v>
      </c>
      <c r="E64" s="84">
        <v>88262</v>
      </c>
      <c r="F64" s="89" t="s">
        <v>73</v>
      </c>
      <c r="G64" s="84" t="s">
        <v>44</v>
      </c>
      <c r="H64" s="84">
        <v>0.8</v>
      </c>
      <c r="I64" s="84">
        <v>27.55</v>
      </c>
      <c r="J64" s="85">
        <f t="shared" si="11"/>
        <v>22.04</v>
      </c>
      <c r="L64">
        <v>27.55</v>
      </c>
    </row>
    <row r="65" spans="4:12">
      <c r="D65" s="84" t="s">
        <v>38</v>
      </c>
      <c r="E65" s="93">
        <v>5074</v>
      </c>
      <c r="F65" s="89" t="s">
        <v>65</v>
      </c>
      <c r="G65" s="84" t="s">
        <v>66</v>
      </c>
      <c r="H65" s="84">
        <v>0.15</v>
      </c>
      <c r="I65" s="84">
        <v>1.45</v>
      </c>
      <c r="J65" s="85">
        <f t="shared" si="11"/>
        <v>0.21</v>
      </c>
      <c r="K65">
        <v>1.45</v>
      </c>
    </row>
    <row r="66" spans="4:12" ht="25.5">
      <c r="D66" s="84" t="s">
        <v>38</v>
      </c>
      <c r="E66" s="84">
        <v>4006</v>
      </c>
      <c r="F66" s="89" t="s">
        <v>74</v>
      </c>
      <c r="G66" s="84" t="s">
        <v>75</v>
      </c>
      <c r="H66" s="84">
        <v>0.2</v>
      </c>
      <c r="I66" s="84">
        <v>1574.6</v>
      </c>
      <c r="J66" s="85">
        <f t="shared" si="11"/>
        <v>314.92</v>
      </c>
      <c r="K66">
        <v>1574.6</v>
      </c>
    </row>
    <row r="67" spans="4:12" ht="15">
      <c r="D67" s="182" t="s">
        <v>138</v>
      </c>
      <c r="E67" s="183"/>
      <c r="F67" s="183"/>
      <c r="G67" s="183"/>
      <c r="H67" s="183"/>
      <c r="I67" s="184"/>
      <c r="J67" s="90">
        <f>SUM(J63:J66)</f>
        <v>341.74</v>
      </c>
    </row>
    <row r="68" spans="4:12">
      <c r="D68" s="91" t="s">
        <v>144</v>
      </c>
    </row>
    <row r="70" spans="4:12" ht="32.25" customHeight="1">
      <c r="D70" s="179" t="s">
        <v>136</v>
      </c>
      <c r="E70" s="180"/>
      <c r="F70" s="180"/>
      <c r="G70" s="180"/>
      <c r="H70" s="180"/>
      <c r="I70" s="180"/>
      <c r="J70" s="181"/>
    </row>
    <row r="71" spans="4:12" ht="47.25">
      <c r="D71" s="87" t="s">
        <v>34</v>
      </c>
      <c r="E71" s="87" t="s">
        <v>35</v>
      </c>
      <c r="F71" s="87" t="s">
        <v>36</v>
      </c>
      <c r="G71" s="87" t="s">
        <v>37</v>
      </c>
      <c r="H71" s="87" t="s">
        <v>41</v>
      </c>
      <c r="I71" s="88" t="s">
        <v>42</v>
      </c>
      <c r="J71" s="88" t="s">
        <v>43</v>
      </c>
    </row>
    <row r="72" spans="4:12" ht="25.5">
      <c r="D72" s="84" t="s">
        <v>38</v>
      </c>
      <c r="E72" s="84">
        <v>88252</v>
      </c>
      <c r="F72" s="89" t="s">
        <v>49</v>
      </c>
      <c r="G72" s="84" t="s">
        <v>44</v>
      </c>
      <c r="H72" s="84">
        <v>0.8</v>
      </c>
      <c r="I72" s="84">
        <v>22.89</v>
      </c>
      <c r="J72" s="85">
        <f t="shared" ref="J72:J73" si="12">TRUNC(I72*H72,2)</f>
        <v>18.309999999999999</v>
      </c>
      <c r="L72">
        <v>22.89</v>
      </c>
    </row>
    <row r="73" spans="4:12">
      <c r="D73" s="84" t="s">
        <v>38</v>
      </c>
      <c r="E73" s="84">
        <v>88316</v>
      </c>
      <c r="F73" s="89" t="s">
        <v>45</v>
      </c>
      <c r="G73" s="84" t="s">
        <v>44</v>
      </c>
      <c r="H73" s="84">
        <v>0.8</v>
      </c>
      <c r="I73" s="84">
        <v>23.08</v>
      </c>
      <c r="J73" s="85">
        <f t="shared" si="12"/>
        <v>18.46</v>
      </c>
      <c r="L73">
        <v>23.08</v>
      </c>
    </row>
    <row r="74" spans="4:12">
      <c r="D74" s="84" t="s">
        <v>38</v>
      </c>
      <c r="E74" s="84">
        <v>88310</v>
      </c>
      <c r="F74" s="89" t="s">
        <v>72</v>
      </c>
      <c r="G74" s="84" t="s">
        <v>44</v>
      </c>
      <c r="H74" s="84">
        <v>0.8</v>
      </c>
      <c r="I74" s="84">
        <v>29.41</v>
      </c>
      <c r="J74" s="85">
        <f t="shared" ref="J74:J77" si="13">TRUNC(I74*H74,2)</f>
        <v>23.52</v>
      </c>
      <c r="L74">
        <v>29.41</v>
      </c>
    </row>
    <row r="75" spans="4:12">
      <c r="D75" s="84" t="s">
        <v>38</v>
      </c>
      <c r="E75" s="84">
        <v>88262</v>
      </c>
      <c r="F75" s="89" t="s">
        <v>73</v>
      </c>
      <c r="G75" s="84" t="s">
        <v>44</v>
      </c>
      <c r="H75" s="84">
        <v>0.8</v>
      </c>
      <c r="I75" s="84">
        <v>27.55</v>
      </c>
      <c r="J75" s="85">
        <f t="shared" si="13"/>
        <v>22.04</v>
      </c>
      <c r="L75">
        <v>27.55</v>
      </c>
    </row>
    <row r="76" spans="4:12">
      <c r="D76" s="84" t="s">
        <v>38</v>
      </c>
      <c r="E76" s="93">
        <v>5074</v>
      </c>
      <c r="F76" s="89" t="s">
        <v>65</v>
      </c>
      <c r="G76" s="84" t="s">
        <v>66</v>
      </c>
      <c r="H76" s="84">
        <v>0.15</v>
      </c>
      <c r="I76" s="84">
        <v>1.45</v>
      </c>
      <c r="J76" s="85">
        <f t="shared" si="13"/>
        <v>0.21</v>
      </c>
      <c r="K76">
        <v>1.45</v>
      </c>
    </row>
    <row r="77" spans="4:12" ht="25.5">
      <c r="D77" s="84" t="s">
        <v>38</v>
      </c>
      <c r="E77" s="84">
        <v>88316</v>
      </c>
      <c r="F77" s="89" t="s">
        <v>74</v>
      </c>
      <c r="G77" s="84" t="s">
        <v>75</v>
      </c>
      <c r="H77" s="84">
        <v>0.5</v>
      </c>
      <c r="I77" s="84">
        <v>1574.6</v>
      </c>
      <c r="J77" s="85">
        <f t="shared" si="13"/>
        <v>787.3</v>
      </c>
      <c r="K77">
        <v>1574.6</v>
      </c>
    </row>
    <row r="78" spans="4:12">
      <c r="D78" s="84" t="s">
        <v>38</v>
      </c>
      <c r="E78" s="84">
        <v>37638</v>
      </c>
      <c r="F78" s="89" t="s">
        <v>76</v>
      </c>
      <c r="G78" s="84" t="s">
        <v>63</v>
      </c>
      <c r="H78" s="84">
        <v>5</v>
      </c>
      <c r="I78" s="84">
        <v>4.67</v>
      </c>
      <c r="J78" s="85">
        <f t="shared" ref="J78:J81" si="14">TRUNC(I78*H78,2)</f>
        <v>23.35</v>
      </c>
      <c r="K78">
        <v>4.67</v>
      </c>
    </row>
    <row r="79" spans="4:12">
      <c r="D79" s="84" t="s">
        <v>38</v>
      </c>
      <c r="E79" s="84">
        <v>88316</v>
      </c>
      <c r="F79" s="89" t="s">
        <v>77</v>
      </c>
      <c r="G79" s="84" t="s">
        <v>63</v>
      </c>
      <c r="H79" s="84">
        <v>5</v>
      </c>
      <c r="I79" s="84">
        <v>1.56</v>
      </c>
      <c r="J79" s="85">
        <f t="shared" si="14"/>
        <v>7.8</v>
      </c>
      <c r="K79">
        <v>1.56</v>
      </c>
    </row>
    <row r="80" spans="4:12">
      <c r="D80" s="84" t="s">
        <v>38</v>
      </c>
      <c r="E80" s="84">
        <v>88316</v>
      </c>
      <c r="F80" s="89" t="s">
        <v>79</v>
      </c>
      <c r="G80" s="84" t="s">
        <v>27</v>
      </c>
      <c r="H80" s="84">
        <v>1</v>
      </c>
      <c r="I80" s="84">
        <v>17.87</v>
      </c>
      <c r="J80" s="85">
        <f t="shared" si="14"/>
        <v>17.87</v>
      </c>
      <c r="K80">
        <v>17.87</v>
      </c>
    </row>
    <row r="81" spans="4:13" ht="25.5">
      <c r="D81" s="84" t="s">
        <v>38</v>
      </c>
      <c r="E81" s="84">
        <v>88316</v>
      </c>
      <c r="F81" s="89" t="s">
        <v>40</v>
      </c>
      <c r="G81" s="84" t="s">
        <v>27</v>
      </c>
      <c r="H81" s="84">
        <v>1</v>
      </c>
      <c r="I81" s="84">
        <v>25.85</v>
      </c>
      <c r="J81" s="85">
        <f t="shared" si="14"/>
        <v>25.85</v>
      </c>
      <c r="K81">
        <v>25.85</v>
      </c>
    </row>
    <row r="82" spans="4:13">
      <c r="D82" s="92"/>
      <c r="E82" s="93"/>
      <c r="F82" s="94"/>
      <c r="G82" s="93"/>
      <c r="H82" s="93"/>
      <c r="I82" s="95"/>
      <c r="J82" s="85"/>
    </row>
    <row r="83" spans="4:13" ht="15">
      <c r="D83" s="182" t="s">
        <v>80</v>
      </c>
      <c r="E83" s="183"/>
      <c r="F83" s="183"/>
      <c r="G83" s="183"/>
      <c r="H83" s="183"/>
      <c r="I83" s="184"/>
      <c r="J83" s="90">
        <f>SUM(J72:J81)</f>
        <v>944.71</v>
      </c>
    </row>
    <row r="84" spans="4:13">
      <c r="D84" s="91" t="s">
        <v>144</v>
      </c>
    </row>
    <row r="86" spans="4:13" ht="36" customHeight="1">
      <c r="D86" s="179" t="s">
        <v>163</v>
      </c>
      <c r="E86" s="180"/>
      <c r="F86" s="180"/>
      <c r="G86" s="180"/>
      <c r="H86" s="180"/>
      <c r="I86" s="180"/>
      <c r="J86" s="181"/>
    </row>
    <row r="87" spans="4:13" ht="47.25">
      <c r="D87" s="120" t="s">
        <v>34</v>
      </c>
      <c r="E87" s="121" t="s">
        <v>35</v>
      </c>
      <c r="F87" s="121" t="s">
        <v>36</v>
      </c>
      <c r="G87" s="121" t="s">
        <v>37</v>
      </c>
      <c r="H87" s="121" t="s">
        <v>41</v>
      </c>
      <c r="I87" s="121" t="s">
        <v>42</v>
      </c>
      <c r="J87" s="122" t="s">
        <v>43</v>
      </c>
    </row>
    <row r="88" spans="4:13">
      <c r="D88" s="112" t="s">
        <v>38</v>
      </c>
      <c r="E88" s="113">
        <v>88309</v>
      </c>
      <c r="F88" s="114" t="s">
        <v>158</v>
      </c>
      <c r="G88" s="115" t="s">
        <v>152</v>
      </c>
      <c r="H88" s="113">
        <v>0.68700000000000006</v>
      </c>
      <c r="I88" s="113">
        <v>24.11</v>
      </c>
      <c r="J88" s="116">
        <v>16.559999999999999</v>
      </c>
      <c r="L88">
        <v>24.11</v>
      </c>
    </row>
    <row r="89" spans="4:13">
      <c r="D89" s="112" t="s">
        <v>38</v>
      </c>
      <c r="E89" s="113">
        <v>88316</v>
      </c>
      <c r="F89" s="117" t="s">
        <v>45</v>
      </c>
      <c r="G89" s="118" t="s">
        <v>152</v>
      </c>
      <c r="H89" s="113">
        <v>0.34599999999999997</v>
      </c>
      <c r="I89" s="113">
        <v>20.079999999999998</v>
      </c>
      <c r="J89" s="116">
        <v>6.95</v>
      </c>
      <c r="L89">
        <v>20.079999999999998</v>
      </c>
    </row>
    <row r="90" spans="4:13" ht="25.5">
      <c r="D90" s="112" t="s">
        <v>38</v>
      </c>
      <c r="E90" s="113">
        <v>87366</v>
      </c>
      <c r="F90" s="117" t="s">
        <v>159</v>
      </c>
      <c r="G90" s="118" t="s">
        <v>160</v>
      </c>
      <c r="H90" s="113">
        <v>3.7400000000000003E-2</v>
      </c>
      <c r="I90" s="113">
        <v>617.63</v>
      </c>
      <c r="J90" s="116">
        <v>21.39</v>
      </c>
      <c r="K90">
        <v>424.35</v>
      </c>
      <c r="L90">
        <v>193.28</v>
      </c>
      <c r="M90">
        <f>K90+L90</f>
        <v>617.63</v>
      </c>
    </row>
    <row r="91" spans="4:13" ht="15">
      <c r="D91" s="185" t="s">
        <v>161</v>
      </c>
      <c r="E91" s="186"/>
      <c r="F91" s="186"/>
      <c r="G91" s="186"/>
      <c r="H91" s="186"/>
      <c r="I91" s="187"/>
      <c r="J91" s="119">
        <v>44.9</v>
      </c>
    </row>
  </sheetData>
  <mergeCells count="22">
    <mergeCell ref="D91:I91"/>
    <mergeCell ref="D86:J86"/>
    <mergeCell ref="D39:I39"/>
    <mergeCell ref="D42:J42"/>
    <mergeCell ref="D70:J70"/>
    <mergeCell ref="D83:I83"/>
    <mergeCell ref="D55:J55"/>
    <mergeCell ref="D58:I58"/>
    <mergeCell ref="D61:J61"/>
    <mergeCell ref="D67:I67"/>
    <mergeCell ref="D45:I45"/>
    <mergeCell ref="D48:J48"/>
    <mergeCell ref="D52:I52"/>
    <mergeCell ref="D2:J2"/>
    <mergeCell ref="D7:I7"/>
    <mergeCell ref="D27:J27"/>
    <mergeCell ref="D33:I33"/>
    <mergeCell ref="D36:J36"/>
    <mergeCell ref="D10:J10"/>
    <mergeCell ref="D20:J20"/>
    <mergeCell ref="D24:I24"/>
    <mergeCell ref="D17:I17"/>
  </mergeCells>
  <pageMargins left="0.70866141732283472" right="0" top="1.3779527559055118" bottom="0.39370078740157483" header="0.31496062992125984" footer="0.31496062992125984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PO -</vt:lpstr>
      <vt:lpstr>TOTALIZADORA</vt:lpstr>
      <vt:lpstr>COMP</vt:lpstr>
      <vt:lpstr>Plan1</vt:lpstr>
      <vt:lpstr>COMP!Area_de_impressao</vt:lpstr>
      <vt:lpstr>'PO -'!Area_de_impressao</vt:lpstr>
      <vt:lpstr>TOTALIZADORA!Area_de_impressao</vt:lpstr>
      <vt:lpstr>'PO -'!Titulos_de_impressao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Alice Albernaz</dc:title>
  <dc:creator>Ber Projetos e Obras</dc:creator>
  <cp:lastModifiedBy>usuario</cp:lastModifiedBy>
  <cp:lastPrinted>2025-01-30T14:30:42Z</cp:lastPrinted>
  <dcterms:created xsi:type="dcterms:W3CDTF">2002-04-18T18:04:56Z</dcterms:created>
  <dcterms:modified xsi:type="dcterms:W3CDTF">2025-03-18T13:15:55Z</dcterms:modified>
</cp:coreProperties>
</file>