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ENGENHARIA\Licitações\COLETA RESÍDUOS SÓLIDOS\Docs Licitação\"/>
    </mc:Choice>
  </mc:AlternateContent>
  <xr:revisionPtr revIDLastSave="0" documentId="13_ncr:1_{F168A933-1FAF-43DE-8F79-7B858CB3B442}" xr6:coauthVersionLast="47" xr6:coauthVersionMax="47" xr10:uidLastSave="{00000000-0000-0000-0000-000000000000}"/>
  <bookViews>
    <workbookView xWindow="-120" yWindow="-120" windowWidth="19440" windowHeight="15000" tabRatio="802" xr2:uid="{00000000-000D-0000-FFFF-FFFF00000000}"/>
  </bookViews>
  <sheets>
    <sheet name="1. Coleta de resíduos sólidos" sheetId="2" r:id="rId1"/>
    <sheet name="2.Encargos Sociais" sheetId="8" r:id="rId2"/>
    <sheet name="3.CAGED" sheetId="5" r:id="rId3"/>
    <sheet name="4.BDI" sheetId="4" r:id="rId4"/>
    <sheet name="5. Depreciação" sheetId="6" r:id="rId5"/>
    <sheet name="6.Remuneração de capital" sheetId="7" r:id="rId6"/>
    <sheet name="7. Dimensionamento" sheetId="10" r:id="rId7"/>
    <sheet name="8. Cronograma" sheetId="11" r:id="rId8"/>
  </sheets>
  <definedNames>
    <definedName name="AbaDeprec">'5. Depreciação'!$A$1</definedName>
    <definedName name="AbaRemun">'6.Remuneração de capital'!$A$1</definedName>
    <definedName name="_xlnm.Print_Area" localSheetId="0">'1. Coleta de resíduos sólidos'!$A$1:$F$193</definedName>
    <definedName name="_xlnm.Print_Area" localSheetId="1">'2.Encargos Sociais'!$A$1:$C$32</definedName>
    <definedName name="_xlnm.Print_Area" localSheetId="7">'8. Cronograma'!$A$1:$L$4</definedName>
    <definedName name="_xlnm.Print_Titles" localSheetId="0">'1. Coleta de resíduos sólidos'!#REF!</definedName>
  </definedNames>
  <calcPr calcId="191029"/>
</workbook>
</file>

<file path=xl/calcChain.xml><?xml version="1.0" encoding="utf-8"?>
<calcChain xmlns="http://schemas.openxmlformats.org/spreadsheetml/2006/main">
  <c r="E180" i="2" l="1"/>
  <c r="E129" i="2"/>
  <c r="E111" i="2"/>
  <c r="E51" i="2"/>
  <c r="C50" i="2"/>
  <c r="C41" i="2"/>
  <c r="E42" i="2"/>
  <c r="F31" i="2"/>
  <c r="F25" i="10"/>
  <c r="F16" i="10"/>
  <c r="F19" i="10" s="1"/>
  <c r="E55" i="2"/>
  <c r="C177" i="2"/>
  <c r="F23" i="10" l="1"/>
  <c r="F26" i="10" s="1"/>
  <c r="F21" i="10"/>
  <c r="F20" i="10"/>
  <c r="D143" i="2"/>
  <c r="D145" i="2"/>
  <c r="D141" i="2"/>
  <c r="D139" i="2"/>
  <c r="D137" i="2"/>
  <c r="D135" i="2"/>
  <c r="D146" i="2" l="1"/>
  <c r="C127" i="2" l="1"/>
  <c r="C126" i="2"/>
  <c r="C125" i="2"/>
  <c r="E121" i="2" l="1"/>
  <c r="C118" i="2"/>
  <c r="C117" i="2"/>
  <c r="C116" i="2"/>
  <c r="D107" i="2"/>
  <c r="E107" i="2" s="1"/>
  <c r="E116" i="2" s="1"/>
  <c r="E85" i="2"/>
  <c r="E98" i="2"/>
  <c r="E96" i="2"/>
  <c r="E83" i="2"/>
  <c r="D116" i="2" l="1"/>
  <c r="D63" i="2"/>
  <c r="D64" i="2"/>
  <c r="C56" i="2" l="1"/>
  <c r="C58" i="2" l="1"/>
  <c r="C57" i="2"/>
  <c r="A22" i="2" l="1"/>
  <c r="A21" i="2"/>
  <c r="A20" i="2"/>
  <c r="A12" i="2"/>
  <c r="A11" i="2"/>
  <c r="A6" i="2"/>
  <c r="C84" i="2" l="1"/>
  <c r="C63" i="2"/>
  <c r="C97" i="2"/>
  <c r="C64" i="2"/>
  <c r="E89" i="2" l="1"/>
  <c r="E73" i="2"/>
  <c r="E74" i="2"/>
  <c r="E75" i="2"/>
  <c r="E76" i="2"/>
  <c r="E77" i="2"/>
  <c r="E78" i="2"/>
  <c r="E79" i="2"/>
  <c r="E80" i="2"/>
  <c r="E81" i="2"/>
  <c r="E72" i="2"/>
  <c r="C160" i="2" l="1"/>
  <c r="A19" i="2"/>
  <c r="A18" i="2"/>
  <c r="A17" i="2"/>
  <c r="A16" i="2"/>
  <c r="A15" i="2"/>
  <c r="A14" i="2"/>
  <c r="A13" i="2"/>
  <c r="A10" i="2"/>
  <c r="A9" i="2"/>
  <c r="A8" i="2"/>
  <c r="A7" i="2"/>
  <c r="C15" i="8"/>
  <c r="D115" i="2"/>
  <c r="C12" i="4"/>
  <c r="C188" i="2" s="1"/>
  <c r="C12" i="8"/>
  <c r="E46" i="2"/>
  <c r="D58" i="2" s="1"/>
  <c r="C158" i="2"/>
  <c r="E158" i="2" s="1"/>
  <c r="C135" i="2"/>
  <c r="C137" i="2" s="1"/>
  <c r="E137" i="2" s="1"/>
  <c r="E106" i="2"/>
  <c r="E108" i="2" s="1"/>
  <c r="E110" i="2" s="1"/>
  <c r="F111" i="2" s="1"/>
  <c r="C176" i="2"/>
  <c r="C178" i="2" s="1"/>
  <c r="E178" i="2" s="1"/>
  <c r="D179" i="2" s="1"/>
  <c r="E179" i="2" s="1"/>
  <c r="A28" i="2"/>
  <c r="A29" i="2"/>
  <c r="A31" i="2"/>
  <c r="E36" i="2"/>
  <c r="D57" i="2" s="1"/>
  <c r="A63" i="2"/>
  <c r="A64" i="2"/>
  <c r="E82" i="2"/>
  <c r="D84" i="2" s="1"/>
  <c r="E90" i="2"/>
  <c r="E91" i="2"/>
  <c r="E92" i="2"/>
  <c r="E93" i="2"/>
  <c r="E94" i="2"/>
  <c r="E95" i="2"/>
  <c r="E156" i="2"/>
  <c r="E127" i="2"/>
  <c r="E126" i="2"/>
  <c r="E168" i="2"/>
  <c r="E169" i="2"/>
  <c r="D97" i="2" l="1"/>
  <c r="C26" i="8"/>
  <c r="C141" i="2"/>
  <c r="C145" i="2"/>
  <c r="E145" i="2" s="1"/>
  <c r="F170" i="2"/>
  <c r="E64" i="2"/>
  <c r="E135" i="2"/>
  <c r="E63" i="2"/>
  <c r="F65" i="2" s="1"/>
  <c r="E57" i="2"/>
  <c r="D37" i="2"/>
  <c r="E37" i="2" s="1"/>
  <c r="E38" i="2" s="1"/>
  <c r="D39" i="2" s="1"/>
  <c r="C139" i="2"/>
  <c r="E139" i="2" s="1"/>
  <c r="C151" i="2"/>
  <c r="E151" i="2" s="1"/>
  <c r="E176" i="2"/>
  <c r="D177" i="2" s="1"/>
  <c r="E177" i="2" s="1"/>
  <c r="E115" i="2"/>
  <c r="D118" i="2" s="1"/>
  <c r="E118" i="2" s="1"/>
  <c r="D120" i="2" s="1"/>
  <c r="E120" i="2" s="1"/>
  <c r="F121" i="2" s="1"/>
  <c r="D159" i="2"/>
  <c r="E58" i="2"/>
  <c r="E47" i="2"/>
  <c r="F59" i="2" l="1"/>
  <c r="E9" i="2" s="1"/>
  <c r="F172" i="2"/>
  <c r="E20" i="2" s="1"/>
  <c r="F180" i="2"/>
  <c r="F182" i="2" s="1"/>
  <c r="E21" i="2" s="1"/>
  <c r="E159" i="2"/>
  <c r="D160" i="2" s="1"/>
  <c r="E160" i="2" s="1"/>
  <c r="E141" i="2"/>
  <c r="C143" i="2"/>
  <c r="E143" i="2" s="1"/>
  <c r="F152" i="2"/>
  <c r="E18" i="2" s="1"/>
  <c r="C25" i="8"/>
  <c r="C22" i="8"/>
  <c r="C30" i="8" s="1"/>
  <c r="E125" i="2"/>
  <c r="D128" i="2" s="1"/>
  <c r="E128" i="2" s="1"/>
  <c r="C23" i="8"/>
  <c r="C14" i="8" s="1"/>
  <c r="C20" i="8" s="1"/>
  <c r="C29" i="8" s="1"/>
  <c r="E97" i="2"/>
  <c r="F98" i="2" s="1"/>
  <c r="E84" i="2"/>
  <c r="F85" i="2" s="1"/>
  <c r="D48" i="2"/>
  <c r="F147" i="2" l="1"/>
  <c r="E17" i="2" s="1"/>
  <c r="F161" i="2"/>
  <c r="E19" i="2" s="1"/>
  <c r="F129" i="2"/>
  <c r="E16" i="2" s="1"/>
  <c r="F100" i="2"/>
  <c r="E11" i="2" s="1"/>
  <c r="E10" i="2"/>
  <c r="C24" i="8"/>
  <c r="C27" i="8" s="1"/>
  <c r="C31" i="8"/>
  <c r="E14" i="2"/>
  <c r="C32" i="8" l="1"/>
  <c r="C48" i="2" s="1"/>
  <c r="E15" i="2"/>
  <c r="E13" i="2" s="1"/>
  <c r="F164" i="2"/>
  <c r="E12" i="2" s="1"/>
  <c r="C39" i="2" l="1"/>
  <c r="E39" i="2" s="1"/>
  <c r="E40" i="2" s="1"/>
  <c r="D41" i="2" s="1"/>
  <c r="E41" i="2" s="1"/>
  <c r="E48" i="2"/>
  <c r="E49" i="2" s="1"/>
  <c r="D50" i="2" s="1"/>
  <c r="E50" i="2" s="1"/>
  <c r="F51" i="2" s="1"/>
  <c r="F42" i="2" l="1"/>
  <c r="E7" i="2" s="1"/>
  <c r="E8" i="2"/>
  <c r="F67" i="2" l="1"/>
  <c r="F184" i="2" s="1"/>
  <c r="D188" i="2" s="1"/>
  <c r="E188" i="2" s="1"/>
  <c r="E6" i="2" l="1"/>
  <c r="F189" i="2"/>
  <c r="F191" i="2" s="1"/>
  <c r="E22" i="2" l="1"/>
  <c r="E23" i="2" s="1"/>
  <c r="F6" i="2" s="1"/>
  <c r="F193" i="2"/>
  <c r="F15" i="2" l="1"/>
  <c r="F14" i="2"/>
  <c r="F10" i="2"/>
  <c r="F8" i="2"/>
  <c r="F13" i="2"/>
  <c r="F18" i="2"/>
  <c r="F12" i="2"/>
  <c r="F22" i="2"/>
  <c r="F19" i="2"/>
  <c r="F7" i="2"/>
  <c r="F11" i="2"/>
  <c r="F21" i="2"/>
  <c r="F17" i="2"/>
  <c r="F20" i="2"/>
  <c r="F9" i="2"/>
  <c r="F16" i="2"/>
  <c r="F23" i="2" l="1"/>
</calcChain>
</file>

<file path=xl/sharedStrings.xml><?xml version="1.0" encoding="utf-8"?>
<sst xmlns="http://schemas.openxmlformats.org/spreadsheetml/2006/main" count="445" uniqueCount="273">
  <si>
    <t>Adicional de Insalubridade</t>
  </si>
  <si>
    <t>%</t>
  </si>
  <si>
    <t>Soma</t>
  </si>
  <si>
    <t>Encargos Sociais</t>
  </si>
  <si>
    <t>Total do Efetivo</t>
  </si>
  <si>
    <t>homem</t>
  </si>
  <si>
    <t>mês</t>
  </si>
  <si>
    <t>vale</t>
  </si>
  <si>
    <t>unidade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</si>
  <si>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</si>
  <si>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</si>
  <si>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</si>
  <si>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</si>
  <si>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</si>
  <si>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</si>
  <si>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</si>
  <si>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</si>
  <si>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</si>
  <si>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</si>
  <si>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</si>
  <si>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</si>
  <si>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</si>
  <si>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</si>
  <si>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</si>
  <si>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Pá de Concha</t>
  </si>
  <si>
    <t>Vassoura</t>
  </si>
  <si>
    <t>R$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</si>
  <si>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</si>
  <si>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</si>
  <si>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</si>
  <si>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</si>
  <si>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</si>
  <si>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</si>
  <si>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</si>
  <si>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</si>
  <si>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</si>
  <si>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</si>
  <si>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</si>
  <si>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</si>
  <si>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</si>
  <si>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</si>
  <si>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3.1.3. Impostos e Seguros</t>
  </si>
  <si>
    <t>3.1.4. Consumos</t>
  </si>
  <si>
    <t>3.1.5. Manutenção</t>
  </si>
  <si>
    <t>3. Veículos e Equipamentos</t>
  </si>
  <si>
    <t>Custo mensal com pneus</t>
  </si>
  <si>
    <t>cj</t>
  </si>
  <si>
    <t>Custo mensal com implantação</t>
  </si>
  <si>
    <t>3.1.6. Pneus</t>
  </si>
  <si>
    <t>Discriminação</t>
  </si>
  <si>
    <t>Unidade</t>
  </si>
  <si>
    <t>Subtotal</t>
  </si>
  <si>
    <t>Custo de recapagem</t>
  </si>
  <si>
    <t>Total por Coletor</t>
  </si>
  <si>
    <t>Coletor</t>
  </si>
  <si>
    <t>4. Ferramentas e Materiais de Consumo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</si>
  <si>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</si>
  <si>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</si>
  <si>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</si>
  <si>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</si>
  <si>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</si>
  <si>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</si>
  <si>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</si>
  <si>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DF</t>
  </si>
  <si>
    <t>Tributos - ISS</t>
  </si>
  <si>
    <t>T</t>
  </si>
  <si>
    <t>Tributos - PIS/COFINS</t>
  </si>
  <si>
    <t>6. Benefícios e Despesas Indiretas - BDI</t>
  </si>
  <si>
    <t>Vale Transporte</t>
  </si>
  <si>
    <t>Dias Trabalhados por mês</t>
  </si>
  <si>
    <t>dia</t>
  </si>
  <si>
    <t>Custo Mensal com Mão-de-obra (R$/mês)</t>
  </si>
  <si>
    <t>Meia de algodão com cano alto</t>
  </si>
  <si>
    <t>Custo do jogo de pneus xxx/xx Rxx</t>
  </si>
  <si>
    <t>Quantitativos</t>
  </si>
  <si>
    <t>i = taxa de juros do mercado (sugere-se adotar a taxa SELIC)</t>
  </si>
  <si>
    <t>n = vida útil do bem em anos</t>
  </si>
  <si>
    <t>Im = investimento médio</t>
  </si>
  <si>
    <t>Custo de manutenção dos caminhões</t>
  </si>
  <si>
    <t>Quilometragem mensal</t>
  </si>
  <si>
    <t>R$/km rodado</t>
  </si>
  <si>
    <t>Número de recapagens por pneu</t>
  </si>
  <si>
    <t>Transferência de saída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</si>
  <si>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</si>
  <si>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</si>
  <si>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</si>
  <si>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</si>
  <si>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</si>
  <si>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</si>
  <si>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</si>
  <si>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</si>
  <si>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</si>
  <si>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</si>
  <si>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</si>
  <si>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</si>
  <si>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</si>
  <si>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</si>
  <si>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</si>
  <si>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</si>
  <si>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</si>
  <si>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</si>
  <si>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</si>
  <si>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</si>
  <si>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</si>
  <si>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</si>
  <si>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</si>
  <si>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</si>
  <si>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</si>
  <si>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</si>
  <si>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</si>
  <si>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</si>
  <si>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</si>
  <si>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</si>
  <si>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</si>
  <si>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</si>
  <si>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</si>
  <si>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</si>
  <si>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</si>
  <si>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</si>
  <si>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</si>
  <si>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</si>
  <si>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</si>
  <si>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</si>
  <si>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</si>
  <si>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</si>
  <si>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</si>
  <si>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</si>
  <si>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</si>
  <si>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</si>
  <si>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</si>
  <si>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</si>
  <si>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</si>
  <si>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DU</t>
  </si>
  <si>
    <t>Licenciamento e Seguro obrigatório</t>
  </si>
  <si>
    <t>Fator de utilização</t>
  </si>
  <si>
    <t>Custo Mensal com Uniformes e EPIs (R$/mês)</t>
  </si>
  <si>
    <t>Descrição do Item</t>
  </si>
  <si>
    <t>Orçamento Sintético</t>
  </si>
  <si>
    <t>Idade do veículo (ano)</t>
  </si>
  <si>
    <t>Piso da categoria</t>
  </si>
  <si>
    <t>C2</t>
  </si>
  <si>
    <t>B3</t>
  </si>
  <si>
    <t xml:space="preserve">1. Coleta de Resíduos Sólidos </t>
  </si>
  <si>
    <t>Custo Mensal com Monitoramento da Frota (R$/mês)</t>
  </si>
  <si>
    <t>Implantação dos equipamentos de monitoramento</t>
  </si>
  <si>
    <t>Manutenção dos equipamentos de monitoramento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</si>
  <si>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</si>
  <si>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</si>
  <si>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</si>
  <si>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</si>
  <si>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</si>
  <si>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 xml:space="preserve">2. Composição dos Encargos Sociais </t>
  </si>
  <si>
    <t>5. Depreciação Referencial TCE/RS (%)</t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</si>
  <si>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</si>
  <si>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</si>
  <si>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</si>
  <si>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</si>
  <si>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</si>
  <si>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</si>
  <si>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</si>
  <si>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Fórmula de cálculo da remuneração de capital:</t>
  </si>
  <si>
    <t>Total por Motorista</t>
  </si>
  <si>
    <t>Durabilidade (meses)</t>
  </si>
  <si>
    <t>Custo com consumos/km rodado</t>
  </si>
  <si>
    <t>Consumo</t>
  </si>
  <si>
    <t>7. Dimensionamento da frota</t>
  </si>
  <si>
    <t>i</t>
  </si>
  <si>
    <t>Depreciação Média</t>
  </si>
  <si>
    <t>Reincidência de FGTS sobre aviso prévio indenizado</t>
  </si>
  <si>
    <t>Piso da categoria (2)</t>
  </si>
  <si>
    <t>Acordo</t>
  </si>
  <si>
    <t>Data</t>
  </si>
  <si>
    <t>c) População estimada pelo IBGE (hab)</t>
  </si>
  <si>
    <t>b) Intervalo de dias da amostragem (dias)</t>
  </si>
  <si>
    <t xml:space="preserve">d) Geração total diária (kg) d = a/b </t>
  </si>
  <si>
    <t>e) Geração per capita diária (kg/dia/hab) e = d/c</t>
  </si>
  <si>
    <t>f) Geração total mensal (kg/mês) f = d*30</t>
  </si>
  <si>
    <t>g) Número de dias de coleta por semana (dias)</t>
  </si>
  <si>
    <t>h) Quantitativo diário de coleta (kg/dia) h = d*7/g</t>
  </si>
  <si>
    <t>i) Volume do compactador (m³)</t>
  </si>
  <si>
    <t>k) Número de cargas por dia (cargas) k = j/h</t>
  </si>
  <si>
    <t>Componente (I)</t>
  </si>
  <si>
    <t>Dados (II)</t>
  </si>
  <si>
    <t>1. Admissões (Quadro 8 - 2023)</t>
  </si>
  <si>
    <t>2. Desligamentos (Quadro 8 - 2023)</t>
  </si>
  <si>
    <t>Dados (IV)</t>
  </si>
  <si>
    <t>Indicadores (III)</t>
  </si>
  <si>
    <t>5. Variação Emprego Absoluta de 01-01-2019 a 31-12-2019</t>
  </si>
  <si>
    <t>3. Estoque do início do período (Quadro 8 - 2022)</t>
  </si>
  <si>
    <t>4. Estoque do final do período (Quadro 8 - 2023)</t>
  </si>
  <si>
    <t xml:space="preserve">    a. Dispensados com justa causa (2,17%) (Quadro 9 - IIIa)*II2</t>
  </si>
  <si>
    <t xml:space="preserve">    b. Dispensados sem justa causa (58,69%) (Quadro 9 - IIIb)*II2</t>
  </si>
  <si>
    <t xml:space="preserve">    c. Espontâneos (18,32%) (Quadro 9 - IIIc)*II2</t>
  </si>
  <si>
    <t xml:space="preserve">    d. Fim de contrato por prazo determinado (1,08%) (Quadro 9 - IIId)*II2</t>
  </si>
  <si>
    <t xml:space="preserve">    e. Término de contrato (17,23%) (Quadro 9 - IIIe)*II2</t>
  </si>
  <si>
    <t xml:space="preserve">    f. Aposentados (0,05%) (Quadro 9 - IIIf)*II2</t>
  </si>
  <si>
    <t xml:space="preserve">    g. Mortos (1,48%) (Quadro 9 - IIIg)*II2</t>
  </si>
  <si>
    <t>6. Estoque Médio</t>
  </si>
  <si>
    <t>7. % Demitidos s/ Justa Causa em relação ao Estoque Médio</t>
  </si>
  <si>
    <t>8. Taxa de Rotatividade</t>
  </si>
  <si>
    <t>9. Rotatividade temporal (meses)</t>
  </si>
  <si>
    <t>10. Dias ano</t>
  </si>
  <si>
    <t>11. 1/3 de férias (dias)</t>
  </si>
  <si>
    <t>12. Férias (dias)</t>
  </si>
  <si>
    <t>13. 13º Salário (dias)</t>
  </si>
  <si>
    <t>14. Dias de Aviso prévio</t>
  </si>
  <si>
    <t>15. FGTS</t>
  </si>
  <si>
    <t>16. Multa FGTS</t>
  </si>
  <si>
    <t>1.3. Vale Transporte</t>
  </si>
  <si>
    <t>Chapéu ou boné tipo árabe ou legionário ou que cumpra a mesma função para auxílio na proteção contra radiação solar;</t>
  </si>
  <si>
    <t>Protetor solar (frasco de 120g)</t>
  </si>
  <si>
    <t>Jaqueta com refletivo que atenda a NBR 15.292</t>
  </si>
  <si>
    <t>Óculos de proteção contra radiação solar</t>
  </si>
  <si>
    <t>Calças compridas com sinalização refletiva</t>
  </si>
  <si>
    <t>Camisa com mangas curtas em malha de algodão com sinalização refletiva</t>
  </si>
  <si>
    <t>Camisa com mangas longas em malha de algodão com sinalização refletiva</t>
  </si>
  <si>
    <t>Calçado de segurança do tipo tênis aprovado, no mínimo, para proteção contra impactos de quedas sobre os artelhos e contra agentes abrasivos, escoriantes e perfurantes, com absorção de energia na área do salto (calcanhar) e com resistência ao escorregamento</t>
  </si>
  <si>
    <t>Luva de segurança aprovada para proteção das mãos do usuário contra agentes abrasivos, escoriantes, cortantes e perfurantes, aprovada para o ensaio de resistência a corte por lâmina e para o ensaio de resistência à perfuração</t>
  </si>
  <si>
    <t>Capa de chuva na cor amarela, com refletivo que atenda a NBR 15.292</t>
  </si>
  <si>
    <t>Colete refletivo</t>
  </si>
  <si>
    <t>2.2. Uniformes e EPIs para motoristas</t>
  </si>
  <si>
    <t>a) Custo de aquisição do veículo coletor com compactador</t>
  </si>
  <si>
    <t>b) Valor residual</t>
  </si>
  <si>
    <t>c) Valor depreciável</t>
  </si>
  <si>
    <t>d) Vida útil do veículo</t>
  </si>
  <si>
    <t>e) Depreciação mensal do veículo</t>
  </si>
  <si>
    <t>a - b</t>
  </si>
  <si>
    <t>meses</t>
  </si>
  <si>
    <t>R$/mensal</t>
  </si>
  <si>
    <t>c/d</t>
  </si>
  <si>
    <t>c) Vida útil do veículo</t>
  </si>
  <si>
    <t>d) Investimento médio total do veículo coletor com compactador</t>
  </si>
  <si>
    <t>anos</t>
  </si>
  <si>
    <t>e) Taxa de juros anual nominal</t>
  </si>
  <si>
    <t>f) Remuneração mensal de capital do veículo</t>
  </si>
  <si>
    <t>1.4. Auxílio alimentação</t>
  </si>
  <si>
    <t>Custo de Arla 32 / 1000 km rodado</t>
  </si>
  <si>
    <t>Fator de Utilização</t>
  </si>
  <si>
    <r>
      <t xml:space="preserve">Custo jg. compl. + </t>
    </r>
    <r>
      <rPr>
        <sz val="10"/>
        <color indexed="10"/>
        <rFont val="Times New Roman"/>
        <family val="1"/>
      </rPr>
      <t>X</t>
    </r>
    <r>
      <rPr>
        <sz val="10"/>
        <rFont val="Times New Roman"/>
        <family val="1"/>
      </rPr>
      <t xml:space="preserve"> recap./ km rodado</t>
    </r>
  </si>
  <si>
    <t xml:space="preserve">Veículos </t>
  </si>
  <si>
    <t>1.1. Coletor</t>
  </si>
  <si>
    <t>1.2. Motorista</t>
  </si>
  <si>
    <t>2.1. Uniformes e EPIs para Coletores</t>
  </si>
  <si>
    <t>3.1. Veículo Coletor Compactador 12 m³</t>
  </si>
  <si>
    <t>3.1.2. Remuneração de capital</t>
  </si>
  <si>
    <r>
      <t xml:space="preserve">Total </t>
    </r>
    <r>
      <rPr>
        <b/>
        <u/>
        <sz val="10"/>
        <color theme="0"/>
        <rFont val="Times New Roman"/>
        <family val="1"/>
      </rPr>
      <t>(R$)</t>
    </r>
  </si>
  <si>
    <t>Componente</t>
  </si>
  <si>
    <t>Sigla</t>
  </si>
  <si>
    <t>Taxa de juros anual</t>
  </si>
  <si>
    <t>Dias úteis entre execução e pagamento</t>
  </si>
  <si>
    <t>Despesas Financeiras (1+i)^(DU/252)-1</t>
  </si>
  <si>
    <t>Resultado do cálculo da BDI:</t>
  </si>
  <si>
    <t>4. Composição da taxa BDI - Benefícios e Despesas Indiretas</t>
  </si>
  <si>
    <t>BDI</t>
  </si>
  <si>
    <r>
      <t>J</t>
    </r>
    <r>
      <rPr>
        <vertAlign val="subscript"/>
        <sz val="10"/>
        <color indexed="8"/>
        <rFont val="Times New Roman"/>
        <family val="1"/>
      </rPr>
      <t>m</t>
    </r>
    <r>
      <rPr>
        <sz val="10"/>
        <color indexed="8"/>
        <rFont val="Times New Roman"/>
        <family val="1"/>
      </rPr>
      <t xml:space="preserve"> = remuneração de capital mensal</t>
    </r>
  </si>
  <si>
    <r>
      <t>V</t>
    </r>
    <r>
      <rPr>
        <vertAlign val="subscript"/>
        <sz val="10"/>
        <color indexed="8"/>
        <rFont val="Times New Roman"/>
        <family val="1"/>
      </rPr>
      <t>0</t>
    </r>
    <r>
      <rPr>
        <sz val="10"/>
        <color indexed="8"/>
        <rFont val="Times New Roman"/>
        <family val="1"/>
      </rPr>
      <t xml:space="preserve"> = valor inicial do bem</t>
    </r>
  </si>
  <si>
    <r>
      <t>V</t>
    </r>
    <r>
      <rPr>
        <vertAlign val="subscript"/>
        <sz val="10"/>
        <color indexed="8"/>
        <rFont val="Times New Roman"/>
        <family val="1"/>
      </rPr>
      <t>r</t>
    </r>
    <r>
      <rPr>
        <sz val="10"/>
        <color indexed="8"/>
        <rFont val="Times New Roman"/>
        <family val="1"/>
      </rPr>
      <t xml:space="preserve"> = valor residual do bem</t>
    </r>
  </si>
  <si>
    <t>Geração de resíduos (kg)</t>
  </si>
  <si>
    <t>a) Total de resíduos gerados no período (kg)</t>
  </si>
  <si>
    <t>j) Capacidade nominal de carga (kg) j = (i*500)</t>
  </si>
  <si>
    <t>CRONOGRAMA</t>
  </si>
  <si>
    <t>ETAPA 1</t>
  </si>
  <si>
    <t>ETAPA 2</t>
  </si>
  <si>
    <t>ETAPA 3</t>
  </si>
  <si>
    <t>ETAPA 4</t>
  </si>
  <si>
    <t>ETAPA 5</t>
  </si>
  <si>
    <t>ETAPA 6</t>
  </si>
  <si>
    <t>ETAPA 7</t>
  </si>
  <si>
    <t>ETAPA 8</t>
  </si>
  <si>
    <t>ETAPA 9</t>
  </si>
  <si>
    <t>ETAPA 10</t>
  </si>
  <si>
    <t>ETAPA 11</t>
  </si>
  <si>
    <t>ETAPA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</si>
</sst>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&quot;R$ &quot;#,##0.00"/>
    <numFmt numFmtId="167" formatCode="&quot;R$&quot;\ #,##0.00"/>
    <numFmt numFmtId="168" formatCode="#,##0_ ;[Red]\-#,##0\ "/>
    <numFmt numFmtId="169" formatCode="#,##0.00_ ;[Red]\-#,##0.00\ "/>
    <numFmt numFmtId="170" formatCode="&quot;R$&quot;\ #,##0.0000"/>
    <numFmt numFmtId="171" formatCode="0.000%"/>
  </numFmts>
  <fonts count="2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theme="0"/>
      <name val="Times New Roman"/>
      <family val="1"/>
    </font>
    <font>
      <sz val="10"/>
      <color rgb="FF000000"/>
      <name val="Times New Roman"/>
      <family val="1"/>
    </font>
    <font>
      <b/>
      <sz val="10"/>
      <color rgb="FFFFFFFF"/>
      <name val="Times New Roman"/>
      <family val="1"/>
    </font>
    <font>
      <b/>
      <sz val="10"/>
      <name val="Times New Roman"/>
      <family val="1"/>
    </font>
    <font>
      <sz val="10"/>
      <color indexed="10"/>
      <name val="Times New Roman"/>
      <family val="1"/>
    </font>
    <font>
      <b/>
      <u/>
      <sz val="10"/>
      <color theme="0"/>
      <name val="Times New Roman"/>
      <family val="1"/>
    </font>
    <font>
      <u/>
      <sz val="10"/>
      <color indexed="12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theme="0"/>
      <name val="Times New Roman"/>
      <family val="1"/>
    </font>
    <font>
      <vertAlign val="subscript"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Arial"/>
    </font>
    <font>
      <b/>
      <sz val="16"/>
      <color theme="0"/>
      <name val="Arial"/>
      <family val="2"/>
    </font>
    <font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244062"/>
        <bgColor indexed="64"/>
      </patternFill>
    </fill>
  </fills>
  <borders count="2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44" fontId="18" fillId="0" borderId="0" applyFont="0" applyFill="0" applyBorder="0" applyAlignment="0" applyProtection="0"/>
  </cellStyleXfs>
  <cellXfs count="220">
    <xf numFmtId="0" fontId="0" fillId="0" borderId="0" xfId="0"/>
    <xf numFmtId="0" fontId="2" fillId="0" borderId="0" xfId="0" applyFont="1"/>
    <xf numFmtId="0" fontId="6" fillId="3" borderId="1" xfId="4" applyFont="1" applyFill="1" applyBorder="1" applyAlignment="1">
      <alignment horizontal="center" vertical="center" wrapText="1"/>
    </xf>
    <xf numFmtId="0" fontId="5" fillId="0" borderId="0" xfId="4" applyFont="1"/>
    <xf numFmtId="0" fontId="5" fillId="0" borderId="0" xfId="4" applyFont="1" applyAlignment="1">
      <alignment vertical="center"/>
    </xf>
    <xf numFmtId="0" fontId="6" fillId="3" borderId="5" xfId="4" applyFont="1" applyFill="1" applyBorder="1" applyAlignment="1">
      <alignment horizontal="center" vertical="center" wrapText="1"/>
    </xf>
    <xf numFmtId="0" fontId="6" fillId="3" borderId="4" xfId="4" applyFont="1" applyFill="1" applyBorder="1" applyAlignment="1">
      <alignment horizontal="center" vertical="center" wrapText="1"/>
    </xf>
    <xf numFmtId="164" fontId="5" fillId="0" borderId="0" xfId="3" applyFont="1" applyAlignment="1">
      <alignment vertical="center"/>
    </xf>
    <xf numFmtId="0" fontId="5" fillId="0" borderId="0" xfId="0" applyFont="1" applyAlignment="1">
      <alignment vertical="center"/>
    </xf>
    <xf numFmtId="164" fontId="9" fillId="0" borderId="0" xfId="3" applyFont="1" applyAlignment="1">
      <alignment vertical="center"/>
    </xf>
    <xf numFmtId="0" fontId="9" fillId="0" borderId="0" xfId="0" applyFont="1" applyAlignment="1">
      <alignment vertical="center"/>
    </xf>
    <xf numFmtId="164" fontId="5" fillId="0" borderId="0" xfId="3" applyFont="1" applyBorder="1" applyAlignment="1">
      <alignment vertical="center"/>
    </xf>
    <xf numFmtId="1" fontId="5" fillId="0" borderId="0" xfId="3" applyNumberFormat="1" applyFont="1" applyBorder="1" applyAlignment="1">
      <alignment horizontal="center" vertical="center"/>
    </xf>
    <xf numFmtId="164" fontId="9" fillId="0" borderId="0" xfId="3" applyFont="1" applyFill="1" applyBorder="1" applyAlignment="1">
      <alignment vertical="center"/>
    </xf>
    <xf numFmtId="164" fontId="5" fillId="0" borderId="0" xfId="3" applyFont="1"/>
    <xf numFmtId="0" fontId="5" fillId="0" borderId="0" xfId="0" applyFont="1"/>
    <xf numFmtId="164" fontId="5" fillId="0" borderId="0" xfId="3" applyFont="1" applyAlignment="1">
      <alignment horizontal="center" vertical="center"/>
    </xf>
    <xf numFmtId="43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9" fillId="0" borderId="0" xfId="3" applyFont="1" applyBorder="1" applyAlignment="1">
      <alignment horizontal="center" vertical="center"/>
    </xf>
    <xf numFmtId="164" fontId="5" fillId="0" borderId="0" xfId="3" applyFont="1" applyFill="1" applyAlignment="1">
      <alignment vertical="center"/>
    </xf>
    <xf numFmtId="164" fontId="9" fillId="0" borderId="0" xfId="3" applyFont="1" applyBorder="1" applyAlignment="1">
      <alignment vertical="center"/>
    </xf>
    <xf numFmtId="164" fontId="9" fillId="0" borderId="0" xfId="3" applyFont="1" applyFill="1" applyBorder="1" applyAlignment="1">
      <alignment horizontal="center" vertical="center"/>
    </xf>
    <xf numFmtId="164" fontId="5" fillId="0" borderId="0" xfId="3" applyFont="1" applyFill="1" applyBorder="1" applyAlignment="1">
      <alignment horizontal="center" vertical="center"/>
    </xf>
    <xf numFmtId="164" fontId="10" fillId="0" borderId="0" xfId="3" applyFont="1" applyAlignment="1">
      <alignment vertical="center"/>
    </xf>
    <xf numFmtId="0" fontId="10" fillId="0" borderId="0" xfId="0" applyFont="1" applyAlignment="1">
      <alignment vertical="center"/>
    </xf>
    <xf numFmtId="166" fontId="9" fillId="7" borderId="1" xfId="0" applyNumberFormat="1" applyFont="1" applyFill="1" applyBorder="1" applyAlignment="1">
      <alignment horizontal="center" vertical="center"/>
    </xf>
    <xf numFmtId="10" fontId="9" fillId="7" borderId="1" xfId="2" applyNumberFormat="1" applyFont="1" applyFill="1" applyBorder="1" applyAlignment="1">
      <alignment horizontal="center" vertical="center"/>
    </xf>
    <xf numFmtId="166" fontId="5" fillId="6" borderId="1" xfId="0" applyNumberFormat="1" applyFont="1" applyFill="1" applyBorder="1" applyAlignment="1">
      <alignment horizontal="center" vertical="center"/>
    </xf>
    <xf numFmtId="10" fontId="5" fillId="6" borderId="1" xfId="2" applyNumberFormat="1" applyFont="1" applyFill="1" applyBorder="1" applyAlignment="1">
      <alignment horizontal="center" vertical="center"/>
    </xf>
    <xf numFmtId="166" fontId="5" fillId="7" borderId="1" xfId="0" applyNumberFormat="1" applyFont="1" applyFill="1" applyBorder="1" applyAlignment="1">
      <alignment horizontal="center" vertical="center"/>
    </xf>
    <xf numFmtId="10" fontId="5" fillId="7" borderId="1" xfId="2" applyNumberFormat="1" applyFont="1" applyFill="1" applyBorder="1" applyAlignment="1">
      <alignment horizontal="center" vertical="center"/>
    </xf>
    <xf numFmtId="166" fontId="9" fillId="6" borderId="1" xfId="0" applyNumberFormat="1" applyFont="1" applyFill="1" applyBorder="1" applyAlignment="1">
      <alignment horizontal="center" vertical="center"/>
    </xf>
    <xf numFmtId="10" fontId="9" fillId="6" borderId="1" xfId="2" applyNumberFormat="1" applyFont="1" applyFill="1" applyBorder="1" applyAlignment="1">
      <alignment horizontal="center" vertical="center"/>
    </xf>
    <xf numFmtId="3" fontId="5" fillId="7" borderId="1" xfId="0" applyNumberFormat="1" applyFont="1" applyFill="1" applyBorder="1" applyAlignment="1">
      <alignment horizontal="center" vertical="center"/>
    </xf>
    <xf numFmtId="2" fontId="5" fillId="7" borderId="1" xfId="2" applyNumberFormat="1" applyFont="1" applyFill="1" applyBorder="1" applyAlignment="1">
      <alignment horizontal="center" vertical="center"/>
    </xf>
    <xf numFmtId="3" fontId="5" fillId="6" borderId="1" xfId="0" applyNumberFormat="1" applyFont="1" applyFill="1" applyBorder="1" applyAlignment="1">
      <alignment horizontal="center" vertical="center"/>
    </xf>
    <xf numFmtId="2" fontId="5" fillId="6" borderId="1" xfId="2" applyNumberFormat="1" applyFont="1" applyFill="1" applyBorder="1" applyAlignment="1">
      <alignment horizontal="center" vertical="center"/>
    </xf>
    <xf numFmtId="1" fontId="5" fillId="7" borderId="1" xfId="2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vertical="center"/>
    </xf>
    <xf numFmtId="0" fontId="5" fillId="7" borderId="1" xfId="0" applyFont="1" applyFill="1" applyBorder="1" applyAlignment="1">
      <alignment horizontal="center" vertical="center"/>
    </xf>
    <xf numFmtId="167" fontId="5" fillId="7" borderId="1" xfId="3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167" fontId="5" fillId="6" borderId="1" xfId="3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vertical="center"/>
    </xf>
    <xf numFmtId="0" fontId="9" fillId="7" borderId="1" xfId="0" applyFont="1" applyFill="1" applyBorder="1" applyAlignment="1">
      <alignment horizontal="center" vertical="center"/>
    </xf>
    <xf numFmtId="167" fontId="9" fillId="7" borderId="1" xfId="3" applyNumberFormat="1" applyFont="1" applyFill="1" applyBorder="1" applyAlignment="1">
      <alignment horizontal="center" vertical="center"/>
    </xf>
    <xf numFmtId="4" fontId="5" fillId="6" borderId="1" xfId="3" applyNumberFormat="1" applyFont="1" applyFill="1" applyBorder="1" applyAlignment="1">
      <alignment horizontal="center" vertical="center"/>
    </xf>
    <xf numFmtId="164" fontId="9" fillId="0" borderId="0" xfId="3" applyFont="1" applyAlignment="1">
      <alignment horizontal="right" vertical="center"/>
    </xf>
    <xf numFmtId="4" fontId="9" fillId="7" borderId="1" xfId="3" applyNumberFormat="1" applyFont="1" applyFill="1" applyBorder="1" applyAlignment="1">
      <alignment horizontal="center" vertical="center"/>
    </xf>
    <xf numFmtId="3" fontId="5" fillId="7" borderId="1" xfId="3" applyNumberFormat="1" applyFont="1" applyFill="1" applyBorder="1" applyAlignment="1">
      <alignment horizontal="center" vertical="center"/>
    </xf>
    <xf numFmtId="2" fontId="5" fillId="6" borderId="1" xfId="0" applyNumberFormat="1" applyFont="1" applyFill="1" applyBorder="1" applyAlignment="1">
      <alignment horizontal="center" vertical="center"/>
    </xf>
    <xf numFmtId="3" fontId="5" fillId="6" borderId="1" xfId="3" applyNumberFormat="1" applyFont="1" applyFill="1" applyBorder="1" applyAlignment="1">
      <alignment horizontal="center" vertical="center"/>
    </xf>
    <xf numFmtId="167" fontId="9" fillId="6" borderId="1" xfId="3" applyNumberFormat="1" applyFont="1" applyFill="1" applyBorder="1" applyAlignment="1">
      <alignment horizontal="center" vertical="center"/>
    </xf>
    <xf numFmtId="167" fontId="6" fillId="3" borderId="1" xfId="4" applyNumberFormat="1" applyFont="1" applyFill="1" applyBorder="1" applyAlignment="1">
      <alignment horizontal="center" vertical="center" wrapText="1"/>
    </xf>
    <xf numFmtId="1" fontId="5" fillId="7" borderId="1" xfId="0" applyNumberFormat="1" applyFont="1" applyFill="1" applyBorder="1" applyAlignment="1">
      <alignment horizontal="center" vertical="center"/>
    </xf>
    <xf numFmtId="1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/>
    <xf numFmtId="0" fontId="5" fillId="6" borderId="1" xfId="0" applyFont="1" applyFill="1" applyBorder="1" applyAlignment="1">
      <alignment horizontal="center"/>
    </xf>
    <xf numFmtId="4" fontId="9" fillId="6" borderId="6" xfId="3" applyNumberFormat="1" applyFont="1" applyFill="1" applyBorder="1" applyAlignment="1">
      <alignment horizontal="center" vertical="center"/>
    </xf>
    <xf numFmtId="0" fontId="5" fillId="7" borderId="1" xfId="0" applyFont="1" applyFill="1" applyBorder="1"/>
    <xf numFmtId="0" fontId="5" fillId="7" borderId="1" xfId="0" applyFont="1" applyFill="1" applyBorder="1" applyAlignment="1">
      <alignment horizontal="center"/>
    </xf>
    <xf numFmtId="167" fontId="5" fillId="6" borderId="5" xfId="3" applyNumberFormat="1" applyFont="1" applyFill="1" applyBorder="1" applyAlignment="1">
      <alignment horizontal="center" vertical="center"/>
    </xf>
    <xf numFmtId="8" fontId="5" fillId="7" borderId="1" xfId="3" applyNumberFormat="1" applyFont="1" applyFill="1" applyBorder="1" applyAlignment="1">
      <alignment horizontal="center" vertical="center"/>
    </xf>
    <xf numFmtId="9" fontId="5" fillId="6" borderId="1" xfId="0" applyNumberFormat="1" applyFont="1" applyFill="1" applyBorder="1" applyAlignment="1">
      <alignment horizontal="center" vertical="center"/>
    </xf>
    <xf numFmtId="8" fontId="5" fillId="6" borderId="1" xfId="3" applyNumberFormat="1" applyFont="1" applyFill="1" applyBorder="1" applyAlignment="1">
      <alignment horizontal="center" vertical="center"/>
    </xf>
    <xf numFmtId="164" fontId="5" fillId="7" borderId="1" xfId="3" applyFont="1" applyFill="1" applyBorder="1" applyAlignment="1">
      <alignment horizontal="center" vertical="center"/>
    </xf>
    <xf numFmtId="164" fontId="5" fillId="6" borderId="1" xfId="3" applyFont="1" applyFill="1" applyBorder="1" applyAlignment="1">
      <alignment horizontal="center" vertical="center"/>
    </xf>
    <xf numFmtId="164" fontId="9" fillId="7" borderId="1" xfId="3" applyFont="1" applyFill="1" applyBorder="1" applyAlignment="1">
      <alignment horizontal="center" vertical="center"/>
    </xf>
    <xf numFmtId="8" fontId="9" fillId="7" borderId="5" xfId="3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3" fontId="9" fillId="6" borderId="1" xfId="3" applyNumberFormat="1" applyFont="1" applyFill="1" applyBorder="1" applyAlignment="1">
      <alignment horizontal="center" vertical="center"/>
    </xf>
    <xf numFmtId="8" fontId="9" fillId="6" borderId="1" xfId="3" applyNumberFormat="1" applyFont="1" applyFill="1" applyBorder="1" applyAlignment="1">
      <alignment horizontal="center" vertical="center"/>
    </xf>
    <xf numFmtId="9" fontId="5" fillId="7" borderId="1" xfId="0" applyNumberFormat="1" applyFont="1" applyFill="1" applyBorder="1" applyAlignment="1">
      <alignment horizontal="center" vertical="center"/>
    </xf>
    <xf numFmtId="0" fontId="5" fillId="6" borderId="6" xfId="0" applyFont="1" applyFill="1" applyBorder="1" applyAlignment="1">
      <alignment vertical="center"/>
    </xf>
    <xf numFmtId="0" fontId="5" fillId="6" borderId="6" xfId="0" applyFont="1" applyFill="1" applyBorder="1" applyAlignment="1">
      <alignment horizontal="center" vertical="center"/>
    </xf>
    <xf numFmtId="3" fontId="5" fillId="6" borderId="6" xfId="0" applyNumberFormat="1" applyFont="1" applyFill="1" applyBorder="1" applyAlignment="1">
      <alignment horizontal="center" vertical="center"/>
    </xf>
    <xf numFmtId="167" fontId="5" fillId="6" borderId="6" xfId="3" applyNumberFormat="1" applyFont="1" applyFill="1" applyBorder="1" applyAlignment="1">
      <alignment horizontal="center" vertical="center"/>
    </xf>
    <xf numFmtId="1" fontId="5" fillId="7" borderId="1" xfId="3" applyNumberFormat="1" applyFont="1" applyFill="1" applyBorder="1" applyAlignment="1">
      <alignment horizontal="center" vertical="center"/>
    </xf>
    <xf numFmtId="10" fontId="5" fillId="6" borderId="6" xfId="2" applyNumberFormat="1" applyFont="1" applyFill="1" applyBorder="1" applyAlignment="1">
      <alignment horizontal="center" vertical="center"/>
    </xf>
    <xf numFmtId="0" fontId="5" fillId="7" borderId="6" xfId="0" applyFont="1" applyFill="1" applyBorder="1" applyAlignment="1">
      <alignment vertical="center"/>
    </xf>
    <xf numFmtId="0" fontId="5" fillId="7" borderId="6" xfId="0" applyFont="1" applyFill="1" applyBorder="1" applyAlignment="1">
      <alignment horizontal="center" vertical="center"/>
    </xf>
    <xf numFmtId="164" fontId="5" fillId="7" borderId="6" xfId="3" applyFont="1" applyFill="1" applyBorder="1" applyAlignment="1">
      <alignment horizontal="center" vertical="center"/>
    </xf>
    <xf numFmtId="0" fontId="9" fillId="6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horizontal="center" vertical="center"/>
    </xf>
    <xf numFmtId="164" fontId="9" fillId="6" borderId="1" xfId="3" applyFont="1" applyFill="1" applyBorder="1" applyAlignment="1">
      <alignment horizontal="center" vertical="center"/>
    </xf>
    <xf numFmtId="3" fontId="9" fillId="7" borderId="6" xfId="3" applyNumberFormat="1" applyFont="1" applyFill="1" applyBorder="1" applyAlignment="1">
      <alignment horizontal="center" vertical="center"/>
    </xf>
    <xf numFmtId="4" fontId="6" fillId="3" borderId="1" xfId="4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vertical="center"/>
    </xf>
    <xf numFmtId="0" fontId="5" fillId="6" borderId="5" xfId="0" applyFont="1" applyFill="1" applyBorder="1" applyAlignment="1">
      <alignment horizontal="center" vertical="center"/>
    </xf>
    <xf numFmtId="4" fontId="5" fillId="6" borderId="5" xfId="0" applyNumberFormat="1" applyFont="1" applyFill="1" applyBorder="1" applyAlignment="1">
      <alignment horizontal="center" vertical="center"/>
    </xf>
    <xf numFmtId="164" fontId="5" fillId="6" borderId="5" xfId="3" applyFont="1" applyFill="1" applyBorder="1" applyAlignment="1">
      <alignment horizontal="center" vertical="center"/>
    </xf>
    <xf numFmtId="4" fontId="5" fillId="7" borderId="1" xfId="3" applyNumberFormat="1" applyFont="1" applyFill="1" applyBorder="1" applyAlignment="1">
      <alignment horizontal="center" vertical="center"/>
    </xf>
    <xf numFmtId="170" fontId="5" fillId="7" borderId="1" xfId="3" applyNumberFormat="1" applyFont="1" applyFill="1" applyBorder="1" applyAlignment="1">
      <alignment horizontal="center" vertical="center"/>
    </xf>
    <xf numFmtId="0" fontId="5" fillId="6" borderId="9" xfId="0" applyFont="1" applyFill="1" applyBorder="1" applyAlignment="1">
      <alignment vertical="center"/>
    </xf>
    <xf numFmtId="0" fontId="5" fillId="6" borderId="9" xfId="0" applyFont="1" applyFill="1" applyBorder="1" applyAlignment="1">
      <alignment horizontal="center" vertical="center"/>
    </xf>
    <xf numFmtId="4" fontId="5" fillId="6" borderId="9" xfId="0" applyNumberFormat="1" applyFont="1" applyFill="1" applyBorder="1" applyAlignment="1">
      <alignment horizontal="center" vertical="center"/>
    </xf>
    <xf numFmtId="167" fontId="5" fillId="6" borderId="9" xfId="3" applyNumberFormat="1" applyFont="1" applyFill="1" applyBorder="1" applyAlignment="1">
      <alignment horizontal="center" vertical="center"/>
    </xf>
    <xf numFmtId="164" fontId="5" fillId="6" borderId="9" xfId="3" applyFont="1" applyFill="1" applyBorder="1" applyAlignment="1">
      <alignment horizontal="center" vertical="center"/>
    </xf>
    <xf numFmtId="0" fontId="9" fillId="6" borderId="6" xfId="0" applyFont="1" applyFill="1" applyBorder="1" applyAlignment="1">
      <alignment vertical="center"/>
    </xf>
    <xf numFmtId="0" fontId="9" fillId="6" borderId="6" xfId="0" applyFont="1" applyFill="1" applyBorder="1" applyAlignment="1">
      <alignment horizontal="center" vertical="center"/>
    </xf>
    <xf numFmtId="165" fontId="9" fillId="6" borderId="6" xfId="3" applyNumberFormat="1" applyFont="1" applyFill="1" applyBorder="1" applyAlignment="1">
      <alignment horizontal="center" vertical="center"/>
    </xf>
    <xf numFmtId="170" fontId="9" fillId="6" borderId="6" xfId="3" applyNumberFormat="1" applyFont="1" applyFill="1" applyBorder="1" applyAlignment="1">
      <alignment horizontal="center" vertical="center"/>
    </xf>
    <xf numFmtId="164" fontId="5" fillId="6" borderId="6" xfId="3" applyFont="1" applyFill="1" applyBorder="1" applyAlignment="1">
      <alignment horizontal="center" vertical="center"/>
    </xf>
    <xf numFmtId="3" fontId="5" fillId="6" borderId="5" xfId="0" applyNumberFormat="1" applyFont="1" applyFill="1" applyBorder="1" applyAlignment="1">
      <alignment horizontal="center" vertical="center"/>
    </xf>
    <xf numFmtId="3" fontId="5" fillId="6" borderId="9" xfId="3" applyNumberFormat="1" applyFont="1" applyFill="1" applyBorder="1" applyAlignment="1">
      <alignment horizontal="center" vertical="center"/>
    </xf>
    <xf numFmtId="4" fontId="5" fillId="6" borderId="6" xfId="3" applyNumberFormat="1" applyFont="1" applyFill="1" applyBorder="1" applyAlignment="1">
      <alignment horizontal="center" vertical="center"/>
    </xf>
    <xf numFmtId="170" fontId="5" fillId="6" borderId="6" xfId="3" applyNumberFormat="1" applyFont="1" applyFill="1" applyBorder="1" applyAlignment="1">
      <alignment horizontal="center" vertical="center"/>
    </xf>
    <xf numFmtId="13" fontId="5" fillId="7" borderId="1" xfId="0" applyNumberFormat="1" applyFont="1" applyFill="1" applyBorder="1" applyAlignment="1">
      <alignment horizontal="center" vertical="center"/>
    </xf>
    <xf numFmtId="13" fontId="5" fillId="6" borderId="1" xfId="0" applyNumberFormat="1" applyFont="1" applyFill="1" applyBorder="1" applyAlignment="1">
      <alignment horizontal="center" vertical="center"/>
    </xf>
    <xf numFmtId="164" fontId="5" fillId="6" borderId="1" xfId="0" applyNumberFormat="1" applyFont="1" applyFill="1" applyBorder="1" applyAlignment="1">
      <alignment horizontal="center" vertical="center"/>
    </xf>
    <xf numFmtId="1" fontId="5" fillId="7" borderId="6" xfId="0" applyNumberFormat="1" applyFont="1" applyFill="1" applyBorder="1" applyAlignment="1">
      <alignment horizontal="center" vertical="center"/>
    </xf>
    <xf numFmtId="167" fontId="5" fillId="7" borderId="6" xfId="3" applyNumberFormat="1" applyFont="1" applyFill="1" applyBorder="1" applyAlignment="1">
      <alignment horizontal="center" vertical="center"/>
    </xf>
    <xf numFmtId="10" fontId="5" fillId="4" borderId="1" xfId="2" applyNumberFormat="1" applyFont="1" applyFill="1" applyBorder="1" applyAlignment="1">
      <alignment horizontal="left" vertical="center"/>
    </xf>
    <xf numFmtId="10" fontId="5" fillId="5" borderId="1" xfId="2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0" fontId="5" fillId="0" borderId="0" xfId="0" applyNumberFormat="1" applyFont="1"/>
    <xf numFmtId="0" fontId="7" fillId="2" borderId="0" xfId="0" applyFont="1" applyFill="1" applyAlignment="1">
      <alignment horizontal="left" vertical="center"/>
    </xf>
    <xf numFmtId="0" fontId="13" fillId="0" borderId="0" xfId="0" applyFont="1"/>
    <xf numFmtId="9" fontId="7" fillId="0" borderId="0" xfId="2" applyFont="1" applyBorder="1" applyAlignment="1">
      <alignment horizontal="right" vertical="center"/>
    </xf>
    <xf numFmtId="0" fontId="14" fillId="0" borderId="0" xfId="0" applyFont="1" applyAlignment="1">
      <alignment horizontal="left" vertical="center"/>
    </xf>
    <xf numFmtId="10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1" applyFont="1" applyBorder="1" applyAlignment="1" applyProtection="1">
      <alignment horizontal="center" vertical="center"/>
    </xf>
    <xf numFmtId="10" fontId="14" fillId="0" borderId="0" xfId="0" applyNumberFormat="1" applyFon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/>
    </xf>
    <xf numFmtId="10" fontId="7" fillId="4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/>
    </xf>
    <xf numFmtId="10" fontId="7" fillId="5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left" vertical="center"/>
    </xf>
    <xf numFmtId="10" fontId="14" fillId="4" borderId="1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10" fontId="6" fillId="3" borderId="1" xfId="0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left" vertical="center"/>
    </xf>
    <xf numFmtId="0" fontId="13" fillId="5" borderId="1" xfId="0" applyFont="1" applyFill="1" applyBorder="1" applyAlignment="1">
      <alignment horizontal="left" vertical="center"/>
    </xf>
    <xf numFmtId="0" fontId="14" fillId="5" borderId="1" xfId="0" applyFont="1" applyFill="1" applyBorder="1" applyAlignment="1">
      <alignment horizontal="left" vertical="center"/>
    </xf>
    <xf numFmtId="10" fontId="14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 wrapText="1"/>
    </xf>
    <xf numFmtId="10" fontId="5" fillId="0" borderId="0" xfId="2" applyNumberFormat="1" applyFont="1"/>
    <xf numFmtId="0" fontId="9" fillId="0" borderId="0" xfId="0" applyFont="1"/>
    <xf numFmtId="3" fontId="5" fillId="4" borderId="1" xfId="2" applyNumberFormat="1" applyFont="1" applyFill="1" applyBorder="1" applyAlignment="1">
      <alignment horizontal="center" vertical="center"/>
    </xf>
    <xf numFmtId="3" fontId="5" fillId="5" borderId="1" xfId="2" applyNumberFormat="1" applyFont="1" applyFill="1" applyBorder="1" applyAlignment="1">
      <alignment horizontal="center" vertical="center"/>
    </xf>
    <xf numFmtId="168" fontId="5" fillId="4" borderId="1" xfId="2" applyNumberFormat="1" applyFont="1" applyFill="1" applyBorder="1" applyAlignment="1">
      <alignment horizontal="center" vertical="center"/>
    </xf>
    <xf numFmtId="168" fontId="5" fillId="5" borderId="1" xfId="2" applyNumberFormat="1" applyFont="1" applyFill="1" applyBorder="1" applyAlignment="1">
      <alignment horizontal="center" vertical="center"/>
    </xf>
    <xf numFmtId="10" fontId="5" fillId="4" borderId="1" xfId="2" applyNumberFormat="1" applyFont="1" applyFill="1" applyBorder="1" applyAlignment="1">
      <alignment horizontal="center" vertical="center"/>
    </xf>
    <xf numFmtId="10" fontId="5" fillId="5" borderId="1" xfId="2" applyNumberFormat="1" applyFont="1" applyFill="1" applyBorder="1" applyAlignment="1">
      <alignment horizontal="center" vertical="center"/>
    </xf>
    <xf numFmtId="169" fontId="5" fillId="4" borderId="1" xfId="2" applyNumberFormat="1" applyFont="1" applyFill="1" applyBorder="1" applyAlignment="1">
      <alignment horizontal="center" vertical="center"/>
    </xf>
    <xf numFmtId="0" fontId="6" fillId="3" borderId="1" xfId="0" applyFont="1" applyFill="1" applyBorder="1"/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10" fontId="5" fillId="4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10" fontId="5" fillId="5" borderId="1" xfId="0" applyNumberFormat="1" applyFont="1" applyFill="1" applyBorder="1" applyAlignment="1">
      <alignment horizontal="center" vertical="center"/>
    </xf>
    <xf numFmtId="3" fontId="5" fillId="4" borderId="1" xfId="0" applyNumberFormat="1" applyFont="1" applyFill="1" applyBorder="1" applyAlignment="1">
      <alignment horizontal="center" vertical="center"/>
    </xf>
    <xf numFmtId="171" fontId="5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 wrapText="1"/>
    </xf>
    <xf numFmtId="10" fontId="9" fillId="5" borderId="1" xfId="0" applyNumberFormat="1" applyFont="1" applyFill="1" applyBorder="1" applyAlignment="1">
      <alignment horizontal="center" vertical="center" wrapText="1"/>
    </xf>
    <xf numFmtId="2" fontId="7" fillId="4" borderId="1" xfId="0" applyNumberFormat="1" applyFont="1" applyFill="1" applyBorder="1" applyAlignment="1">
      <alignment horizontal="center" vertical="center"/>
    </xf>
    <xf numFmtId="2" fontId="7" fillId="5" borderId="1" xfId="0" applyNumberFormat="1" applyFont="1" applyFill="1" applyBorder="1" applyAlignment="1">
      <alignment horizontal="center" vertical="center"/>
    </xf>
    <xf numFmtId="0" fontId="5" fillId="4" borderId="9" xfId="0" applyFont="1" applyFill="1" applyBorder="1"/>
    <xf numFmtId="0" fontId="13" fillId="4" borderId="9" xfId="0" applyFont="1" applyFill="1" applyBorder="1" applyAlignment="1">
      <alignment horizontal="justify"/>
    </xf>
    <xf numFmtId="0" fontId="13" fillId="4" borderId="6" xfId="0" applyFont="1" applyFill="1" applyBorder="1" applyAlignment="1">
      <alignment horizontal="justify"/>
    </xf>
    <xf numFmtId="0" fontId="6" fillId="3" borderId="1" xfId="0" applyFont="1" applyFill="1" applyBorder="1" applyAlignment="1">
      <alignment horizontal="center"/>
    </xf>
    <xf numFmtId="0" fontId="9" fillId="0" borderId="0" xfId="4" applyFont="1"/>
    <xf numFmtId="0" fontId="8" fillId="8" borderId="1" xfId="0" applyFont="1" applyFill="1" applyBorder="1" applyAlignment="1">
      <alignment horizontal="center" vertical="center" wrapText="1"/>
    </xf>
    <xf numFmtId="14" fontId="7" fillId="7" borderId="1" xfId="0" applyNumberFormat="1" applyFont="1" applyFill="1" applyBorder="1" applyAlignment="1">
      <alignment horizontal="center" vertical="center"/>
    </xf>
    <xf numFmtId="3" fontId="7" fillId="7" borderId="1" xfId="0" applyNumberFormat="1" applyFont="1" applyFill="1" applyBorder="1" applyAlignment="1">
      <alignment horizontal="center" vertical="center"/>
    </xf>
    <xf numFmtId="14" fontId="7" fillId="6" borderId="1" xfId="0" applyNumberFormat="1" applyFont="1" applyFill="1" applyBorder="1" applyAlignment="1">
      <alignment horizontal="center" vertical="center"/>
    </xf>
    <xf numFmtId="3" fontId="7" fillId="6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4" fontId="7" fillId="7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164" fontId="5" fillId="2" borderId="0" xfId="3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4" fontId="5" fillId="2" borderId="0" xfId="0" applyNumberFormat="1" applyFont="1" applyFill="1" applyAlignment="1">
      <alignment vertical="center"/>
    </xf>
    <xf numFmtId="0" fontId="1" fillId="2" borderId="16" xfId="0" applyFont="1" applyFill="1" applyBorder="1" applyAlignment="1">
      <alignment horizontal="center" vertical="center"/>
    </xf>
    <xf numFmtId="44" fontId="1" fillId="0" borderId="16" xfId="5" applyFont="1" applyBorder="1" applyAlignment="1">
      <alignment horizontal="center"/>
    </xf>
    <xf numFmtId="0" fontId="6" fillId="3" borderId="2" xfId="4" applyFont="1" applyFill="1" applyBorder="1" applyAlignment="1">
      <alignment horizontal="center" vertical="center" wrapText="1"/>
    </xf>
    <xf numFmtId="0" fontId="6" fillId="3" borderId="3" xfId="4" applyFont="1" applyFill="1" applyBorder="1" applyAlignment="1">
      <alignment horizontal="center" vertical="center" wrapText="1"/>
    </xf>
    <xf numFmtId="0" fontId="6" fillId="3" borderId="4" xfId="4" applyFont="1" applyFill="1" applyBorder="1" applyAlignment="1">
      <alignment horizontal="center" vertical="center" wrapText="1"/>
    </xf>
    <xf numFmtId="0" fontId="6" fillId="3" borderId="10" xfId="4" applyFont="1" applyFill="1" applyBorder="1" applyAlignment="1">
      <alignment horizontal="center" vertical="center" wrapText="1"/>
    </xf>
    <xf numFmtId="0" fontId="6" fillId="3" borderId="11" xfId="4" applyFont="1" applyFill="1" applyBorder="1" applyAlignment="1">
      <alignment horizontal="center" vertical="center" wrapText="1"/>
    </xf>
    <xf numFmtId="0" fontId="6" fillId="3" borderId="12" xfId="4" applyFont="1" applyFill="1" applyBorder="1" applyAlignment="1">
      <alignment horizontal="center" vertical="center" wrapText="1"/>
    </xf>
    <xf numFmtId="0" fontId="6" fillId="3" borderId="1" xfId="4" applyFont="1" applyFill="1" applyBorder="1" applyAlignment="1">
      <alignment horizontal="center" vertical="center" wrapText="1"/>
    </xf>
    <xf numFmtId="0" fontId="6" fillId="3" borderId="13" xfId="4" applyFont="1" applyFill="1" applyBorder="1" applyAlignment="1">
      <alignment horizontal="center" vertical="center" wrapText="1"/>
    </xf>
    <xf numFmtId="0" fontId="6" fillId="3" borderId="14" xfId="4" applyFont="1" applyFill="1" applyBorder="1" applyAlignment="1">
      <alignment horizontal="center" vertical="center" wrapText="1"/>
    </xf>
    <xf numFmtId="0" fontId="6" fillId="3" borderId="15" xfId="4" applyFont="1" applyFill="1" applyBorder="1" applyAlignment="1">
      <alignment horizontal="center" vertical="center" wrapText="1"/>
    </xf>
    <xf numFmtId="0" fontId="6" fillId="3" borderId="7" xfId="4" applyFont="1" applyFill="1" applyBorder="1" applyAlignment="1">
      <alignment horizontal="center" vertical="center" wrapText="1"/>
    </xf>
    <xf numFmtId="0" fontId="6" fillId="3" borderId="0" xfId="4" applyFont="1" applyFill="1" applyAlignment="1">
      <alignment horizontal="center" vertical="center" wrapText="1"/>
    </xf>
    <xf numFmtId="0" fontId="6" fillId="3" borderId="8" xfId="4" applyFont="1" applyFill="1" applyBorder="1" applyAlignment="1">
      <alignment horizontal="center" vertical="center" wrapText="1"/>
    </xf>
    <xf numFmtId="10" fontId="9" fillId="4" borderId="1" xfId="2" applyNumberFormat="1" applyFont="1" applyFill="1" applyBorder="1" applyAlignment="1">
      <alignment horizontal="left" vertical="center"/>
    </xf>
    <xf numFmtId="10" fontId="5" fillId="5" borderId="1" xfId="2" applyNumberFormat="1" applyFont="1" applyFill="1" applyBorder="1" applyAlignment="1">
      <alignment horizontal="left" vertical="center"/>
    </xf>
    <xf numFmtId="10" fontId="5" fillId="4" borderId="1" xfId="2" applyNumberFormat="1" applyFont="1" applyFill="1" applyBorder="1" applyAlignment="1">
      <alignment horizontal="left" vertical="center"/>
    </xf>
    <xf numFmtId="10" fontId="9" fillId="5" borderId="1" xfId="2" applyNumberFormat="1" applyFont="1" applyFill="1" applyBorder="1" applyAlignment="1">
      <alignment horizontal="left" vertical="center"/>
    </xf>
    <xf numFmtId="0" fontId="6" fillId="3" borderId="2" xfId="4" applyFont="1" applyFill="1" applyBorder="1" applyAlignment="1">
      <alignment horizontal="left" vertical="center" wrapText="1"/>
    </xf>
    <xf numFmtId="0" fontId="6" fillId="3" borderId="3" xfId="4" applyFont="1" applyFill="1" applyBorder="1" applyAlignment="1">
      <alignment horizontal="left" vertical="center" wrapText="1"/>
    </xf>
    <xf numFmtId="0" fontId="6" fillId="3" borderId="4" xfId="4" applyFont="1" applyFill="1" applyBorder="1" applyAlignment="1">
      <alignment horizontal="left" vertical="center" wrapText="1"/>
    </xf>
    <xf numFmtId="0" fontId="6" fillId="3" borderId="1" xfId="4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vertical="center"/>
    </xf>
    <xf numFmtId="0" fontId="8" fillId="8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vertical="center"/>
    </xf>
    <xf numFmtId="0" fontId="19" fillId="3" borderId="17" xfId="4" applyFont="1" applyFill="1" applyBorder="1" applyAlignment="1">
      <alignment horizontal="center" vertical="center" wrapText="1"/>
    </xf>
    <xf numFmtId="0" fontId="19" fillId="3" borderId="18" xfId="4" applyFont="1" applyFill="1" applyBorder="1" applyAlignment="1">
      <alignment horizontal="center" vertical="center" wrapText="1"/>
    </xf>
    <xf numFmtId="0" fontId="19" fillId="3" borderId="19" xfId="4" applyFont="1" applyFill="1" applyBorder="1" applyAlignment="1">
      <alignment horizontal="center" vertical="center" wrapText="1"/>
    </xf>
    <xf numFmtId="0" fontId="20" fillId="0" borderId="17" xfId="0" applyFont="1" applyBorder="1" applyAlignment="1">
      <alignment horizontal="center"/>
    </xf>
    <xf numFmtId="0" fontId="20" fillId="0" borderId="18" xfId="0" applyFont="1" applyBorder="1" applyAlignment="1">
      <alignment horizontal="center"/>
    </xf>
    <xf numFmtId="0" fontId="20" fillId="0" borderId="19" xfId="0" applyFont="1" applyBorder="1" applyAlignment="1">
      <alignment horizontal="center"/>
    </xf>
  </cellXfs>
  <cellStyles count="6">
    <cellStyle name="Hiperlink" xfId="1" builtinId="8"/>
    <cellStyle name="Moeda" xfId="5" builtinId="4"/>
    <cellStyle name="Normal" xfId="0" builtinId="0"/>
    <cellStyle name="Normal 2" xfId="4" xr:uid="{A176098C-18D5-4F91-896A-FC59B520EAAD}"/>
    <cellStyle name="Porcentagem" xfId="2" builtinId="5"/>
    <cellStyle name="Vírgula" xfId="3" builtinId="3"/>
  </cellStyles>
  <dxfs count="0"/>
  <tableStyles count="0" defaultTableStyle="TableStyleMedium2" defaultPivotStyle="PivotStyleLight16"/>
  <colors>
    <mruColors>
      <color rgb="FFB8CCE4"/>
      <color rgb="FFDCE6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5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5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3"/>
  <sheetViews>
    <sheetView tabSelected="1" zoomScaleNormal="100" zoomScaleSheetLayoutView="100" workbookViewId="0">
      <selection sqref="A1:F193"/>
    </sheetView>
  </sheetViews>
  <sheetFormatPr defaultRowHeight="12.75" x14ac:dyDescent="0.2"/>
  <cols>
    <col min="1" max="1" width="44.5703125" style="8" customWidth="1"/>
    <col min="2" max="2" width="16" style="8" bestFit="1" customWidth="1"/>
    <col min="3" max="3" width="11.85546875" style="8" customWidth="1"/>
    <col min="4" max="4" width="14.7109375" style="7" customWidth="1"/>
    <col min="5" max="5" width="15.42578125" style="7" customWidth="1"/>
    <col min="6" max="6" width="13.28515625" style="7" customWidth="1"/>
    <col min="7" max="7" width="28.140625" style="7" customWidth="1"/>
    <col min="8" max="8" width="9.140625" style="8"/>
    <col min="9" max="9" width="14.5703125" style="8" customWidth="1"/>
    <col min="10" max="10" width="13.42578125" style="8" customWidth="1"/>
    <col min="11" max="16384" width="9.140625" style="8"/>
  </cols>
  <sheetData>
    <row r="1" spans="1:7" x14ac:dyDescent="0.2">
      <c r="A1" s="188" t="s">
        <v>142</v>
      </c>
      <c r="B1" s="189"/>
      <c r="C1" s="189"/>
      <c r="D1" s="189"/>
      <c r="E1" s="189"/>
      <c r="F1" s="190"/>
    </row>
    <row r="2" spans="1:7" ht="21.75" customHeight="1" x14ac:dyDescent="0.2">
      <c r="A2" s="191" t="s">
        <v>34</v>
      </c>
      <c r="B2" s="192"/>
      <c r="C2" s="192"/>
      <c r="D2" s="192"/>
      <c r="E2" s="192"/>
      <c r="F2" s="193"/>
    </row>
    <row r="3" spans="1:7" s="184" customFormat="1" ht="10.9" customHeight="1" x14ac:dyDescent="0.2">
      <c r="B3" s="185"/>
      <c r="C3" s="185"/>
      <c r="D3" s="183"/>
      <c r="E3" s="183"/>
      <c r="F3" s="183"/>
      <c r="G3" s="183"/>
    </row>
    <row r="4" spans="1:7" ht="15.75" customHeight="1" x14ac:dyDescent="0.2">
      <c r="A4" s="195" t="s">
        <v>137</v>
      </c>
      <c r="B4" s="196"/>
      <c r="C4" s="196"/>
      <c r="D4" s="196"/>
      <c r="E4" s="196"/>
      <c r="F4" s="197"/>
    </row>
    <row r="5" spans="1:7" ht="15.75" customHeight="1" x14ac:dyDescent="0.2">
      <c r="A5" s="198" t="s">
        <v>136</v>
      </c>
      <c r="B5" s="199"/>
      <c r="C5" s="199"/>
      <c r="D5" s="200"/>
      <c r="E5" s="5" t="s">
        <v>29</v>
      </c>
      <c r="F5" s="5" t="s">
        <v>1</v>
      </c>
    </row>
    <row r="6" spans="1:7" s="10" customFormat="1" ht="15.75" customHeight="1" x14ac:dyDescent="0.2">
      <c r="A6" s="201" t="str">
        <f>A33</f>
        <v>1. Mão-de-obra</v>
      </c>
      <c r="B6" s="201"/>
      <c r="C6" s="201"/>
      <c r="D6" s="201"/>
      <c r="E6" s="26">
        <f>+F67</f>
        <v>3521.67</v>
      </c>
      <c r="F6" s="27">
        <f t="shared" ref="F6:F22" si="0">IFERROR(E6/$E$23,0)</f>
        <v>0.12725333953880974</v>
      </c>
      <c r="G6" s="9"/>
    </row>
    <row r="7" spans="1:7" ht="15.75" customHeight="1" x14ac:dyDescent="0.2">
      <c r="A7" s="202" t="str">
        <f>A34</f>
        <v>1.1. Coletor</v>
      </c>
      <c r="B7" s="202"/>
      <c r="C7" s="202"/>
      <c r="D7" s="202"/>
      <c r="E7" s="28">
        <f>F42</f>
        <v>1656.96</v>
      </c>
      <c r="F7" s="29">
        <f t="shared" si="0"/>
        <v>5.9873211709849647E-2</v>
      </c>
    </row>
    <row r="8" spans="1:7" ht="15.75" customHeight="1" x14ac:dyDescent="0.2">
      <c r="A8" s="203" t="str">
        <f>A44</f>
        <v>1.2. Motorista</v>
      </c>
      <c r="B8" s="203"/>
      <c r="C8" s="203"/>
      <c r="D8" s="203"/>
      <c r="E8" s="30">
        <f>F51</f>
        <v>1235.29</v>
      </c>
      <c r="F8" s="31">
        <f t="shared" si="0"/>
        <v>4.463643038640653E-2</v>
      </c>
    </row>
    <row r="9" spans="1:7" ht="15.75" customHeight="1" x14ac:dyDescent="0.2">
      <c r="A9" s="202" t="str">
        <f>A53</f>
        <v>1.3. Vale Transporte</v>
      </c>
      <c r="B9" s="202"/>
      <c r="C9" s="202"/>
      <c r="D9" s="202"/>
      <c r="E9" s="28">
        <f>F59</f>
        <v>186.36</v>
      </c>
      <c r="F9" s="29">
        <f t="shared" si="0"/>
        <v>6.7340018674244282E-3</v>
      </c>
    </row>
    <row r="10" spans="1:7" ht="15.75" customHeight="1" x14ac:dyDescent="0.2">
      <c r="A10" s="203" t="str">
        <f>A61</f>
        <v>1.4. Auxílio alimentação</v>
      </c>
      <c r="B10" s="203"/>
      <c r="C10" s="203"/>
      <c r="D10" s="203"/>
      <c r="E10" s="30">
        <f>F65</f>
        <v>443.06</v>
      </c>
      <c r="F10" s="31">
        <f t="shared" si="0"/>
        <v>1.6009695575129143E-2</v>
      </c>
    </row>
    <row r="11" spans="1:7" s="10" customFormat="1" ht="15.75" customHeight="1" x14ac:dyDescent="0.2">
      <c r="A11" s="202" t="str">
        <f>A69</f>
        <v>2. Uniformes e Equipamentos de Proteção Individual</v>
      </c>
      <c r="B11" s="202"/>
      <c r="C11" s="202"/>
      <c r="D11" s="202"/>
      <c r="E11" s="28">
        <f>+F100</f>
        <v>224.56</v>
      </c>
      <c r="F11" s="29">
        <f t="shared" si="0"/>
        <v>8.114334939626688E-3</v>
      </c>
      <c r="G11" s="9"/>
    </row>
    <row r="12" spans="1:7" s="10" customFormat="1" ht="15.75" customHeight="1" x14ac:dyDescent="0.2">
      <c r="A12" s="201" t="str">
        <f>A102</f>
        <v>3. Veículos e Equipamentos</v>
      </c>
      <c r="B12" s="201"/>
      <c r="C12" s="201"/>
      <c r="D12" s="201"/>
      <c r="E12" s="30">
        <f>+F164</f>
        <v>18125</v>
      </c>
      <c r="F12" s="31">
        <f t="shared" si="0"/>
        <v>0.65493552182371617</v>
      </c>
      <c r="G12" s="9"/>
    </row>
    <row r="13" spans="1:7" ht="15.75" customHeight="1" x14ac:dyDescent="0.2">
      <c r="A13" s="202" t="str">
        <f>A103</f>
        <v>3.1. Veículo Coletor Compactador 12 m³</v>
      </c>
      <c r="B13" s="202"/>
      <c r="C13" s="202"/>
      <c r="D13" s="202"/>
      <c r="E13" s="28">
        <f>SUM(E14:E19)</f>
        <v>15910.199999999999</v>
      </c>
      <c r="F13" s="29">
        <f t="shared" si="0"/>
        <v>0.57490511113487941</v>
      </c>
    </row>
    <row r="14" spans="1:7" ht="15.75" customHeight="1" x14ac:dyDescent="0.2">
      <c r="A14" s="203" t="str">
        <f>A104</f>
        <v>3.1.1. Depreciação</v>
      </c>
      <c r="B14" s="203"/>
      <c r="C14" s="203"/>
      <c r="D14" s="203"/>
      <c r="E14" s="30">
        <f>F111</f>
        <v>3208.6</v>
      </c>
      <c r="F14" s="31">
        <f t="shared" si="0"/>
        <v>0.11594075119026626</v>
      </c>
    </row>
    <row r="15" spans="1:7" ht="15.75" customHeight="1" x14ac:dyDescent="0.2">
      <c r="A15" s="202" t="str">
        <f>A113</f>
        <v>3.1.2. Remuneração de capital</v>
      </c>
      <c r="B15" s="202"/>
      <c r="C15" s="202"/>
      <c r="D15" s="202"/>
      <c r="E15" s="28">
        <f>F121</f>
        <v>3667.05</v>
      </c>
      <c r="F15" s="29">
        <f t="shared" si="0"/>
        <v>0.13250655477537426</v>
      </c>
    </row>
    <row r="16" spans="1:7" ht="15.75" customHeight="1" x14ac:dyDescent="0.2">
      <c r="A16" s="203" t="str">
        <f>A123</f>
        <v>3.1.3. Impostos e Seguros</v>
      </c>
      <c r="B16" s="203"/>
      <c r="C16" s="203"/>
      <c r="D16" s="203"/>
      <c r="E16" s="30">
        <f>F129</f>
        <v>488.3</v>
      </c>
      <c r="F16" s="31">
        <f t="shared" si="0"/>
        <v>1.7644414637601139E-2</v>
      </c>
    </row>
    <row r="17" spans="1:7" ht="15.75" customHeight="1" x14ac:dyDescent="0.2">
      <c r="A17" s="202" t="str">
        <f>A131</f>
        <v>3.1.4. Consumos</v>
      </c>
      <c r="B17" s="202"/>
      <c r="C17" s="202"/>
      <c r="D17" s="202"/>
      <c r="E17" s="28">
        <f>F147</f>
        <v>5635.56</v>
      </c>
      <c r="F17" s="29">
        <f t="shared" si="0"/>
        <v>0.20363743058586828</v>
      </c>
    </row>
    <row r="18" spans="1:7" ht="15.75" customHeight="1" x14ac:dyDescent="0.2">
      <c r="A18" s="203" t="str">
        <f>A149</f>
        <v>3.1.5. Manutenção</v>
      </c>
      <c r="B18" s="203"/>
      <c r="C18" s="203"/>
      <c r="D18" s="203"/>
      <c r="E18" s="30">
        <f>F152</f>
        <v>2303.39</v>
      </c>
      <c r="F18" s="31">
        <f t="shared" si="0"/>
        <v>8.3231554847643011E-2</v>
      </c>
    </row>
    <row r="19" spans="1:7" ht="15.75" customHeight="1" x14ac:dyDescent="0.2">
      <c r="A19" s="202" t="str">
        <f>A154</f>
        <v>3.1.6. Pneus</v>
      </c>
      <c r="B19" s="202"/>
      <c r="C19" s="202"/>
      <c r="D19" s="202"/>
      <c r="E19" s="28">
        <f>F161</f>
        <v>607.29999999999995</v>
      </c>
      <c r="F19" s="29">
        <f t="shared" si="0"/>
        <v>2.19444050981265E-2</v>
      </c>
    </row>
    <row r="20" spans="1:7" s="10" customFormat="1" ht="15.75" customHeight="1" x14ac:dyDescent="0.2">
      <c r="A20" s="201" t="str">
        <f>A166</f>
        <v>4. Ferramentas e Materiais de Consumo</v>
      </c>
      <c r="B20" s="201"/>
      <c r="C20" s="201"/>
      <c r="D20" s="201"/>
      <c r="E20" s="26">
        <f>+F172</f>
        <v>18.329999999999998</v>
      </c>
      <c r="F20" s="27">
        <f t="shared" si="0"/>
        <v>6.6234306841537745E-4</v>
      </c>
      <c r="G20" s="9"/>
    </row>
    <row r="21" spans="1:7" s="10" customFormat="1" ht="15.75" customHeight="1" x14ac:dyDescent="0.2">
      <c r="A21" s="204" t="str">
        <f>A174</f>
        <v>5. Monitoramento da Frota</v>
      </c>
      <c r="B21" s="204"/>
      <c r="C21" s="204"/>
      <c r="D21" s="204"/>
      <c r="E21" s="32">
        <f>+F182</f>
        <v>103.99</v>
      </c>
      <c r="F21" s="33">
        <f t="shared" si="0"/>
        <v>3.7576135125212827E-3</v>
      </c>
      <c r="G21" s="9"/>
    </row>
    <row r="22" spans="1:7" s="10" customFormat="1" ht="15.75" customHeight="1" x14ac:dyDescent="0.2">
      <c r="A22" s="201" t="str">
        <f>A186</f>
        <v>6. Benefícios e Despesas Indiretas - BDI</v>
      </c>
      <c r="B22" s="201"/>
      <c r="C22" s="201"/>
      <c r="D22" s="201"/>
      <c r="E22" s="26">
        <f>+F191</f>
        <v>5680.93</v>
      </c>
      <c r="F22" s="27">
        <f t="shared" si="0"/>
        <v>0.20527684711691058</v>
      </c>
      <c r="G22" s="9"/>
    </row>
    <row r="23" spans="1:7" ht="15.75" customHeight="1" x14ac:dyDescent="0.2">
      <c r="A23" s="204" t="s">
        <v>158</v>
      </c>
      <c r="B23" s="204"/>
      <c r="C23" s="204"/>
      <c r="D23" s="204"/>
      <c r="E23" s="32">
        <f>E6+E11+E12+E20+E21+E22</f>
        <v>27674.480000000003</v>
      </c>
      <c r="F23" s="33">
        <f>F6+F11+F12+F20+F21+F22</f>
        <v>0.99999999999999978</v>
      </c>
    </row>
    <row r="26" spans="1:7" ht="15" customHeight="1" x14ac:dyDescent="0.2">
      <c r="A26" s="194" t="s">
        <v>74</v>
      </c>
      <c r="B26" s="194"/>
      <c r="C26" s="194"/>
      <c r="D26" s="194"/>
      <c r="E26" s="194"/>
      <c r="F26" s="194"/>
    </row>
    <row r="27" spans="1:7" ht="30" customHeight="1" x14ac:dyDescent="0.2">
      <c r="A27" s="194" t="s">
        <v>30</v>
      </c>
      <c r="B27" s="194"/>
      <c r="C27" s="194"/>
      <c r="D27" s="194"/>
      <c r="E27" s="2" t="s">
        <v>31</v>
      </c>
      <c r="F27" s="2" t="s">
        <v>237</v>
      </c>
    </row>
    <row r="28" spans="1:7" ht="15" customHeight="1" x14ac:dyDescent="0.2">
      <c r="A28" s="203" t="str">
        <f>+A34</f>
        <v>1.1. Coletor</v>
      </c>
      <c r="B28" s="203"/>
      <c r="C28" s="203"/>
      <c r="D28" s="203"/>
      <c r="E28" s="34">
        <v>2</v>
      </c>
      <c r="F28" s="35">
        <v>0.19</v>
      </c>
    </row>
    <row r="29" spans="1:7" ht="15" customHeight="1" x14ac:dyDescent="0.2">
      <c r="A29" s="202" t="str">
        <f>+A44</f>
        <v>1.2. Motorista</v>
      </c>
      <c r="B29" s="202"/>
      <c r="C29" s="202"/>
      <c r="D29" s="202"/>
      <c r="E29" s="36">
        <v>1</v>
      </c>
      <c r="F29" s="37">
        <v>0.32</v>
      </c>
    </row>
    <row r="30" spans="1:7" ht="30" customHeight="1" x14ac:dyDescent="0.2">
      <c r="A30" s="194" t="s">
        <v>239</v>
      </c>
      <c r="B30" s="194"/>
      <c r="C30" s="194"/>
      <c r="D30" s="194"/>
      <c r="E30" s="2" t="s">
        <v>31</v>
      </c>
      <c r="F30" s="2" t="s">
        <v>237</v>
      </c>
    </row>
    <row r="31" spans="1:7" ht="15" customHeight="1" x14ac:dyDescent="0.2">
      <c r="A31" s="203" t="str">
        <f>+A103</f>
        <v>3.1. Veículo Coletor Compactador 12 m³</v>
      </c>
      <c r="B31" s="203"/>
      <c r="C31" s="203"/>
      <c r="D31" s="203"/>
      <c r="E31" s="34">
        <v>1</v>
      </c>
      <c r="F31" s="38">
        <f>'7. Dimensionamento'!F26</f>
        <v>1</v>
      </c>
    </row>
    <row r="32" spans="1:7" ht="15" customHeight="1" x14ac:dyDescent="0.2">
      <c r="A32" s="11"/>
      <c r="B32" s="11"/>
      <c r="C32" s="11"/>
      <c r="D32" s="8"/>
      <c r="E32" s="12"/>
      <c r="F32" s="8"/>
    </row>
    <row r="33" spans="1:7" ht="13.15" customHeight="1" x14ac:dyDescent="0.2">
      <c r="A33" s="205" t="s">
        <v>38</v>
      </c>
      <c r="B33" s="206"/>
      <c r="C33" s="206"/>
      <c r="D33" s="206"/>
      <c r="E33" s="206"/>
      <c r="F33" s="207"/>
    </row>
    <row r="34" spans="1:7" ht="13.9" customHeight="1" x14ac:dyDescent="0.2">
      <c r="A34" s="205" t="s">
        <v>240</v>
      </c>
      <c r="B34" s="206"/>
      <c r="C34" s="206"/>
      <c r="D34" s="206"/>
      <c r="E34" s="206"/>
      <c r="F34" s="207"/>
    </row>
    <row r="35" spans="1:7" ht="13.9" customHeight="1" x14ac:dyDescent="0.2">
      <c r="A35" s="2" t="s">
        <v>49</v>
      </c>
      <c r="B35" s="2" t="s">
        <v>50</v>
      </c>
      <c r="C35" s="2" t="s">
        <v>31</v>
      </c>
      <c r="D35" s="2" t="s">
        <v>154</v>
      </c>
      <c r="E35" s="2" t="s">
        <v>51</v>
      </c>
      <c r="F35" s="6" t="s">
        <v>245</v>
      </c>
    </row>
    <row r="36" spans="1:7" ht="13.15" customHeight="1" x14ac:dyDescent="0.2">
      <c r="A36" s="39" t="s">
        <v>139</v>
      </c>
      <c r="B36" s="40" t="s">
        <v>6</v>
      </c>
      <c r="C36" s="40">
        <v>1</v>
      </c>
      <c r="D36" s="41">
        <v>1816.57</v>
      </c>
      <c r="E36" s="41">
        <f>C36*D36</f>
        <v>1816.57</v>
      </c>
    </row>
    <row r="37" spans="1:7" x14ac:dyDescent="0.2">
      <c r="A37" s="42" t="s">
        <v>0</v>
      </c>
      <c r="B37" s="43" t="s">
        <v>1</v>
      </c>
      <c r="C37" s="43">
        <v>40</v>
      </c>
      <c r="D37" s="44">
        <f>SUM(E36:E36)</f>
        <v>1816.57</v>
      </c>
      <c r="E37" s="44">
        <f>C37*D37/100</f>
        <v>726.62800000000004</v>
      </c>
    </row>
    <row r="38" spans="1:7" x14ac:dyDescent="0.2">
      <c r="A38" s="45" t="s">
        <v>2</v>
      </c>
      <c r="B38" s="46"/>
      <c r="C38" s="46"/>
      <c r="D38" s="47"/>
      <c r="E38" s="47">
        <f>SUM(E36:E37)</f>
        <v>2543.1979999999999</v>
      </c>
    </row>
    <row r="39" spans="1:7" x14ac:dyDescent="0.2">
      <c r="A39" s="42" t="s">
        <v>3</v>
      </c>
      <c r="B39" s="43" t="s">
        <v>1</v>
      </c>
      <c r="C39" s="48">
        <f>'2.Encargos Sociais'!$C$32*100</f>
        <v>71.454660000000004</v>
      </c>
      <c r="D39" s="44">
        <f>E38</f>
        <v>2543.1979999999999</v>
      </c>
      <c r="E39" s="44">
        <f>D39*C39/100</f>
        <v>1817.2334840268002</v>
      </c>
    </row>
    <row r="40" spans="1:7" x14ac:dyDescent="0.2">
      <c r="A40" s="45" t="s">
        <v>53</v>
      </c>
      <c r="B40" s="46"/>
      <c r="C40" s="46"/>
      <c r="D40" s="47"/>
      <c r="E40" s="47">
        <f>E38+E39</f>
        <v>4360.4314840267998</v>
      </c>
    </row>
    <row r="41" spans="1:7" x14ac:dyDescent="0.2">
      <c r="A41" s="42" t="s">
        <v>4</v>
      </c>
      <c r="B41" s="43" t="s">
        <v>5</v>
      </c>
      <c r="C41" s="36">
        <f>E28</f>
        <v>2</v>
      </c>
      <c r="D41" s="44">
        <f>E40</f>
        <v>4360.4314840267998</v>
      </c>
      <c r="E41" s="44">
        <f>C41*D41</f>
        <v>8720.8629680535996</v>
      </c>
    </row>
    <row r="42" spans="1:7" ht="13.9" customHeight="1" x14ac:dyDescent="0.2">
      <c r="D42" s="49" t="s">
        <v>134</v>
      </c>
      <c r="E42" s="50">
        <f>F28</f>
        <v>0.19</v>
      </c>
      <c r="F42" s="47">
        <f>ROUND(E41*E42,2)</f>
        <v>1656.96</v>
      </c>
    </row>
    <row r="43" spans="1:7" ht="11.25" customHeight="1" x14ac:dyDescent="0.2"/>
    <row r="44" spans="1:7" x14ac:dyDescent="0.2">
      <c r="A44" s="205" t="s">
        <v>241</v>
      </c>
      <c r="B44" s="206"/>
      <c r="C44" s="206"/>
      <c r="D44" s="206"/>
      <c r="E44" s="206"/>
      <c r="F44" s="207"/>
    </row>
    <row r="45" spans="1:7" ht="13.15" customHeight="1" x14ac:dyDescent="0.2">
      <c r="A45" s="2" t="s">
        <v>49</v>
      </c>
      <c r="B45" s="2" t="s">
        <v>50</v>
      </c>
      <c r="C45" s="2" t="s">
        <v>31</v>
      </c>
      <c r="D45" s="2" t="s">
        <v>154</v>
      </c>
      <c r="E45" s="2" t="s">
        <v>51</v>
      </c>
      <c r="F45" s="2" t="s">
        <v>245</v>
      </c>
    </row>
    <row r="46" spans="1:7" x14ac:dyDescent="0.2">
      <c r="A46" s="42" t="s">
        <v>169</v>
      </c>
      <c r="B46" s="43" t="s">
        <v>6</v>
      </c>
      <c r="C46" s="43">
        <v>1</v>
      </c>
      <c r="D46" s="44">
        <v>2251.4899999999998</v>
      </c>
      <c r="E46" s="44">
        <f>C46*D46</f>
        <v>2251.4899999999998</v>
      </c>
    </row>
    <row r="47" spans="1:7" s="10" customFormat="1" x14ac:dyDescent="0.2">
      <c r="A47" s="45" t="s">
        <v>2</v>
      </c>
      <c r="B47" s="46"/>
      <c r="C47" s="46"/>
      <c r="D47" s="47"/>
      <c r="E47" s="47">
        <f>SUM(E46:E46)</f>
        <v>2251.4899999999998</v>
      </c>
      <c r="F47" s="9"/>
      <c r="G47" s="9"/>
    </row>
    <row r="48" spans="1:7" x14ac:dyDescent="0.2">
      <c r="A48" s="42" t="s">
        <v>3</v>
      </c>
      <c r="B48" s="43" t="s">
        <v>1</v>
      </c>
      <c r="C48" s="48">
        <f>'2.Encargos Sociais'!$C$32*100</f>
        <v>71.454660000000004</v>
      </c>
      <c r="D48" s="44">
        <f>E47</f>
        <v>2251.4899999999998</v>
      </c>
      <c r="E48" s="44">
        <f>D48*C48/100</f>
        <v>1608.7945244339999</v>
      </c>
    </row>
    <row r="49" spans="1:7" s="10" customFormat="1" x14ac:dyDescent="0.2">
      <c r="A49" s="45" t="s">
        <v>161</v>
      </c>
      <c r="B49" s="46"/>
      <c r="C49" s="46"/>
      <c r="D49" s="47"/>
      <c r="E49" s="47">
        <f>E47+E48</f>
        <v>3860.2845244339996</v>
      </c>
      <c r="F49" s="9"/>
      <c r="G49" s="9"/>
    </row>
    <row r="50" spans="1:7" x14ac:dyDescent="0.2">
      <c r="A50" s="42" t="s">
        <v>4</v>
      </c>
      <c r="B50" s="43" t="s">
        <v>5</v>
      </c>
      <c r="C50" s="36">
        <f>E29</f>
        <v>1</v>
      </c>
      <c r="D50" s="44">
        <f>E49</f>
        <v>3860.2845244339996</v>
      </c>
      <c r="E50" s="44">
        <f>C50*D50</f>
        <v>3860.2845244339996</v>
      </c>
    </row>
    <row r="51" spans="1:7" x14ac:dyDescent="0.2">
      <c r="D51" s="49" t="s">
        <v>134</v>
      </c>
      <c r="E51" s="50">
        <f>F29</f>
        <v>0.32</v>
      </c>
      <c r="F51" s="47">
        <f>ROUND(E50*E51,2)</f>
        <v>1235.29</v>
      </c>
    </row>
    <row r="52" spans="1:7" ht="11.25" customHeight="1" x14ac:dyDescent="0.2"/>
    <row r="53" spans="1:7" x14ac:dyDescent="0.2">
      <c r="A53" s="205" t="s">
        <v>208</v>
      </c>
      <c r="B53" s="206"/>
      <c r="C53" s="206"/>
      <c r="D53" s="206"/>
      <c r="E53" s="206"/>
      <c r="F53" s="207"/>
      <c r="G53" s="8"/>
    </row>
    <row r="54" spans="1:7" ht="13.35" customHeight="1" x14ac:dyDescent="0.2">
      <c r="A54" s="5" t="s">
        <v>49</v>
      </c>
      <c r="B54" s="5" t="s">
        <v>50</v>
      </c>
      <c r="C54" s="5" t="s">
        <v>31</v>
      </c>
      <c r="D54" s="5" t="s">
        <v>154</v>
      </c>
      <c r="E54" s="5" t="s">
        <v>51</v>
      </c>
      <c r="F54" s="2" t="s">
        <v>245</v>
      </c>
      <c r="G54" s="8"/>
    </row>
    <row r="55" spans="1:7" x14ac:dyDescent="0.2">
      <c r="A55" s="39" t="s">
        <v>68</v>
      </c>
      <c r="B55" s="40" t="s">
        <v>26</v>
      </c>
      <c r="C55" s="51">
        <v>1</v>
      </c>
      <c r="D55" s="41">
        <v>5.85</v>
      </c>
      <c r="E55" s="41">
        <f>C55*D55</f>
        <v>5.85</v>
      </c>
      <c r="G55" s="8"/>
    </row>
    <row r="56" spans="1:7" x14ac:dyDescent="0.2">
      <c r="A56" s="42" t="s">
        <v>69</v>
      </c>
      <c r="B56" s="43" t="s">
        <v>70</v>
      </c>
      <c r="C56" s="52">
        <f>4.33*2</f>
        <v>8.66</v>
      </c>
      <c r="D56" s="44"/>
      <c r="E56" s="44"/>
      <c r="G56" s="8"/>
    </row>
    <row r="57" spans="1:7" x14ac:dyDescent="0.2">
      <c r="A57" s="39" t="s">
        <v>54</v>
      </c>
      <c r="B57" s="40" t="s">
        <v>7</v>
      </c>
      <c r="C57" s="51">
        <f>$C$56*2*(C41)</f>
        <v>34.64</v>
      </c>
      <c r="D57" s="41">
        <f>IFERROR((($C$56*2*$D$55)-(E36*0.06*C56/26))/($C$56*2),"-")</f>
        <v>3.7539576923076923</v>
      </c>
      <c r="E57" s="41">
        <f>IFERROR(C57*D57,"-")</f>
        <v>130.03709446153846</v>
      </c>
      <c r="G57" s="8"/>
    </row>
    <row r="58" spans="1:7" x14ac:dyDescent="0.2">
      <c r="A58" s="42" t="s">
        <v>35</v>
      </c>
      <c r="B58" s="43" t="s">
        <v>7</v>
      </c>
      <c r="C58" s="53">
        <f>$C$56*2*(C50)</f>
        <v>17.32</v>
      </c>
      <c r="D58" s="44">
        <f>IFERROR((($C$56*2*$D$55)-(E46*0.06*C56/26))/($C$56*2),"-")</f>
        <v>3.2521269230769225</v>
      </c>
      <c r="E58" s="44">
        <f>IFERROR(C58*D58,"-")</f>
        <v>56.326838307692299</v>
      </c>
      <c r="G58" s="8"/>
    </row>
    <row r="59" spans="1:7" x14ac:dyDescent="0.2">
      <c r="F59" s="47">
        <f>ROUND(SUM(E57:E58),2)</f>
        <v>186.36</v>
      </c>
      <c r="G59" s="8"/>
    </row>
    <row r="60" spans="1:7" ht="11.25" customHeight="1" x14ac:dyDescent="0.2">
      <c r="G60" s="8"/>
    </row>
    <row r="61" spans="1:7" x14ac:dyDescent="0.2">
      <c r="A61" s="205" t="s">
        <v>235</v>
      </c>
      <c r="B61" s="206"/>
      <c r="C61" s="206"/>
      <c r="D61" s="206"/>
      <c r="E61" s="206"/>
      <c r="F61" s="207"/>
      <c r="G61" s="8"/>
    </row>
    <row r="62" spans="1:7" ht="13.35" customHeight="1" x14ac:dyDescent="0.2">
      <c r="A62" s="5" t="s">
        <v>49</v>
      </c>
      <c r="B62" s="5" t="s">
        <v>50</v>
      </c>
      <c r="C62" s="5" t="s">
        <v>31</v>
      </c>
      <c r="D62" s="5" t="s">
        <v>154</v>
      </c>
      <c r="E62" s="5" t="s">
        <v>51</v>
      </c>
      <c r="F62" s="2" t="s">
        <v>245</v>
      </c>
      <c r="G62" s="8"/>
    </row>
    <row r="63" spans="1:7" x14ac:dyDescent="0.2">
      <c r="A63" s="42" t="str">
        <f>+A57</f>
        <v>Coletor</v>
      </c>
      <c r="B63" s="43" t="s">
        <v>8</v>
      </c>
      <c r="C63" s="53">
        <f>C56*(E28)</f>
        <v>17.32</v>
      </c>
      <c r="D63" s="44">
        <f>23.68*0.81</f>
        <v>19.180800000000001</v>
      </c>
      <c r="E63" s="44">
        <f>C63*D63</f>
        <v>332.21145600000006</v>
      </c>
      <c r="F63" s="13"/>
      <c r="G63" s="8"/>
    </row>
    <row r="64" spans="1:7" x14ac:dyDescent="0.2">
      <c r="A64" s="39" t="str">
        <f>+A58</f>
        <v>Motorista</v>
      </c>
      <c r="B64" s="40" t="s">
        <v>8</v>
      </c>
      <c r="C64" s="51">
        <f>C56*(E29)</f>
        <v>8.66</v>
      </c>
      <c r="D64" s="41">
        <f>16*0.8</f>
        <v>12.8</v>
      </c>
      <c r="E64" s="41">
        <f>C64*D64</f>
        <v>110.84800000000001</v>
      </c>
      <c r="F64" s="13"/>
      <c r="G64" s="8"/>
    </row>
    <row r="65" spans="1:7" x14ac:dyDescent="0.2">
      <c r="F65" s="54">
        <f>ROUND(SUM(E63:E64),2)</f>
        <v>443.06</v>
      </c>
      <c r="G65" s="8"/>
    </row>
    <row r="66" spans="1:7" x14ac:dyDescent="0.2">
      <c r="G66" s="8"/>
    </row>
    <row r="67" spans="1:7" x14ac:dyDescent="0.2">
      <c r="A67" s="208" t="s">
        <v>71</v>
      </c>
      <c r="B67" s="208"/>
      <c r="C67" s="208"/>
      <c r="D67" s="208"/>
      <c r="E67" s="208"/>
      <c r="F67" s="55">
        <f>ROUND(SUM(F65,F59,F51,F42),2)</f>
        <v>3521.67</v>
      </c>
      <c r="G67" s="8"/>
    </row>
    <row r="69" spans="1:7" x14ac:dyDescent="0.2">
      <c r="A69" s="205" t="s">
        <v>36</v>
      </c>
      <c r="B69" s="206"/>
      <c r="C69" s="206"/>
      <c r="D69" s="206"/>
      <c r="E69" s="206"/>
      <c r="F69" s="207"/>
      <c r="G69" s="8"/>
    </row>
    <row r="70" spans="1:7" ht="13.9" customHeight="1" x14ac:dyDescent="0.2">
      <c r="A70" s="205" t="s">
        <v>242</v>
      </c>
      <c r="B70" s="206"/>
      <c r="C70" s="206"/>
      <c r="D70" s="206"/>
      <c r="E70" s="206"/>
      <c r="F70" s="207"/>
      <c r="G70" s="8"/>
    </row>
    <row r="71" spans="1:7" ht="27.75" customHeight="1" x14ac:dyDescent="0.2">
      <c r="A71" s="5" t="s">
        <v>49</v>
      </c>
      <c r="B71" s="5" t="s">
        <v>50</v>
      </c>
      <c r="C71" s="5" t="s">
        <v>162</v>
      </c>
      <c r="D71" s="5" t="s">
        <v>154</v>
      </c>
      <c r="E71" s="5" t="s">
        <v>51</v>
      </c>
      <c r="F71" s="2" t="s">
        <v>245</v>
      </c>
      <c r="G71" s="8"/>
    </row>
    <row r="72" spans="1:7" x14ac:dyDescent="0.2">
      <c r="A72" s="39" t="s">
        <v>209</v>
      </c>
      <c r="B72" s="40" t="s">
        <v>8</v>
      </c>
      <c r="C72" s="56">
        <v>3</v>
      </c>
      <c r="D72" s="41">
        <v>18</v>
      </c>
      <c r="E72" s="41">
        <f>IFERROR(D72/C72,0)</f>
        <v>6</v>
      </c>
      <c r="G72" s="8"/>
    </row>
    <row r="73" spans="1:7" ht="13.15" customHeight="1" x14ac:dyDescent="0.2">
      <c r="A73" s="42" t="s">
        <v>210</v>
      </c>
      <c r="B73" s="43" t="s">
        <v>40</v>
      </c>
      <c r="C73" s="57">
        <v>2</v>
      </c>
      <c r="D73" s="44">
        <v>18.760000000000002</v>
      </c>
      <c r="E73" s="44">
        <f t="shared" ref="E73:E81" si="1">IFERROR(D73/C73,0)</f>
        <v>9.3800000000000008</v>
      </c>
      <c r="G73" s="8"/>
    </row>
    <row r="74" spans="1:7" x14ac:dyDescent="0.2">
      <c r="A74" s="39" t="s">
        <v>211</v>
      </c>
      <c r="B74" s="40" t="s">
        <v>8</v>
      </c>
      <c r="C74" s="56">
        <v>6</v>
      </c>
      <c r="D74" s="41">
        <v>170</v>
      </c>
      <c r="E74" s="41">
        <f t="shared" si="1"/>
        <v>28.333333333333332</v>
      </c>
      <c r="G74" s="8"/>
    </row>
    <row r="75" spans="1:7" ht="13.15" customHeight="1" x14ac:dyDescent="0.2">
      <c r="A75" s="42" t="s">
        <v>212</v>
      </c>
      <c r="B75" s="43" t="s">
        <v>8</v>
      </c>
      <c r="C75" s="57">
        <v>6</v>
      </c>
      <c r="D75" s="44">
        <v>2.85</v>
      </c>
      <c r="E75" s="44">
        <f t="shared" si="1"/>
        <v>0.47500000000000003</v>
      </c>
      <c r="G75" s="8"/>
    </row>
    <row r="76" spans="1:7" ht="13.9" customHeight="1" x14ac:dyDescent="0.2">
      <c r="A76" s="39" t="s">
        <v>213</v>
      </c>
      <c r="B76" s="40" t="s">
        <v>8</v>
      </c>
      <c r="C76" s="56">
        <v>3</v>
      </c>
      <c r="D76" s="41">
        <v>70</v>
      </c>
      <c r="E76" s="41">
        <f t="shared" si="1"/>
        <v>23.333333333333332</v>
      </c>
      <c r="G76" s="8"/>
    </row>
    <row r="77" spans="1:7" ht="13.15" customHeight="1" x14ac:dyDescent="0.2">
      <c r="A77" s="42" t="s">
        <v>214</v>
      </c>
      <c r="B77" s="43" t="s">
        <v>8</v>
      </c>
      <c r="C77" s="57">
        <v>3</v>
      </c>
      <c r="D77" s="44">
        <v>26</v>
      </c>
      <c r="E77" s="44">
        <f t="shared" si="1"/>
        <v>8.6666666666666661</v>
      </c>
    </row>
    <row r="78" spans="1:7" x14ac:dyDescent="0.2">
      <c r="A78" s="39" t="s">
        <v>215</v>
      </c>
      <c r="B78" s="40" t="s">
        <v>8</v>
      </c>
      <c r="C78" s="56">
        <v>3</v>
      </c>
      <c r="D78" s="41">
        <v>30</v>
      </c>
      <c r="E78" s="41">
        <f t="shared" si="1"/>
        <v>10</v>
      </c>
    </row>
    <row r="79" spans="1:7" s="15" customFormat="1" x14ac:dyDescent="0.2">
      <c r="A79" s="58" t="s">
        <v>216</v>
      </c>
      <c r="B79" s="59" t="s">
        <v>39</v>
      </c>
      <c r="C79" s="57">
        <v>3</v>
      </c>
      <c r="D79" s="44">
        <v>70</v>
      </c>
      <c r="E79" s="44">
        <f t="shared" si="1"/>
        <v>23.333333333333332</v>
      </c>
      <c r="F79" s="14"/>
      <c r="G79" s="14"/>
    </row>
    <row r="80" spans="1:7" x14ac:dyDescent="0.2">
      <c r="A80" s="39" t="s">
        <v>217</v>
      </c>
      <c r="B80" s="40" t="s">
        <v>39</v>
      </c>
      <c r="C80" s="56">
        <v>1</v>
      </c>
      <c r="D80" s="41">
        <v>10</v>
      </c>
      <c r="E80" s="41">
        <f t="shared" si="1"/>
        <v>10</v>
      </c>
    </row>
    <row r="81" spans="1:7" ht="13.15" customHeight="1" x14ac:dyDescent="0.2">
      <c r="A81" s="42" t="s">
        <v>218</v>
      </c>
      <c r="B81" s="43" t="s">
        <v>8</v>
      </c>
      <c r="C81" s="57">
        <v>6</v>
      </c>
      <c r="D81" s="44">
        <v>42</v>
      </c>
      <c r="E81" s="44">
        <f t="shared" si="1"/>
        <v>7</v>
      </c>
    </row>
    <row r="82" spans="1:7" x14ac:dyDescent="0.2">
      <c r="A82" s="39" t="s">
        <v>72</v>
      </c>
      <c r="B82" s="40" t="s">
        <v>39</v>
      </c>
      <c r="C82" s="56">
        <v>3</v>
      </c>
      <c r="D82" s="41">
        <v>10</v>
      </c>
      <c r="E82" s="41">
        <f t="shared" ref="E82:E84" si="2">C82*D82</f>
        <v>30</v>
      </c>
    </row>
    <row r="83" spans="1:7" x14ac:dyDescent="0.2">
      <c r="A83" s="42" t="s">
        <v>219</v>
      </c>
      <c r="B83" s="43" t="s">
        <v>8</v>
      </c>
      <c r="C83" s="57">
        <v>6</v>
      </c>
      <c r="D83" s="44">
        <v>20</v>
      </c>
      <c r="E83" s="44">
        <f t="shared" si="2"/>
        <v>120</v>
      </c>
    </row>
    <row r="84" spans="1:7" x14ac:dyDescent="0.2">
      <c r="A84" s="39" t="s">
        <v>4</v>
      </c>
      <c r="B84" s="40" t="s">
        <v>5</v>
      </c>
      <c r="C84" s="56">
        <f>E28</f>
        <v>2</v>
      </c>
      <c r="D84" s="41">
        <f>+SUM(E72:E83)</f>
        <v>276.52166666666665</v>
      </c>
      <c r="E84" s="41">
        <f t="shared" si="2"/>
        <v>553.04333333333329</v>
      </c>
    </row>
    <row r="85" spans="1:7" x14ac:dyDescent="0.2">
      <c r="D85" s="49" t="s">
        <v>134</v>
      </c>
      <c r="E85" s="60">
        <f>E42</f>
        <v>0.19</v>
      </c>
      <c r="F85" s="54">
        <f>ROUND(E84*E85,2)</f>
        <v>105.08</v>
      </c>
    </row>
    <row r="86" spans="1:7" ht="11.25" customHeight="1" x14ac:dyDescent="0.2"/>
    <row r="87" spans="1:7" ht="13.9" customHeight="1" x14ac:dyDescent="0.2">
      <c r="A87" s="205" t="s">
        <v>220</v>
      </c>
      <c r="B87" s="206"/>
      <c r="C87" s="206"/>
      <c r="D87" s="206"/>
      <c r="E87" s="206"/>
      <c r="F87" s="207"/>
    </row>
    <row r="88" spans="1:7" ht="25.5" x14ac:dyDescent="0.2">
      <c r="A88" s="5" t="s">
        <v>49</v>
      </c>
      <c r="B88" s="5" t="s">
        <v>50</v>
      </c>
      <c r="C88" s="5" t="s">
        <v>162</v>
      </c>
      <c r="D88" s="5" t="s">
        <v>154</v>
      </c>
      <c r="E88" s="5" t="s">
        <v>51</v>
      </c>
      <c r="F88" s="2" t="s">
        <v>245</v>
      </c>
    </row>
    <row r="89" spans="1:7" x14ac:dyDescent="0.2">
      <c r="A89" s="42" t="s">
        <v>210</v>
      </c>
      <c r="B89" s="43" t="s">
        <v>40</v>
      </c>
      <c r="C89" s="57">
        <v>2</v>
      </c>
      <c r="D89" s="44">
        <v>18.760000000000002</v>
      </c>
      <c r="E89" s="44">
        <f>IFERROR(D89/C89,0)</f>
        <v>9.3800000000000008</v>
      </c>
    </row>
    <row r="90" spans="1:7" x14ac:dyDescent="0.2">
      <c r="A90" s="39" t="s">
        <v>211</v>
      </c>
      <c r="B90" s="40" t="s">
        <v>8</v>
      </c>
      <c r="C90" s="56">
        <v>6</v>
      </c>
      <c r="D90" s="41">
        <v>170</v>
      </c>
      <c r="E90" s="41">
        <f t="shared" ref="E90:E94" si="3">IFERROR(D90/C90,0)</f>
        <v>28.333333333333332</v>
      </c>
    </row>
    <row r="91" spans="1:7" x14ac:dyDescent="0.2">
      <c r="A91" s="42" t="s">
        <v>213</v>
      </c>
      <c r="B91" s="43" t="s">
        <v>8</v>
      </c>
      <c r="C91" s="57">
        <v>6</v>
      </c>
      <c r="D91" s="44">
        <v>70</v>
      </c>
      <c r="E91" s="44">
        <f t="shared" si="3"/>
        <v>11.666666666666666</v>
      </c>
    </row>
    <row r="92" spans="1:7" x14ac:dyDescent="0.2">
      <c r="A92" s="39" t="s">
        <v>214</v>
      </c>
      <c r="B92" s="40" t="s">
        <v>8</v>
      </c>
      <c r="C92" s="56">
        <v>3</v>
      </c>
      <c r="D92" s="41">
        <v>26</v>
      </c>
      <c r="E92" s="41">
        <f t="shared" si="3"/>
        <v>8.6666666666666661</v>
      </c>
    </row>
    <row r="93" spans="1:7" x14ac:dyDescent="0.2">
      <c r="A93" s="42" t="s">
        <v>215</v>
      </c>
      <c r="B93" s="43" t="s">
        <v>8</v>
      </c>
      <c r="C93" s="57">
        <v>3</v>
      </c>
      <c r="D93" s="44">
        <v>30</v>
      </c>
      <c r="E93" s="44">
        <f t="shared" si="3"/>
        <v>10</v>
      </c>
      <c r="G93" s="8"/>
    </row>
    <row r="94" spans="1:7" x14ac:dyDescent="0.2">
      <c r="A94" s="61" t="s">
        <v>216</v>
      </c>
      <c r="B94" s="62" t="s">
        <v>39</v>
      </c>
      <c r="C94" s="56">
        <v>3</v>
      </c>
      <c r="D94" s="41">
        <v>70</v>
      </c>
      <c r="E94" s="41">
        <f t="shared" si="3"/>
        <v>23.333333333333332</v>
      </c>
      <c r="G94" s="8"/>
    </row>
    <row r="95" spans="1:7" x14ac:dyDescent="0.2">
      <c r="A95" s="42" t="s">
        <v>218</v>
      </c>
      <c r="B95" s="43" t="s">
        <v>8</v>
      </c>
      <c r="C95" s="57">
        <v>6</v>
      </c>
      <c r="D95" s="44">
        <v>42</v>
      </c>
      <c r="E95" s="44">
        <f t="shared" ref="E95:E97" si="4">C95*D95</f>
        <v>252</v>
      </c>
      <c r="G95" s="8"/>
    </row>
    <row r="96" spans="1:7" x14ac:dyDescent="0.2">
      <c r="A96" s="39" t="s">
        <v>72</v>
      </c>
      <c r="B96" s="40" t="s">
        <v>39</v>
      </c>
      <c r="C96" s="56">
        <v>3</v>
      </c>
      <c r="D96" s="41">
        <v>10</v>
      </c>
      <c r="E96" s="41">
        <f t="shared" si="4"/>
        <v>30</v>
      </c>
      <c r="G96" s="8"/>
    </row>
    <row r="97" spans="1:10" x14ac:dyDescent="0.2">
      <c r="A97" s="42" t="s">
        <v>4</v>
      </c>
      <c r="B97" s="43" t="s">
        <v>5</v>
      </c>
      <c r="C97" s="57">
        <f>E29</f>
        <v>1</v>
      </c>
      <c r="D97" s="44">
        <f>+SUM(E89:E96)</f>
        <v>373.38</v>
      </c>
      <c r="E97" s="63">
        <f t="shared" si="4"/>
        <v>373.38</v>
      </c>
      <c r="G97" s="8"/>
    </row>
    <row r="98" spans="1:10" x14ac:dyDescent="0.2">
      <c r="D98" s="49" t="s">
        <v>134</v>
      </c>
      <c r="E98" s="50">
        <f>E51</f>
        <v>0.32</v>
      </c>
      <c r="F98" s="47">
        <f>ROUND(E97*E98,2)</f>
        <v>119.48</v>
      </c>
      <c r="G98" s="8"/>
    </row>
    <row r="99" spans="1:10" ht="11.25" customHeight="1" x14ac:dyDescent="0.2">
      <c r="G99" s="8"/>
    </row>
    <row r="100" spans="1:10" x14ac:dyDescent="0.2">
      <c r="A100" s="208" t="s">
        <v>135</v>
      </c>
      <c r="B100" s="208"/>
      <c r="C100" s="208"/>
      <c r="D100" s="208"/>
      <c r="E100" s="208"/>
      <c r="F100" s="55">
        <f>+F85+F98</f>
        <v>224.56</v>
      </c>
      <c r="G100" s="8"/>
    </row>
    <row r="101" spans="1:10" ht="11.25" customHeight="1" x14ac:dyDescent="0.2">
      <c r="G101" s="8"/>
    </row>
    <row r="102" spans="1:10" x14ac:dyDescent="0.2">
      <c r="A102" s="208" t="s">
        <v>44</v>
      </c>
      <c r="B102" s="208"/>
      <c r="C102" s="208"/>
      <c r="D102" s="208"/>
      <c r="E102" s="208"/>
      <c r="F102" s="208"/>
      <c r="G102" s="8"/>
    </row>
    <row r="103" spans="1:10" x14ac:dyDescent="0.2">
      <c r="A103" s="208" t="s">
        <v>243</v>
      </c>
      <c r="B103" s="208"/>
      <c r="C103" s="208"/>
      <c r="D103" s="208"/>
      <c r="E103" s="208"/>
      <c r="F103" s="208"/>
      <c r="G103" s="8"/>
    </row>
    <row r="104" spans="1:10" x14ac:dyDescent="0.2">
      <c r="A104" s="208" t="s">
        <v>37</v>
      </c>
      <c r="B104" s="208"/>
      <c r="C104" s="208"/>
      <c r="D104" s="208"/>
      <c r="E104" s="208"/>
      <c r="F104" s="208"/>
      <c r="G104" s="8"/>
    </row>
    <row r="105" spans="1:10" x14ac:dyDescent="0.2">
      <c r="A105" s="2" t="s">
        <v>49</v>
      </c>
      <c r="B105" s="2" t="s">
        <v>50</v>
      </c>
      <c r="C105" s="2" t="s">
        <v>31</v>
      </c>
      <c r="D105" s="2" t="s">
        <v>154</v>
      </c>
      <c r="E105" s="2" t="s">
        <v>51</v>
      </c>
      <c r="F105" s="2" t="s">
        <v>245</v>
      </c>
      <c r="G105" s="8"/>
    </row>
    <row r="106" spans="1:10" x14ac:dyDescent="0.2">
      <c r="A106" s="39" t="s">
        <v>221</v>
      </c>
      <c r="B106" s="40" t="s">
        <v>8</v>
      </c>
      <c r="C106" s="40">
        <v>1</v>
      </c>
      <c r="D106" s="64">
        <v>592356.03</v>
      </c>
      <c r="E106" s="64">
        <f>C106*D106</f>
        <v>592356.03</v>
      </c>
      <c r="G106" s="8"/>
    </row>
    <row r="107" spans="1:10" x14ac:dyDescent="0.2">
      <c r="A107" s="42" t="s">
        <v>222</v>
      </c>
      <c r="B107" s="43" t="s">
        <v>26</v>
      </c>
      <c r="C107" s="65">
        <v>0.35</v>
      </c>
      <c r="D107" s="66">
        <f>D106</f>
        <v>592356.03</v>
      </c>
      <c r="E107" s="66">
        <f>D107*C107</f>
        <v>207324.61050000001</v>
      </c>
      <c r="G107" s="8"/>
    </row>
    <row r="108" spans="1:10" x14ac:dyDescent="0.2">
      <c r="A108" s="39" t="s">
        <v>223</v>
      </c>
      <c r="B108" s="40" t="s">
        <v>26</v>
      </c>
      <c r="C108" s="40">
        <v>1</v>
      </c>
      <c r="D108" s="67" t="s">
        <v>226</v>
      </c>
      <c r="E108" s="64">
        <f>E106-E107</f>
        <v>385031.41950000002</v>
      </c>
      <c r="F108" s="16"/>
      <c r="I108" s="17"/>
      <c r="J108" s="17"/>
    </row>
    <row r="109" spans="1:10" x14ac:dyDescent="0.2">
      <c r="A109" s="42" t="s">
        <v>224</v>
      </c>
      <c r="B109" s="43" t="s">
        <v>227</v>
      </c>
      <c r="C109" s="53">
        <v>120</v>
      </c>
      <c r="D109" s="68"/>
      <c r="E109" s="68"/>
    </row>
    <row r="110" spans="1:10" x14ac:dyDescent="0.2">
      <c r="A110" s="45" t="s">
        <v>225</v>
      </c>
      <c r="B110" s="46" t="s">
        <v>228</v>
      </c>
      <c r="C110" s="46">
        <v>1</v>
      </c>
      <c r="D110" s="69" t="s">
        <v>229</v>
      </c>
      <c r="E110" s="70">
        <f>ROUND(E108/C109,2)</f>
        <v>3208.6</v>
      </c>
    </row>
    <row r="111" spans="1:10" x14ac:dyDescent="0.2">
      <c r="A111" s="71"/>
      <c r="B111" s="71"/>
      <c r="C111" s="71"/>
      <c r="D111" s="49" t="s">
        <v>134</v>
      </c>
      <c r="E111" s="72">
        <f>F31</f>
        <v>1</v>
      </c>
      <c r="F111" s="73">
        <f>ROUND(E111*E110,2)</f>
        <v>3208.6</v>
      </c>
    </row>
    <row r="112" spans="1:10" ht="11.25" customHeight="1" x14ac:dyDescent="0.2"/>
    <row r="113" spans="1:10" x14ac:dyDescent="0.2">
      <c r="A113" s="208" t="s">
        <v>244</v>
      </c>
      <c r="B113" s="208"/>
      <c r="C113" s="208"/>
      <c r="D113" s="208"/>
      <c r="E113" s="208"/>
      <c r="F113" s="208"/>
    </row>
    <row r="114" spans="1:10" x14ac:dyDescent="0.2">
      <c r="A114" s="5" t="s">
        <v>49</v>
      </c>
      <c r="B114" s="5" t="s">
        <v>50</v>
      </c>
      <c r="C114" s="5" t="s">
        <v>31</v>
      </c>
      <c r="D114" s="5" t="s">
        <v>154</v>
      </c>
      <c r="E114" s="5" t="s">
        <v>51</v>
      </c>
      <c r="F114" s="2" t="s">
        <v>245</v>
      </c>
      <c r="I114" s="17"/>
      <c r="J114" s="17"/>
    </row>
    <row r="115" spans="1:10" x14ac:dyDescent="0.2">
      <c r="A115" s="42" t="s">
        <v>221</v>
      </c>
      <c r="B115" s="43" t="s">
        <v>8</v>
      </c>
      <c r="C115" s="43">
        <v>1</v>
      </c>
      <c r="D115" s="44">
        <f>D106</f>
        <v>592356.03</v>
      </c>
      <c r="E115" s="44">
        <f>C115*D115</f>
        <v>592356.03</v>
      </c>
      <c r="F115" s="16"/>
      <c r="I115" s="17"/>
      <c r="J115" s="17"/>
    </row>
    <row r="116" spans="1:10" x14ac:dyDescent="0.2">
      <c r="A116" s="39" t="s">
        <v>222</v>
      </c>
      <c r="B116" s="40" t="s">
        <v>26</v>
      </c>
      <c r="C116" s="74">
        <f>C107</f>
        <v>0.35</v>
      </c>
      <c r="D116" s="41">
        <f>D107</f>
        <v>592356.03</v>
      </c>
      <c r="E116" s="41">
        <f>E107</f>
        <v>207324.61050000001</v>
      </c>
      <c r="F116" s="16"/>
      <c r="I116" s="17"/>
      <c r="J116" s="17"/>
    </row>
    <row r="117" spans="1:10" x14ac:dyDescent="0.2">
      <c r="A117" s="75" t="s">
        <v>230</v>
      </c>
      <c r="B117" s="76" t="s">
        <v>232</v>
      </c>
      <c r="C117" s="77">
        <f>C109/12</f>
        <v>10</v>
      </c>
      <c r="D117" s="78"/>
      <c r="E117" s="78"/>
      <c r="F117" s="16"/>
      <c r="I117" s="17"/>
      <c r="J117" s="17"/>
    </row>
    <row r="118" spans="1:10" x14ac:dyDescent="0.2">
      <c r="A118" s="39" t="s">
        <v>231</v>
      </c>
      <c r="B118" s="40" t="s">
        <v>26</v>
      </c>
      <c r="C118" s="79">
        <f>C115</f>
        <v>1</v>
      </c>
      <c r="D118" s="41">
        <f>(E115-E116)*((C117+1)/(2*C117))+E116</f>
        <v>419091.89122500003</v>
      </c>
      <c r="E118" s="41">
        <f>C118*D118</f>
        <v>419091.89122500003</v>
      </c>
      <c r="F118" s="16"/>
      <c r="I118" s="17"/>
      <c r="J118" s="17"/>
    </row>
    <row r="119" spans="1:10" x14ac:dyDescent="0.2">
      <c r="A119" s="75" t="s">
        <v>233</v>
      </c>
      <c r="B119" s="76" t="s">
        <v>1</v>
      </c>
      <c r="C119" s="80">
        <v>0.105</v>
      </c>
      <c r="D119" s="78"/>
      <c r="E119" s="78"/>
      <c r="F119" s="16"/>
      <c r="I119" s="17"/>
      <c r="J119" s="17"/>
    </row>
    <row r="120" spans="1:10" x14ac:dyDescent="0.2">
      <c r="A120" s="45" t="s">
        <v>234</v>
      </c>
      <c r="B120" s="46" t="s">
        <v>26</v>
      </c>
      <c r="C120" s="46">
        <v>1</v>
      </c>
      <c r="D120" s="47">
        <f>(E118*C119)/12</f>
        <v>3667.0540482187498</v>
      </c>
      <c r="E120" s="47">
        <f>C120*D120</f>
        <v>3667.0540482187498</v>
      </c>
      <c r="F120" s="16"/>
      <c r="I120" s="17"/>
      <c r="J120" s="17"/>
    </row>
    <row r="121" spans="1:10" x14ac:dyDescent="0.2">
      <c r="C121" s="18"/>
      <c r="D121" s="49" t="s">
        <v>134</v>
      </c>
      <c r="E121" s="72">
        <f>E111</f>
        <v>1</v>
      </c>
      <c r="F121" s="54">
        <f>ROUND(E120*E121,2)</f>
        <v>3667.05</v>
      </c>
      <c r="I121" s="17"/>
      <c r="J121" s="17"/>
    </row>
    <row r="122" spans="1:10" ht="11.25" customHeight="1" x14ac:dyDescent="0.2">
      <c r="I122" s="17"/>
      <c r="J122" s="17"/>
    </row>
    <row r="123" spans="1:10" x14ac:dyDescent="0.2">
      <c r="A123" s="208" t="s">
        <v>41</v>
      </c>
      <c r="B123" s="208"/>
      <c r="C123" s="208"/>
      <c r="D123" s="208"/>
      <c r="E123" s="208"/>
      <c r="F123" s="208"/>
      <c r="I123" s="17"/>
      <c r="J123" s="17"/>
    </row>
    <row r="124" spans="1:10" x14ac:dyDescent="0.2">
      <c r="A124" s="5" t="s">
        <v>49</v>
      </c>
      <c r="B124" s="5" t="s">
        <v>50</v>
      </c>
      <c r="C124" s="5" t="s">
        <v>31</v>
      </c>
      <c r="D124" s="5" t="s">
        <v>154</v>
      </c>
      <c r="E124" s="5" t="s">
        <v>51</v>
      </c>
      <c r="F124" s="2" t="s">
        <v>245</v>
      </c>
      <c r="I124" s="17"/>
      <c r="J124" s="17"/>
    </row>
    <row r="125" spans="1:10" x14ac:dyDescent="0.2">
      <c r="A125" s="39" t="s">
        <v>9</v>
      </c>
      <c r="B125" s="40" t="s">
        <v>8</v>
      </c>
      <c r="C125" s="67">
        <f>C120</f>
        <v>1</v>
      </c>
      <c r="D125" s="67">
        <v>3000</v>
      </c>
      <c r="E125" s="67">
        <f>C125*D125</f>
        <v>3000</v>
      </c>
      <c r="I125" s="17"/>
      <c r="J125" s="17"/>
    </row>
    <row r="126" spans="1:10" x14ac:dyDescent="0.2">
      <c r="A126" s="42" t="s">
        <v>133</v>
      </c>
      <c r="B126" s="43" t="s">
        <v>8</v>
      </c>
      <c r="C126" s="68">
        <f>C120</f>
        <v>1</v>
      </c>
      <c r="D126" s="68">
        <v>99.65</v>
      </c>
      <c r="E126" s="68">
        <f>C126*D126</f>
        <v>99.65</v>
      </c>
      <c r="I126" s="17"/>
      <c r="J126" s="17"/>
    </row>
    <row r="127" spans="1:10" x14ac:dyDescent="0.2">
      <c r="A127" s="81" t="s">
        <v>10</v>
      </c>
      <c r="B127" s="82" t="s">
        <v>8</v>
      </c>
      <c r="C127" s="83">
        <f>C120</f>
        <v>1</v>
      </c>
      <c r="D127" s="83">
        <v>2760</v>
      </c>
      <c r="E127" s="83">
        <f>C127*D127</f>
        <v>2760</v>
      </c>
      <c r="F127" s="19"/>
      <c r="I127" s="17"/>
      <c r="J127" s="17"/>
    </row>
    <row r="128" spans="1:10" x14ac:dyDescent="0.2">
      <c r="A128" s="84" t="s">
        <v>11</v>
      </c>
      <c r="B128" s="85" t="s">
        <v>6</v>
      </c>
      <c r="C128" s="85">
        <v>12</v>
      </c>
      <c r="D128" s="86">
        <f>SUM(E125:E127)</f>
        <v>5859.65</v>
      </c>
      <c r="E128" s="86">
        <f>D128/C128</f>
        <v>488.30416666666662</v>
      </c>
      <c r="I128" s="17"/>
      <c r="J128" s="17"/>
    </row>
    <row r="129" spans="1:10" x14ac:dyDescent="0.2">
      <c r="D129" s="49" t="s">
        <v>134</v>
      </c>
      <c r="E129" s="87">
        <f>F31</f>
        <v>1</v>
      </c>
      <c r="F129" s="69">
        <f>ROUND(E128*E129,2)</f>
        <v>488.3</v>
      </c>
      <c r="I129" s="17"/>
      <c r="J129" s="17"/>
    </row>
    <row r="130" spans="1:10" ht="11.25" customHeight="1" x14ac:dyDescent="0.2">
      <c r="I130" s="17"/>
      <c r="J130" s="17"/>
    </row>
    <row r="131" spans="1:10" x14ac:dyDescent="0.2">
      <c r="A131" s="208" t="s">
        <v>42</v>
      </c>
      <c r="B131" s="208"/>
      <c r="C131" s="208"/>
      <c r="D131" s="208"/>
      <c r="E131" s="208"/>
      <c r="F131" s="208"/>
      <c r="I131" s="17"/>
      <c r="J131" s="17"/>
    </row>
    <row r="132" spans="1:10" x14ac:dyDescent="0.2">
      <c r="A132" s="208" t="s">
        <v>79</v>
      </c>
      <c r="B132" s="208"/>
      <c r="C132" s="208"/>
      <c r="D132" s="208"/>
      <c r="E132" s="208"/>
      <c r="F132" s="88">
        <v>2214.8000000000002</v>
      </c>
      <c r="I132" s="17"/>
      <c r="J132" s="17"/>
    </row>
    <row r="133" spans="1:10" x14ac:dyDescent="0.2">
      <c r="A133" s="5" t="s">
        <v>49</v>
      </c>
      <c r="B133" s="5" t="s">
        <v>50</v>
      </c>
      <c r="C133" s="5" t="s">
        <v>164</v>
      </c>
      <c r="D133" s="5" t="s">
        <v>154</v>
      </c>
      <c r="E133" s="5" t="s">
        <v>51</v>
      </c>
      <c r="F133" s="2" t="s">
        <v>245</v>
      </c>
      <c r="I133" s="17"/>
      <c r="J133" s="17"/>
    </row>
    <row r="134" spans="1:10" x14ac:dyDescent="0.2">
      <c r="A134" s="89" t="s">
        <v>12</v>
      </c>
      <c r="B134" s="90" t="s">
        <v>13</v>
      </c>
      <c r="C134" s="91">
        <v>2.7</v>
      </c>
      <c r="D134" s="63">
        <v>6.06</v>
      </c>
      <c r="E134" s="92"/>
      <c r="I134" s="17"/>
      <c r="J134" s="17"/>
    </row>
    <row r="135" spans="1:10" x14ac:dyDescent="0.2">
      <c r="A135" s="39" t="s">
        <v>14</v>
      </c>
      <c r="B135" s="40" t="s">
        <v>15</v>
      </c>
      <c r="C135" s="93">
        <f>F132</f>
        <v>2214.8000000000002</v>
      </c>
      <c r="D135" s="94">
        <f>ROUND(IFERROR(+D134/C134,"-"),4)</f>
        <v>2.2444000000000002</v>
      </c>
      <c r="E135" s="41">
        <f>IFERROR(C135*D135,"-")</f>
        <v>4970.8971200000005</v>
      </c>
      <c r="I135" s="17"/>
      <c r="J135" s="17"/>
    </row>
    <row r="136" spans="1:10" x14ac:dyDescent="0.2">
      <c r="A136" s="95" t="s">
        <v>155</v>
      </c>
      <c r="B136" s="96" t="s">
        <v>16</v>
      </c>
      <c r="C136" s="97">
        <v>2</v>
      </c>
      <c r="D136" s="98">
        <v>22</v>
      </c>
      <c r="E136" s="99"/>
      <c r="G136" s="20"/>
      <c r="I136" s="17"/>
      <c r="J136" s="17"/>
    </row>
    <row r="137" spans="1:10" x14ac:dyDescent="0.2">
      <c r="A137" s="39" t="s">
        <v>17</v>
      </c>
      <c r="B137" s="40" t="s">
        <v>15</v>
      </c>
      <c r="C137" s="93">
        <f>C135</f>
        <v>2214.8000000000002</v>
      </c>
      <c r="D137" s="94">
        <f>ROUND(+C136*D136/1000,4)</f>
        <v>4.3999999999999997E-2</v>
      </c>
      <c r="E137" s="41">
        <f>C137*D137</f>
        <v>97.4512</v>
      </c>
      <c r="G137" s="20"/>
      <c r="I137" s="17"/>
      <c r="J137" s="17"/>
    </row>
    <row r="138" spans="1:10" x14ac:dyDescent="0.2">
      <c r="A138" s="95" t="s">
        <v>156</v>
      </c>
      <c r="B138" s="96" t="s">
        <v>16</v>
      </c>
      <c r="C138" s="97">
        <v>0.85</v>
      </c>
      <c r="D138" s="98">
        <v>26</v>
      </c>
      <c r="E138" s="99"/>
      <c r="G138" s="20"/>
      <c r="I138" s="17"/>
      <c r="J138" s="17"/>
    </row>
    <row r="139" spans="1:10" x14ac:dyDescent="0.2">
      <c r="A139" s="39" t="s">
        <v>18</v>
      </c>
      <c r="B139" s="40" t="s">
        <v>15</v>
      </c>
      <c r="C139" s="93">
        <f>C135</f>
        <v>2214.8000000000002</v>
      </c>
      <c r="D139" s="94">
        <f>ROUND(+C138*D138/1000,4)</f>
        <v>2.2100000000000002E-2</v>
      </c>
      <c r="E139" s="41">
        <f>C139*D139</f>
        <v>48.947080000000007</v>
      </c>
      <c r="G139" s="20"/>
      <c r="I139" s="17"/>
      <c r="J139" s="17"/>
    </row>
    <row r="140" spans="1:10" x14ac:dyDescent="0.2">
      <c r="A140" s="95" t="s">
        <v>157</v>
      </c>
      <c r="B140" s="96" t="s">
        <v>16</v>
      </c>
      <c r="C140" s="97">
        <v>5</v>
      </c>
      <c r="D140" s="98">
        <v>22</v>
      </c>
      <c r="E140" s="99"/>
      <c r="G140" s="20"/>
      <c r="I140" s="17"/>
      <c r="J140" s="17"/>
    </row>
    <row r="141" spans="1:10" x14ac:dyDescent="0.2">
      <c r="A141" s="39" t="s">
        <v>19</v>
      </c>
      <c r="B141" s="40" t="s">
        <v>15</v>
      </c>
      <c r="C141" s="93">
        <f>C135</f>
        <v>2214.8000000000002</v>
      </c>
      <c r="D141" s="94">
        <f>ROUND(+C140*D140/1000,4)</f>
        <v>0.11</v>
      </c>
      <c r="E141" s="41">
        <f>C141*D141</f>
        <v>243.62800000000001</v>
      </c>
      <c r="G141" s="20"/>
      <c r="I141" s="17"/>
      <c r="J141" s="17"/>
    </row>
    <row r="142" spans="1:10" x14ac:dyDescent="0.2">
      <c r="A142" s="95" t="s">
        <v>236</v>
      </c>
      <c r="B142" s="96" t="s">
        <v>21</v>
      </c>
      <c r="C142" s="97">
        <v>20</v>
      </c>
      <c r="D142" s="98">
        <v>4</v>
      </c>
      <c r="E142" s="99"/>
      <c r="G142" s="20"/>
      <c r="I142" s="17"/>
      <c r="J142" s="17"/>
    </row>
    <row r="143" spans="1:10" x14ac:dyDescent="0.2">
      <c r="A143" s="39" t="s">
        <v>22</v>
      </c>
      <c r="B143" s="40" t="s">
        <v>15</v>
      </c>
      <c r="C143" s="93">
        <f>C141</f>
        <v>2214.8000000000002</v>
      </c>
      <c r="D143" s="94">
        <f>ROUND(+C142*D142/1000,4)</f>
        <v>0.08</v>
      </c>
      <c r="E143" s="41">
        <f>C143*D143</f>
        <v>177.18400000000003</v>
      </c>
      <c r="G143" s="20"/>
      <c r="I143" s="17"/>
      <c r="J143" s="17"/>
    </row>
    <row r="144" spans="1:10" x14ac:dyDescent="0.2">
      <c r="A144" s="95" t="s">
        <v>20</v>
      </c>
      <c r="B144" s="96" t="s">
        <v>21</v>
      </c>
      <c r="C144" s="97">
        <v>2</v>
      </c>
      <c r="D144" s="98">
        <v>22</v>
      </c>
      <c r="E144" s="99"/>
      <c r="G144" s="20"/>
      <c r="I144" s="17"/>
      <c r="J144" s="17"/>
    </row>
    <row r="145" spans="1:10" x14ac:dyDescent="0.2">
      <c r="A145" s="39" t="s">
        <v>22</v>
      </c>
      <c r="B145" s="40" t="s">
        <v>15</v>
      </c>
      <c r="C145" s="93">
        <f>C135</f>
        <v>2214.8000000000002</v>
      </c>
      <c r="D145" s="94">
        <f>ROUND(+C144*D144/1000,4)</f>
        <v>4.3999999999999997E-2</v>
      </c>
      <c r="E145" s="41">
        <f>C145*D145</f>
        <v>97.4512</v>
      </c>
      <c r="G145" s="20"/>
      <c r="I145" s="17"/>
      <c r="J145" s="17"/>
    </row>
    <row r="146" spans="1:10" x14ac:dyDescent="0.2">
      <c r="A146" s="100" t="s">
        <v>163</v>
      </c>
      <c r="B146" s="101" t="s">
        <v>80</v>
      </c>
      <c r="C146" s="102"/>
      <c r="D146" s="103">
        <f>IFERROR(D135+D137+D139+D141+D145+D143,0)</f>
        <v>2.5445000000000002</v>
      </c>
      <c r="E146" s="104"/>
      <c r="G146" s="20"/>
      <c r="I146" s="17"/>
      <c r="J146" s="17"/>
    </row>
    <row r="147" spans="1:10" x14ac:dyDescent="0.2">
      <c r="F147" s="47">
        <f>ROUND(SUM(E134:E145),2)</f>
        <v>5635.56</v>
      </c>
      <c r="I147" s="17"/>
      <c r="J147" s="17"/>
    </row>
    <row r="148" spans="1:10" ht="11.25" customHeight="1" x14ac:dyDescent="0.2">
      <c r="I148" s="17"/>
      <c r="J148" s="17"/>
    </row>
    <row r="149" spans="1:10" x14ac:dyDescent="0.2">
      <c r="A149" s="208" t="s">
        <v>43</v>
      </c>
      <c r="B149" s="208"/>
      <c r="C149" s="208"/>
      <c r="D149" s="208"/>
      <c r="E149" s="208"/>
      <c r="F149" s="208"/>
      <c r="I149" s="17"/>
      <c r="J149" s="17"/>
    </row>
    <row r="150" spans="1:10" x14ac:dyDescent="0.2">
      <c r="A150" s="5" t="s">
        <v>49</v>
      </c>
      <c r="B150" s="5" t="s">
        <v>50</v>
      </c>
      <c r="C150" s="5" t="s">
        <v>31</v>
      </c>
      <c r="D150" s="5" t="s">
        <v>154</v>
      </c>
      <c r="E150" s="5" t="s">
        <v>51</v>
      </c>
      <c r="F150" s="2" t="s">
        <v>245</v>
      </c>
      <c r="I150" s="17"/>
      <c r="J150" s="17"/>
    </row>
    <row r="151" spans="1:10" x14ac:dyDescent="0.2">
      <c r="A151" s="39" t="s">
        <v>78</v>
      </c>
      <c r="B151" s="40" t="s">
        <v>80</v>
      </c>
      <c r="C151" s="93">
        <f>C135</f>
        <v>2214.8000000000002</v>
      </c>
      <c r="D151" s="41">
        <v>1.04</v>
      </c>
      <c r="E151" s="41">
        <f>C151*D151</f>
        <v>2303.3920000000003</v>
      </c>
      <c r="I151" s="17"/>
      <c r="J151" s="17"/>
    </row>
    <row r="152" spans="1:10" x14ac:dyDescent="0.2">
      <c r="F152" s="54">
        <f>ROUND(E151,2)</f>
        <v>2303.39</v>
      </c>
      <c r="I152" s="17"/>
      <c r="J152" s="17"/>
    </row>
    <row r="153" spans="1:10" ht="11.25" customHeight="1" x14ac:dyDescent="0.2">
      <c r="I153" s="17"/>
      <c r="J153" s="17"/>
    </row>
    <row r="154" spans="1:10" x14ac:dyDescent="0.2">
      <c r="A154" s="208" t="s">
        <v>48</v>
      </c>
      <c r="B154" s="208"/>
      <c r="C154" s="208"/>
      <c r="D154" s="208"/>
      <c r="E154" s="208"/>
      <c r="F154" s="208"/>
      <c r="I154" s="17"/>
      <c r="J154" s="17"/>
    </row>
    <row r="155" spans="1:10" x14ac:dyDescent="0.2">
      <c r="A155" s="5" t="s">
        <v>49</v>
      </c>
      <c r="B155" s="5" t="s">
        <v>50</v>
      </c>
      <c r="C155" s="5" t="s">
        <v>31</v>
      </c>
      <c r="D155" s="5" t="s">
        <v>154</v>
      </c>
      <c r="E155" s="5" t="s">
        <v>51</v>
      </c>
      <c r="F155" s="2" t="s">
        <v>245</v>
      </c>
      <c r="I155" s="17"/>
      <c r="J155" s="17"/>
    </row>
    <row r="156" spans="1:10" x14ac:dyDescent="0.2">
      <c r="A156" s="89" t="s">
        <v>73</v>
      </c>
      <c r="B156" s="90" t="s">
        <v>8</v>
      </c>
      <c r="C156" s="105">
        <v>6</v>
      </c>
      <c r="D156" s="63">
        <v>2356</v>
      </c>
      <c r="E156" s="63">
        <f>C156*D156</f>
        <v>14136</v>
      </c>
      <c r="I156" s="17"/>
      <c r="J156" s="17"/>
    </row>
    <row r="157" spans="1:10" x14ac:dyDescent="0.2">
      <c r="A157" s="39" t="s">
        <v>81</v>
      </c>
      <c r="B157" s="40" t="s">
        <v>8</v>
      </c>
      <c r="C157" s="34">
        <v>2</v>
      </c>
      <c r="D157" s="41"/>
      <c r="E157" s="41"/>
      <c r="I157" s="17"/>
      <c r="J157" s="17"/>
    </row>
    <row r="158" spans="1:10" x14ac:dyDescent="0.2">
      <c r="A158" s="95" t="s">
        <v>52</v>
      </c>
      <c r="B158" s="96" t="s">
        <v>8</v>
      </c>
      <c r="C158" s="106">
        <f>C156*C157</f>
        <v>12</v>
      </c>
      <c r="D158" s="98">
        <v>650</v>
      </c>
      <c r="E158" s="98">
        <f>C158*D158</f>
        <v>7800</v>
      </c>
      <c r="I158" s="17"/>
      <c r="J158" s="17"/>
    </row>
    <row r="159" spans="1:10" x14ac:dyDescent="0.2">
      <c r="A159" s="39" t="s">
        <v>238</v>
      </c>
      <c r="B159" s="40" t="s">
        <v>23</v>
      </c>
      <c r="C159" s="34">
        <v>80000</v>
      </c>
      <c r="D159" s="41">
        <f>E156+E158</f>
        <v>21936</v>
      </c>
      <c r="E159" s="94">
        <f>ROUND(IFERROR(D159/C159,"-"),4)</f>
        <v>0.2742</v>
      </c>
      <c r="I159" s="17"/>
      <c r="J159" s="17"/>
    </row>
    <row r="160" spans="1:10" x14ac:dyDescent="0.2">
      <c r="A160" s="75" t="s">
        <v>45</v>
      </c>
      <c r="B160" s="76" t="s">
        <v>15</v>
      </c>
      <c r="C160" s="107">
        <f>F132</f>
        <v>2214.8000000000002</v>
      </c>
      <c r="D160" s="108">
        <f>E159</f>
        <v>0.2742</v>
      </c>
      <c r="E160" s="78">
        <f>IFERROR(C160*D160,0)</f>
        <v>607.29816000000005</v>
      </c>
      <c r="I160" s="17"/>
      <c r="J160" s="17"/>
    </row>
    <row r="161" spans="1:10" x14ac:dyDescent="0.2">
      <c r="F161" s="47">
        <f>ROUND(E160,2)</f>
        <v>607.29999999999995</v>
      </c>
      <c r="I161" s="17"/>
      <c r="J161" s="17"/>
    </row>
    <row r="162" spans="1:10" ht="11.25" customHeight="1" x14ac:dyDescent="0.2">
      <c r="I162" s="17"/>
      <c r="J162" s="17"/>
    </row>
    <row r="163" spans="1:10" ht="11.25" customHeight="1" x14ac:dyDescent="0.2">
      <c r="G163" s="8"/>
    </row>
    <row r="164" spans="1:10" x14ac:dyDescent="0.2">
      <c r="A164" s="208" t="s">
        <v>146</v>
      </c>
      <c r="B164" s="208"/>
      <c r="C164" s="208"/>
      <c r="D164" s="208"/>
      <c r="E164" s="208"/>
      <c r="F164" s="55">
        <f>+SUM(F106:F163)</f>
        <v>18125</v>
      </c>
      <c r="G164" s="8"/>
    </row>
    <row r="165" spans="1:10" ht="11.25" customHeight="1" x14ac:dyDescent="0.2">
      <c r="G165" s="8"/>
    </row>
    <row r="166" spans="1:10" x14ac:dyDescent="0.2">
      <c r="A166" s="208" t="s">
        <v>55</v>
      </c>
      <c r="B166" s="208"/>
      <c r="C166" s="208"/>
      <c r="D166" s="208"/>
      <c r="E166" s="208"/>
      <c r="F166" s="208"/>
      <c r="G166" s="8"/>
    </row>
    <row r="167" spans="1:10" x14ac:dyDescent="0.2">
      <c r="A167" s="5" t="s">
        <v>49</v>
      </c>
      <c r="B167" s="5" t="s">
        <v>50</v>
      </c>
      <c r="C167" s="5" t="s">
        <v>31</v>
      </c>
      <c r="D167" s="5" t="s">
        <v>154</v>
      </c>
      <c r="E167" s="5" t="s">
        <v>51</v>
      </c>
      <c r="F167" s="2" t="s">
        <v>245</v>
      </c>
      <c r="G167" s="8"/>
    </row>
    <row r="168" spans="1:10" x14ac:dyDescent="0.2">
      <c r="A168" s="39" t="s">
        <v>24</v>
      </c>
      <c r="B168" s="40" t="s">
        <v>8</v>
      </c>
      <c r="C168" s="109">
        <v>0.16666666666666666</v>
      </c>
      <c r="D168" s="41">
        <v>50</v>
      </c>
      <c r="E168" s="41">
        <f>C168*D168</f>
        <v>8.3333333333333321</v>
      </c>
      <c r="F168" s="23"/>
      <c r="G168" s="8"/>
    </row>
    <row r="169" spans="1:10" x14ac:dyDescent="0.2">
      <c r="A169" s="42" t="s">
        <v>25</v>
      </c>
      <c r="B169" s="43" t="s">
        <v>8</v>
      </c>
      <c r="C169" s="110">
        <v>0.33333333333333331</v>
      </c>
      <c r="D169" s="44">
        <v>30</v>
      </c>
      <c r="E169" s="44">
        <f>C169*D169</f>
        <v>10</v>
      </c>
      <c r="F169" s="23"/>
      <c r="G169" s="8"/>
    </row>
    <row r="170" spans="1:10" x14ac:dyDescent="0.2">
      <c r="A170" s="10"/>
      <c r="B170" s="10"/>
      <c r="C170" s="10"/>
      <c r="D170" s="10"/>
      <c r="E170" s="21"/>
      <c r="F170" s="47">
        <f>SUM(E168:E169)</f>
        <v>18.333333333333332</v>
      </c>
      <c r="G170" s="8"/>
    </row>
    <row r="171" spans="1:10" ht="11.25" customHeight="1" x14ac:dyDescent="0.2">
      <c r="G171" s="8"/>
    </row>
    <row r="172" spans="1:10" x14ac:dyDescent="0.2">
      <c r="A172" s="208" t="s">
        <v>147</v>
      </c>
      <c r="B172" s="208"/>
      <c r="C172" s="208"/>
      <c r="D172" s="208"/>
      <c r="E172" s="208"/>
      <c r="F172" s="55">
        <f>ROUND(F170,2)</f>
        <v>18.329999999999998</v>
      </c>
      <c r="G172" s="8"/>
    </row>
    <row r="173" spans="1:10" ht="11.25" customHeight="1" x14ac:dyDescent="0.2">
      <c r="G173" s="8"/>
    </row>
    <row r="174" spans="1:10" x14ac:dyDescent="0.2">
      <c r="A174" s="208" t="s">
        <v>56</v>
      </c>
      <c r="B174" s="208"/>
      <c r="C174" s="208"/>
      <c r="D174" s="208"/>
      <c r="E174" s="208"/>
      <c r="F174" s="208"/>
    </row>
    <row r="175" spans="1:10" x14ac:dyDescent="0.2">
      <c r="A175" s="5" t="s">
        <v>49</v>
      </c>
      <c r="B175" s="5" t="s">
        <v>50</v>
      </c>
      <c r="C175" s="5" t="s">
        <v>31</v>
      </c>
      <c r="D175" s="5" t="s">
        <v>154</v>
      </c>
      <c r="E175" s="5" t="s">
        <v>51</v>
      </c>
      <c r="F175" s="2" t="s">
        <v>245</v>
      </c>
    </row>
    <row r="176" spans="1:10" x14ac:dyDescent="0.2">
      <c r="A176" s="39" t="s">
        <v>144</v>
      </c>
      <c r="B176" s="40" t="s">
        <v>46</v>
      </c>
      <c r="C176" s="56">
        <f>C106</f>
        <v>1</v>
      </c>
      <c r="D176" s="41">
        <v>599</v>
      </c>
      <c r="E176" s="41">
        <f>+D176*C176</f>
        <v>599</v>
      </c>
      <c r="F176" s="23"/>
    </row>
    <row r="177" spans="1:7" x14ac:dyDescent="0.2">
      <c r="A177" s="42" t="s">
        <v>47</v>
      </c>
      <c r="B177" s="43" t="s">
        <v>6</v>
      </c>
      <c r="C177" s="111">
        <f>C109</f>
        <v>120</v>
      </c>
      <c r="D177" s="44">
        <f>SUM(E176:E176)</f>
        <v>599</v>
      </c>
      <c r="E177" s="44">
        <f>+D177/C177</f>
        <v>4.9916666666666663</v>
      </c>
      <c r="F177" s="23"/>
    </row>
    <row r="178" spans="1:7" x14ac:dyDescent="0.2">
      <c r="A178" s="81" t="s">
        <v>145</v>
      </c>
      <c r="B178" s="82" t="s">
        <v>8</v>
      </c>
      <c r="C178" s="112">
        <f>+C176</f>
        <v>1</v>
      </c>
      <c r="D178" s="113">
        <v>99</v>
      </c>
      <c r="E178" s="113">
        <f>C178*D178</f>
        <v>99</v>
      </c>
      <c r="F178" s="23"/>
    </row>
    <row r="179" spans="1:7" x14ac:dyDescent="0.2">
      <c r="A179" s="42" t="s">
        <v>28</v>
      </c>
      <c r="B179" s="43" t="s">
        <v>6</v>
      </c>
      <c r="C179" s="43">
        <v>1</v>
      </c>
      <c r="D179" s="44">
        <f>+E178</f>
        <v>99</v>
      </c>
      <c r="E179" s="44">
        <f>+D179/C179</f>
        <v>99</v>
      </c>
      <c r="F179" s="23"/>
    </row>
    <row r="180" spans="1:7" x14ac:dyDescent="0.2">
      <c r="D180" s="49" t="s">
        <v>134</v>
      </c>
      <c r="E180" s="87">
        <f>F31</f>
        <v>1</v>
      </c>
      <c r="F180" s="47">
        <f>ROUND((E177+E179)*E180,2)</f>
        <v>103.99</v>
      </c>
    </row>
    <row r="181" spans="1:7" s="25" customFormat="1" ht="11.25" customHeight="1" x14ac:dyDescent="0.2">
      <c r="A181" s="8"/>
      <c r="B181" s="8"/>
      <c r="C181" s="8"/>
      <c r="D181" s="7"/>
      <c r="E181" s="7"/>
      <c r="F181" s="7"/>
      <c r="G181" s="24"/>
    </row>
    <row r="182" spans="1:7" x14ac:dyDescent="0.2">
      <c r="A182" s="208" t="s">
        <v>143</v>
      </c>
      <c r="B182" s="208"/>
      <c r="C182" s="208"/>
      <c r="D182" s="208"/>
      <c r="E182" s="208"/>
      <c r="F182" s="55">
        <f>+F180</f>
        <v>103.99</v>
      </c>
    </row>
    <row r="183" spans="1:7" ht="11.25" customHeight="1" x14ac:dyDescent="0.2"/>
    <row r="184" spans="1:7" ht="17.25" customHeight="1" x14ac:dyDescent="0.2">
      <c r="A184" s="208" t="s">
        <v>148</v>
      </c>
      <c r="B184" s="208"/>
      <c r="C184" s="208"/>
      <c r="D184" s="208"/>
      <c r="E184" s="208"/>
      <c r="F184" s="55">
        <f>ROUND(F67+F100+F164+F172+F182,2)</f>
        <v>21993.55</v>
      </c>
    </row>
    <row r="185" spans="1:7" ht="11.25" customHeight="1" x14ac:dyDescent="0.2"/>
    <row r="186" spans="1:7" x14ac:dyDescent="0.2">
      <c r="A186" s="208" t="s">
        <v>67</v>
      </c>
      <c r="B186" s="208"/>
      <c r="C186" s="208"/>
      <c r="D186" s="208"/>
      <c r="E186" s="208"/>
      <c r="F186" s="208"/>
    </row>
    <row r="187" spans="1:7" x14ac:dyDescent="0.2">
      <c r="A187" s="5" t="s">
        <v>49</v>
      </c>
      <c r="B187" s="5" t="s">
        <v>50</v>
      </c>
      <c r="C187" s="5" t="s">
        <v>31</v>
      </c>
      <c r="D187" s="5" t="s">
        <v>154</v>
      </c>
      <c r="E187" s="5" t="s">
        <v>51</v>
      </c>
      <c r="F187" s="2" t="s">
        <v>245</v>
      </c>
    </row>
    <row r="188" spans="1:7" x14ac:dyDescent="0.2">
      <c r="A188" s="39" t="s">
        <v>27</v>
      </c>
      <c r="B188" s="40" t="s">
        <v>1</v>
      </c>
      <c r="C188" s="67">
        <f>'4.BDI'!C12*100</f>
        <v>25.83</v>
      </c>
      <c r="D188" s="41">
        <f>+F184</f>
        <v>21993.55</v>
      </c>
      <c r="E188" s="41">
        <f>C188*D188/100</f>
        <v>5680.9339649999993</v>
      </c>
    </row>
    <row r="189" spans="1:7" x14ac:dyDescent="0.2">
      <c r="F189" s="54">
        <f>ROUND(E188,2)</f>
        <v>5680.93</v>
      </c>
    </row>
    <row r="190" spans="1:7" ht="11.25" customHeight="1" x14ac:dyDescent="0.2"/>
    <row r="191" spans="1:7" x14ac:dyDescent="0.2">
      <c r="A191" s="208" t="s">
        <v>159</v>
      </c>
      <c r="B191" s="208"/>
      <c r="C191" s="208"/>
      <c r="D191" s="208"/>
      <c r="E191" s="208"/>
      <c r="F191" s="55">
        <f>F189</f>
        <v>5680.93</v>
      </c>
    </row>
    <row r="192" spans="1:7" x14ac:dyDescent="0.2">
      <c r="A192" s="10"/>
      <c r="B192" s="10"/>
      <c r="C192" s="10"/>
      <c r="D192" s="21"/>
      <c r="E192" s="21"/>
      <c r="F192" s="22"/>
    </row>
    <row r="193" spans="1:6" ht="24.75" customHeight="1" x14ac:dyDescent="0.2">
      <c r="A193" s="208" t="s">
        <v>149</v>
      </c>
      <c r="B193" s="208"/>
      <c r="C193" s="208"/>
      <c r="D193" s="208"/>
      <c r="E193" s="208"/>
      <c r="F193" s="55">
        <f>F184+F191</f>
        <v>27674.48</v>
      </c>
    </row>
    <row r="223" s="8" customFormat="1" ht="9" customHeight="1" x14ac:dyDescent="0.2"/>
  </sheetData>
  <mergeCells count="56">
    <mergeCell ref="A191:E191"/>
    <mergeCell ref="A193:E193"/>
    <mergeCell ref="A166:F166"/>
    <mergeCell ref="A174:F174"/>
    <mergeCell ref="A186:F186"/>
    <mergeCell ref="A154:F154"/>
    <mergeCell ref="A164:E164"/>
    <mergeCell ref="A172:E172"/>
    <mergeCell ref="A182:E182"/>
    <mergeCell ref="A184:E184"/>
    <mergeCell ref="A113:F113"/>
    <mergeCell ref="A123:F123"/>
    <mergeCell ref="A131:F131"/>
    <mergeCell ref="A132:E132"/>
    <mergeCell ref="A149:F149"/>
    <mergeCell ref="A87:F87"/>
    <mergeCell ref="A100:E100"/>
    <mergeCell ref="A104:F104"/>
    <mergeCell ref="A103:F103"/>
    <mergeCell ref="A102:F102"/>
    <mergeCell ref="A53:F53"/>
    <mergeCell ref="A61:F61"/>
    <mergeCell ref="A67:E67"/>
    <mergeCell ref="A69:F69"/>
    <mergeCell ref="A70:F70"/>
    <mergeCell ref="A31:D31"/>
    <mergeCell ref="A33:F33"/>
    <mergeCell ref="A34:F34"/>
    <mergeCell ref="A44:F44"/>
    <mergeCell ref="A23:D23"/>
    <mergeCell ref="A30:D30"/>
    <mergeCell ref="A19:D19"/>
    <mergeCell ref="A11:D11"/>
    <mergeCell ref="A26:F26"/>
    <mergeCell ref="A28:D28"/>
    <mergeCell ref="A29:D29"/>
    <mergeCell ref="A18:D18"/>
    <mergeCell ref="A20:D20"/>
    <mergeCell ref="A22:D22"/>
    <mergeCell ref="A21:D21"/>
    <mergeCell ref="A1:F1"/>
    <mergeCell ref="A2:F2"/>
    <mergeCell ref="A27:D27"/>
    <mergeCell ref="A4:F4"/>
    <mergeCell ref="A5:D5"/>
    <mergeCell ref="A6:D6"/>
    <mergeCell ref="A7:D7"/>
    <mergeCell ref="A8:D8"/>
    <mergeCell ref="A10:D10"/>
    <mergeCell ref="A12:D12"/>
    <mergeCell ref="A14:D14"/>
    <mergeCell ref="A16:D16"/>
    <mergeCell ref="A9:D9"/>
    <mergeCell ref="A13:D13"/>
    <mergeCell ref="A15:D15"/>
    <mergeCell ref="A17:D17"/>
  </mergeCells>
  <phoneticPr fontId="4" type="noConversion"/>
  <pageMargins left="0.9055118110236221" right="0.51181102362204722" top="0.74803149606299213" bottom="0.74803149606299213" header="0.31496062992125984" footer="0.31496062992125984"/>
  <pageSetup paperSize="9" scale="76" fitToHeight="0" orientation="portrait" r:id="rId1"/>
  <headerFooter alignWithMargins="0">
    <oddFooter>&amp;R&amp;P de &amp;N</oddFooter>
  </headerFooter>
  <rowBreaks count="4" manualBreakCount="4">
    <brk id="32" max="5" man="1"/>
    <brk id="67" max="5" man="1"/>
    <brk id="101" max="5" man="1"/>
    <brk id="164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54"/>
  <sheetViews>
    <sheetView zoomScaleNormal="100" workbookViewId="0">
      <selection activeCell="E39" sqref="E39"/>
    </sheetView>
  </sheetViews>
  <sheetFormatPr defaultRowHeight="12.75" x14ac:dyDescent="0.2"/>
  <cols>
    <col min="1" max="1" width="13.5703125" style="124" customWidth="1"/>
    <col min="2" max="2" width="39.5703125" style="15" bestFit="1" customWidth="1"/>
    <col min="3" max="3" width="14.5703125" style="124" customWidth="1"/>
    <col min="4" max="4" width="37.28515625" style="15" customWidth="1"/>
    <col min="5" max="10" width="9.140625" style="15"/>
    <col min="11" max="11" width="11" style="15" bestFit="1" customWidth="1"/>
    <col min="12" max="16384" width="9.140625" style="15"/>
  </cols>
  <sheetData>
    <row r="2" spans="1:6" x14ac:dyDescent="0.2">
      <c r="A2" s="209" t="s">
        <v>151</v>
      </c>
      <c r="B2" s="209"/>
      <c r="C2" s="209"/>
      <c r="D2" s="10"/>
      <c r="E2" s="10"/>
      <c r="F2" s="10"/>
    </row>
    <row r="3" spans="1:6" x14ac:dyDescent="0.2">
      <c r="A3" s="2" t="s">
        <v>83</v>
      </c>
      <c r="B3" s="131" t="s">
        <v>84</v>
      </c>
      <c r="C3" s="131" t="s">
        <v>85</v>
      </c>
      <c r="D3" s="116"/>
    </row>
    <row r="4" spans="1:6" x14ac:dyDescent="0.2">
      <c r="A4" s="132" t="s">
        <v>86</v>
      </c>
      <c r="B4" s="133" t="s">
        <v>32</v>
      </c>
      <c r="C4" s="134">
        <v>0.2</v>
      </c>
      <c r="D4" s="116"/>
    </row>
    <row r="5" spans="1:6" x14ac:dyDescent="0.2">
      <c r="A5" s="135" t="s">
        <v>87</v>
      </c>
      <c r="B5" s="136" t="s">
        <v>88</v>
      </c>
      <c r="C5" s="137">
        <v>1.4999999999999999E-2</v>
      </c>
      <c r="D5" s="116"/>
    </row>
    <row r="6" spans="1:6" x14ac:dyDescent="0.2">
      <c r="A6" s="132" t="s">
        <v>89</v>
      </c>
      <c r="B6" s="133" t="s">
        <v>90</v>
      </c>
      <c r="C6" s="134">
        <v>0.01</v>
      </c>
      <c r="D6" s="116"/>
    </row>
    <row r="7" spans="1:6" x14ac:dyDescent="0.2">
      <c r="A7" s="135" t="s">
        <v>91</v>
      </c>
      <c r="B7" s="136" t="s">
        <v>92</v>
      </c>
      <c r="C7" s="137">
        <v>2E-3</v>
      </c>
      <c r="D7" s="116"/>
    </row>
    <row r="8" spans="1:6" x14ac:dyDescent="0.2">
      <c r="A8" s="132" t="s">
        <v>93</v>
      </c>
      <c r="B8" s="133" t="s">
        <v>94</v>
      </c>
      <c r="C8" s="134">
        <v>6.0000000000000001E-3</v>
      </c>
      <c r="D8" s="116"/>
    </row>
    <row r="9" spans="1:6" x14ac:dyDescent="0.2">
      <c r="A9" s="135" t="s">
        <v>95</v>
      </c>
      <c r="B9" s="136" t="s">
        <v>96</v>
      </c>
      <c r="C9" s="137">
        <v>2.5000000000000001E-2</v>
      </c>
      <c r="D9" s="116"/>
    </row>
    <row r="10" spans="1:6" x14ac:dyDescent="0.2">
      <c r="A10" s="132" t="s">
        <v>97</v>
      </c>
      <c r="B10" s="133" t="s">
        <v>98</v>
      </c>
      <c r="C10" s="134">
        <v>0.03</v>
      </c>
      <c r="D10" s="116"/>
    </row>
    <row r="11" spans="1:6" x14ac:dyDescent="0.2">
      <c r="A11" s="135" t="s">
        <v>99</v>
      </c>
      <c r="B11" s="136" t="s">
        <v>33</v>
      </c>
      <c r="C11" s="137">
        <v>0.08</v>
      </c>
      <c r="D11" s="116"/>
    </row>
    <row r="12" spans="1:6" x14ac:dyDescent="0.2">
      <c r="A12" s="132" t="s">
        <v>100</v>
      </c>
      <c r="B12" s="138" t="s">
        <v>101</v>
      </c>
      <c r="C12" s="139">
        <f>SUM(C4:C11)</f>
        <v>0.36800000000000005</v>
      </c>
      <c r="D12" s="116"/>
    </row>
    <row r="13" spans="1:6" x14ac:dyDescent="0.2">
      <c r="A13" s="140"/>
      <c r="B13" s="141"/>
      <c r="C13" s="142"/>
      <c r="D13" s="116"/>
    </row>
    <row r="14" spans="1:6" x14ac:dyDescent="0.2">
      <c r="A14" s="132" t="s">
        <v>102</v>
      </c>
      <c r="B14" s="143" t="s">
        <v>103</v>
      </c>
      <c r="C14" s="134">
        <f>ROUND(IF('3.CAGED'!B22&gt;24,(1-12/'3.CAGED'!B22)*0.1111,0.1111-C23),4)</f>
        <v>4.9599999999999998E-2</v>
      </c>
      <c r="D14" s="116"/>
    </row>
    <row r="15" spans="1:6" x14ac:dyDescent="0.2">
      <c r="A15" s="135" t="s">
        <v>104</v>
      </c>
      <c r="B15" s="144" t="s">
        <v>105</v>
      </c>
      <c r="C15" s="137">
        <f>ROUND('3.CAGED'!B26/'3.CAGED'!B23,4)</f>
        <v>8.3299999999999999E-2</v>
      </c>
      <c r="D15" s="116"/>
    </row>
    <row r="16" spans="1:6" x14ac:dyDescent="0.2">
      <c r="A16" s="132" t="s">
        <v>141</v>
      </c>
      <c r="B16" s="143" t="s">
        <v>107</v>
      </c>
      <c r="C16" s="134">
        <v>7.7000000000000002E-3</v>
      </c>
      <c r="D16" s="116"/>
    </row>
    <row r="17" spans="1:8" x14ac:dyDescent="0.2">
      <c r="A17" s="135" t="s">
        <v>106</v>
      </c>
      <c r="B17" s="144" t="s">
        <v>109</v>
      </c>
      <c r="C17" s="137">
        <v>8.2000000000000007E-3</v>
      </c>
      <c r="D17" s="116"/>
    </row>
    <row r="18" spans="1:8" x14ac:dyDescent="0.2">
      <c r="A18" s="132" t="s">
        <v>108</v>
      </c>
      <c r="B18" s="143" t="s">
        <v>111</v>
      </c>
      <c r="C18" s="134">
        <v>3.0999999999999999E-3</v>
      </c>
      <c r="D18" s="116"/>
    </row>
    <row r="19" spans="1:8" x14ac:dyDescent="0.2">
      <c r="A19" s="135" t="s">
        <v>110</v>
      </c>
      <c r="B19" s="144" t="s">
        <v>112</v>
      </c>
      <c r="C19" s="137">
        <v>1.66E-2</v>
      </c>
      <c r="D19" s="116"/>
    </row>
    <row r="20" spans="1:8" x14ac:dyDescent="0.2">
      <c r="A20" s="132" t="s">
        <v>113</v>
      </c>
      <c r="B20" s="138" t="s">
        <v>114</v>
      </c>
      <c r="C20" s="139">
        <f>SUM(C14:C19)</f>
        <v>0.16850000000000001</v>
      </c>
      <c r="D20" s="116"/>
    </row>
    <row r="21" spans="1:8" x14ac:dyDescent="0.2">
      <c r="A21" s="140"/>
      <c r="B21" s="141"/>
      <c r="C21" s="142"/>
      <c r="D21" s="116"/>
    </row>
    <row r="22" spans="1:8" x14ac:dyDescent="0.2">
      <c r="A22" s="132" t="s">
        <v>115</v>
      </c>
      <c r="B22" s="133" t="s">
        <v>116</v>
      </c>
      <c r="C22" s="134">
        <f>ROUND(('3.CAGED'!B27) *'3.CAGED'!B20/'3.CAGED'!B23,4)</f>
        <v>2.8400000000000002E-2</v>
      </c>
      <c r="D22" s="116"/>
      <c r="E22" s="117"/>
    </row>
    <row r="23" spans="1:8" x14ac:dyDescent="0.2">
      <c r="A23" s="135" t="s">
        <v>140</v>
      </c>
      <c r="B23" s="136" t="s">
        <v>118</v>
      </c>
      <c r="C23" s="137">
        <f>ROUND(IF('3.CAGED'!B22&gt;12,12/'3.CAGED'!B22*0.1111,0.1111),4)</f>
        <v>6.1499999999999999E-2</v>
      </c>
      <c r="D23" s="116"/>
      <c r="H23" s="120"/>
    </row>
    <row r="24" spans="1:8" x14ac:dyDescent="0.2">
      <c r="A24" s="132" t="s">
        <v>117</v>
      </c>
      <c r="B24" s="133" t="s">
        <v>120</v>
      </c>
      <c r="C24" s="134">
        <f>C22*C23</f>
        <v>1.7466000000000001E-3</v>
      </c>
      <c r="D24" s="116"/>
      <c r="E24" s="117"/>
    </row>
    <row r="25" spans="1:8" x14ac:dyDescent="0.2">
      <c r="A25" s="135" t="s">
        <v>119</v>
      </c>
      <c r="B25" s="136" t="s">
        <v>122</v>
      </c>
      <c r="C25" s="137">
        <f>ROUND(('3.CAGED'!B23+'3.CAGED'!B24+'3.CAGED'!B26)/'3.CAGED'!B21*'3.CAGED'!B28*'3.CAGED'!B29*'3.CAGED'!B20/'3.CAGED'!B23,4)</f>
        <v>1.9900000000000001E-2</v>
      </c>
      <c r="D25" s="116"/>
      <c r="G25" s="117"/>
    </row>
    <row r="26" spans="1:8" x14ac:dyDescent="0.2">
      <c r="A26" s="132" t="s">
        <v>121</v>
      </c>
      <c r="B26" s="133" t="s">
        <v>123</v>
      </c>
      <c r="C26" s="134">
        <f>ROUND(('3.CAGED'!B25/'3.CAGED'!B23)*'3.CAGED'!B20/12,4)</f>
        <v>2.2000000000000001E-3</v>
      </c>
      <c r="D26" s="116"/>
    </row>
    <row r="27" spans="1:8" x14ac:dyDescent="0.2">
      <c r="A27" s="135" t="s">
        <v>124</v>
      </c>
      <c r="B27" s="145" t="s">
        <v>125</v>
      </c>
      <c r="C27" s="146">
        <f>SUM(C22:C26)</f>
        <v>0.1137466</v>
      </c>
      <c r="D27" s="116"/>
    </row>
    <row r="28" spans="1:8" x14ac:dyDescent="0.2">
      <c r="A28" s="140"/>
      <c r="B28" s="141"/>
      <c r="C28" s="142"/>
      <c r="D28" s="116"/>
    </row>
    <row r="29" spans="1:8" x14ac:dyDescent="0.2">
      <c r="A29" s="132" t="s">
        <v>126</v>
      </c>
      <c r="B29" s="133" t="s">
        <v>127</v>
      </c>
      <c r="C29" s="134">
        <f>ROUND(C12*C20,4)</f>
        <v>6.2E-2</v>
      </c>
      <c r="D29" s="116"/>
    </row>
    <row r="30" spans="1:8" ht="25.5" x14ac:dyDescent="0.2">
      <c r="A30" s="135" t="s">
        <v>128</v>
      </c>
      <c r="B30" s="147" t="s">
        <v>168</v>
      </c>
      <c r="C30" s="137">
        <f>ROUND((C22*C11),4)</f>
        <v>2.3E-3</v>
      </c>
      <c r="D30" s="116"/>
    </row>
    <row r="31" spans="1:8" x14ac:dyDescent="0.2">
      <c r="A31" s="132" t="s">
        <v>129</v>
      </c>
      <c r="B31" s="138" t="s">
        <v>130</v>
      </c>
      <c r="C31" s="139">
        <f>SUM(C29:C30)</f>
        <v>6.4299999999999996E-2</v>
      </c>
      <c r="D31" s="116"/>
    </row>
    <row r="32" spans="1:8" x14ac:dyDescent="0.2">
      <c r="A32" s="140"/>
      <c r="B32" s="141" t="s">
        <v>131</v>
      </c>
      <c r="C32" s="142">
        <f>C31+C27+C20+C12</f>
        <v>0.71454660000000003</v>
      </c>
      <c r="D32" s="116"/>
    </row>
    <row r="33" spans="1:4" x14ac:dyDescent="0.2">
      <c r="A33" s="125"/>
      <c r="B33" s="121"/>
      <c r="C33" s="128"/>
      <c r="D33" s="118"/>
    </row>
    <row r="34" spans="1:4" x14ac:dyDescent="0.2">
      <c r="A34" s="125"/>
      <c r="B34" s="116"/>
      <c r="C34" s="129"/>
      <c r="D34" s="118"/>
    </row>
    <row r="35" spans="1:4" x14ac:dyDescent="0.2">
      <c r="A35" s="125"/>
      <c r="B35" s="116"/>
      <c r="C35" s="129"/>
      <c r="D35" s="116"/>
    </row>
    <row r="36" spans="1:4" x14ac:dyDescent="0.2">
      <c r="A36" s="125"/>
      <c r="B36" s="116"/>
      <c r="C36" s="129"/>
      <c r="D36" s="116"/>
    </row>
    <row r="37" spans="1:4" x14ac:dyDescent="0.2">
      <c r="A37" s="125"/>
      <c r="B37" s="116"/>
      <c r="C37" s="129"/>
      <c r="D37" s="116"/>
    </row>
    <row r="38" spans="1:4" x14ac:dyDescent="0.2">
      <c r="A38" s="125"/>
      <c r="B38" s="121"/>
      <c r="C38" s="128"/>
      <c r="D38" s="116"/>
    </row>
    <row r="39" spans="1:4" x14ac:dyDescent="0.2">
      <c r="A39" s="125"/>
      <c r="B39" s="121"/>
      <c r="C39" s="128"/>
      <c r="D39" s="116"/>
    </row>
    <row r="40" spans="1:4" x14ac:dyDescent="0.2">
      <c r="A40" s="126"/>
    </row>
    <row r="41" spans="1:4" x14ac:dyDescent="0.2">
      <c r="A41" s="127"/>
      <c r="B41" s="119"/>
      <c r="C41" s="130"/>
    </row>
    <row r="42" spans="1:4" x14ac:dyDescent="0.2">
      <c r="A42" s="125"/>
      <c r="B42" s="123"/>
      <c r="C42" s="130"/>
    </row>
    <row r="43" spans="1:4" x14ac:dyDescent="0.2">
      <c r="A43" s="125"/>
      <c r="B43" s="123"/>
      <c r="C43" s="125"/>
    </row>
    <row r="44" spans="1:4" x14ac:dyDescent="0.2">
      <c r="A44" s="125"/>
      <c r="B44" s="122"/>
      <c r="C44" s="130"/>
    </row>
    <row r="45" spans="1:4" x14ac:dyDescent="0.2">
      <c r="A45" s="125"/>
      <c r="B45" s="123"/>
      <c r="C45" s="125"/>
    </row>
    <row r="46" spans="1:4" x14ac:dyDescent="0.2">
      <c r="A46" s="125"/>
      <c r="B46" s="122"/>
      <c r="C46" s="130"/>
    </row>
    <row r="47" spans="1:4" x14ac:dyDescent="0.2">
      <c r="A47" s="125"/>
      <c r="B47" s="123"/>
      <c r="C47" s="125"/>
    </row>
    <row r="48" spans="1:4" x14ac:dyDescent="0.2">
      <c r="A48" s="125"/>
      <c r="B48" s="122"/>
      <c r="C48" s="130"/>
    </row>
    <row r="49" spans="1:3" x14ac:dyDescent="0.2">
      <c r="A49" s="125"/>
      <c r="B49" s="123"/>
      <c r="C49" s="125"/>
    </row>
    <row r="50" spans="1:3" x14ac:dyDescent="0.2">
      <c r="A50" s="125"/>
      <c r="B50" s="122"/>
      <c r="C50" s="130"/>
    </row>
    <row r="51" spans="1:3" x14ac:dyDescent="0.2">
      <c r="A51" s="126"/>
    </row>
    <row r="54" spans="1:3" x14ac:dyDescent="0.2">
      <c r="A54" s="127"/>
    </row>
  </sheetData>
  <mergeCells count="1">
    <mergeCell ref="A2:C2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E29"/>
  <sheetViews>
    <sheetView zoomScale="115" zoomScaleNormal="115" workbookViewId="0">
      <selection activeCell="E39" sqref="E39"/>
    </sheetView>
  </sheetViews>
  <sheetFormatPr defaultRowHeight="12.75" x14ac:dyDescent="0.2"/>
  <cols>
    <col min="1" max="1" width="67.140625" style="15" customWidth="1"/>
    <col min="2" max="2" width="13.7109375" style="15" customWidth="1"/>
    <col min="3" max="3" width="10.28515625" style="15" customWidth="1"/>
    <col min="4" max="4" width="13.7109375" style="15" customWidth="1"/>
    <col min="5" max="16384" width="9.140625" style="15"/>
  </cols>
  <sheetData>
    <row r="2" spans="1:5" x14ac:dyDescent="0.2">
      <c r="A2" s="194" t="s">
        <v>150</v>
      </c>
      <c r="B2" s="194"/>
    </row>
    <row r="3" spans="1:5" ht="12.75" customHeight="1" x14ac:dyDescent="0.2">
      <c r="A3" s="2" t="s">
        <v>181</v>
      </c>
      <c r="B3" s="2" t="s">
        <v>182</v>
      </c>
    </row>
    <row r="4" spans="1:5" x14ac:dyDescent="0.2">
      <c r="A4" s="114" t="s">
        <v>183</v>
      </c>
      <c r="B4" s="150">
        <v>3616</v>
      </c>
    </row>
    <row r="5" spans="1:5" x14ac:dyDescent="0.2">
      <c r="A5" s="115" t="s">
        <v>184</v>
      </c>
      <c r="B5" s="151">
        <v>3200</v>
      </c>
    </row>
    <row r="6" spans="1:5" x14ac:dyDescent="0.2">
      <c r="A6" s="114" t="s">
        <v>190</v>
      </c>
      <c r="B6" s="150">
        <v>69</v>
      </c>
      <c r="E6" s="148"/>
    </row>
    <row r="7" spans="1:5" x14ac:dyDescent="0.2">
      <c r="A7" s="115" t="s">
        <v>191</v>
      </c>
      <c r="B7" s="151">
        <v>1910</v>
      </c>
      <c r="E7" s="148"/>
    </row>
    <row r="8" spans="1:5" x14ac:dyDescent="0.2">
      <c r="A8" s="114" t="s">
        <v>192</v>
      </c>
      <c r="B8" s="150">
        <v>586</v>
      </c>
      <c r="E8" s="148"/>
    </row>
    <row r="9" spans="1:5" x14ac:dyDescent="0.2">
      <c r="A9" s="115" t="s">
        <v>193</v>
      </c>
      <c r="B9" s="151">
        <v>35</v>
      </c>
      <c r="E9" s="148"/>
    </row>
    <row r="10" spans="1:5" x14ac:dyDescent="0.2">
      <c r="A10" s="114" t="s">
        <v>194</v>
      </c>
      <c r="B10" s="150">
        <v>551</v>
      </c>
      <c r="E10" s="148"/>
    </row>
    <row r="11" spans="1:5" x14ac:dyDescent="0.2">
      <c r="A11" s="115" t="s">
        <v>195</v>
      </c>
      <c r="B11" s="151">
        <v>2</v>
      </c>
      <c r="E11" s="148"/>
    </row>
    <row r="12" spans="1:5" x14ac:dyDescent="0.2">
      <c r="A12" s="114" t="s">
        <v>196</v>
      </c>
      <c r="B12" s="150">
        <v>47</v>
      </c>
      <c r="E12" s="148"/>
    </row>
    <row r="13" spans="1:5" x14ac:dyDescent="0.2">
      <c r="A13" s="115" t="s">
        <v>82</v>
      </c>
      <c r="B13" s="151">
        <v>0</v>
      </c>
      <c r="E13" s="148"/>
    </row>
    <row r="14" spans="1:5" x14ac:dyDescent="0.2">
      <c r="A14" s="114" t="s">
        <v>170</v>
      </c>
      <c r="B14" s="150">
        <v>0</v>
      </c>
      <c r="E14" s="148"/>
    </row>
    <row r="15" spans="1:5" x14ac:dyDescent="0.2">
      <c r="A15" s="2" t="s">
        <v>186</v>
      </c>
      <c r="B15" s="2" t="s">
        <v>185</v>
      </c>
    </row>
    <row r="16" spans="1:5" x14ac:dyDescent="0.2">
      <c r="A16" s="114" t="s">
        <v>188</v>
      </c>
      <c r="B16" s="152">
        <v>5953</v>
      </c>
    </row>
    <row r="17" spans="1:2" x14ac:dyDescent="0.2">
      <c r="A17" s="115" t="s">
        <v>189</v>
      </c>
      <c r="B17" s="153">
        <v>6369</v>
      </c>
    </row>
    <row r="18" spans="1:2" x14ac:dyDescent="0.2">
      <c r="A18" s="114" t="s">
        <v>187</v>
      </c>
      <c r="B18" s="152">
        <v>416</v>
      </c>
    </row>
    <row r="19" spans="1:2" s="149" customFormat="1" x14ac:dyDescent="0.2">
      <c r="A19" s="115" t="s">
        <v>197</v>
      </c>
      <c r="B19" s="153">
        <v>6161</v>
      </c>
    </row>
    <row r="20" spans="1:2" x14ac:dyDescent="0.2">
      <c r="A20" s="114" t="s">
        <v>198</v>
      </c>
      <c r="B20" s="154">
        <v>0.31001460801817887</v>
      </c>
    </row>
    <row r="21" spans="1:2" x14ac:dyDescent="0.2">
      <c r="A21" s="115" t="s">
        <v>199</v>
      </c>
      <c r="B21" s="155">
        <v>0.55315695503976625</v>
      </c>
    </row>
    <row r="22" spans="1:2" s="149" customFormat="1" x14ac:dyDescent="0.2">
      <c r="A22" s="114" t="s">
        <v>200</v>
      </c>
      <c r="B22" s="156">
        <v>21.693661971830988</v>
      </c>
    </row>
    <row r="23" spans="1:2" x14ac:dyDescent="0.2">
      <c r="A23" s="115" t="s">
        <v>201</v>
      </c>
      <c r="B23" s="153">
        <v>360</v>
      </c>
    </row>
    <row r="24" spans="1:2" x14ac:dyDescent="0.2">
      <c r="A24" s="114" t="s">
        <v>202</v>
      </c>
      <c r="B24" s="152">
        <v>10</v>
      </c>
    </row>
    <row r="25" spans="1:2" x14ac:dyDescent="0.2">
      <c r="A25" s="115" t="s">
        <v>203</v>
      </c>
      <c r="B25" s="153">
        <v>30</v>
      </c>
    </row>
    <row r="26" spans="1:2" x14ac:dyDescent="0.2">
      <c r="A26" s="114" t="s">
        <v>204</v>
      </c>
      <c r="B26" s="152">
        <v>30</v>
      </c>
    </row>
    <row r="27" spans="1:2" s="149" customFormat="1" x14ac:dyDescent="0.2">
      <c r="A27" s="115" t="s">
        <v>205</v>
      </c>
      <c r="B27" s="153">
        <v>33</v>
      </c>
    </row>
    <row r="28" spans="1:2" s="149" customFormat="1" x14ac:dyDescent="0.2">
      <c r="A28" s="114" t="s">
        <v>206</v>
      </c>
      <c r="B28" s="154">
        <v>0.08</v>
      </c>
    </row>
    <row r="29" spans="1:2" s="149" customFormat="1" x14ac:dyDescent="0.2">
      <c r="A29" s="115" t="s">
        <v>207</v>
      </c>
      <c r="B29" s="155">
        <v>0.4</v>
      </c>
    </row>
  </sheetData>
  <mergeCells count="1">
    <mergeCell ref="A2:B2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zoomScaleNormal="100" workbookViewId="0">
      <selection activeCell="E39" sqref="E39"/>
    </sheetView>
  </sheetViews>
  <sheetFormatPr defaultRowHeight="12.75" x14ac:dyDescent="0.2"/>
  <cols>
    <col min="1" max="1" width="41.85546875" style="15" bestFit="1" customWidth="1"/>
    <col min="2" max="2" width="5.5703125" style="15" bestFit="1" customWidth="1"/>
    <col min="3" max="3" width="10.28515625" style="15" bestFit="1" customWidth="1"/>
    <col min="4" max="16384" width="9.140625" style="15"/>
  </cols>
  <sheetData>
    <row r="1" spans="1:3" x14ac:dyDescent="0.2">
      <c r="B1" s="8"/>
      <c r="C1" s="8"/>
    </row>
    <row r="2" spans="1:3" x14ac:dyDescent="0.2">
      <c r="A2" s="209" t="s">
        <v>252</v>
      </c>
      <c r="B2" s="209"/>
      <c r="C2" s="209"/>
    </row>
    <row r="3" spans="1:3" x14ac:dyDescent="0.2">
      <c r="A3" s="157" t="s">
        <v>246</v>
      </c>
      <c r="B3" s="157" t="s">
        <v>247</v>
      </c>
      <c r="C3" s="157" t="s">
        <v>85</v>
      </c>
    </row>
    <row r="4" spans="1:3" x14ac:dyDescent="0.2">
      <c r="A4" s="158" t="s">
        <v>57</v>
      </c>
      <c r="B4" s="159" t="s">
        <v>58</v>
      </c>
      <c r="C4" s="160">
        <v>3.6900000000000002E-2</v>
      </c>
    </row>
    <row r="5" spans="1:3" x14ac:dyDescent="0.2">
      <c r="A5" s="161" t="s">
        <v>59</v>
      </c>
      <c r="B5" s="162" t="s">
        <v>60</v>
      </c>
      <c r="C5" s="163">
        <v>1.06E-2</v>
      </c>
    </row>
    <row r="6" spans="1:3" x14ac:dyDescent="0.2">
      <c r="A6" s="158" t="s">
        <v>61</v>
      </c>
      <c r="B6" s="159" t="s">
        <v>62</v>
      </c>
      <c r="C6" s="160">
        <v>0.12</v>
      </c>
    </row>
    <row r="7" spans="1:3" x14ac:dyDescent="0.2">
      <c r="A7" s="161" t="s">
        <v>248</v>
      </c>
      <c r="B7" s="162" t="s">
        <v>166</v>
      </c>
      <c r="C7" s="163">
        <v>0.105</v>
      </c>
    </row>
    <row r="8" spans="1:3" x14ac:dyDescent="0.2">
      <c r="A8" s="158" t="s">
        <v>249</v>
      </c>
      <c r="B8" s="159" t="s">
        <v>132</v>
      </c>
      <c r="C8" s="164">
        <v>30</v>
      </c>
    </row>
    <row r="9" spans="1:3" x14ac:dyDescent="0.2">
      <c r="A9" s="161" t="s">
        <v>250</v>
      </c>
      <c r="B9" s="162" t="s">
        <v>63</v>
      </c>
      <c r="C9" s="165">
        <v>1.1950000000000001E-2</v>
      </c>
    </row>
    <row r="10" spans="1:3" x14ac:dyDescent="0.2">
      <c r="A10" s="158" t="s">
        <v>64</v>
      </c>
      <c r="B10" s="210" t="s">
        <v>65</v>
      </c>
      <c r="C10" s="160">
        <v>0.02</v>
      </c>
    </row>
    <row r="11" spans="1:3" x14ac:dyDescent="0.2">
      <c r="A11" s="158" t="s">
        <v>66</v>
      </c>
      <c r="B11" s="210"/>
      <c r="C11" s="160">
        <v>3.6499999999999998E-2</v>
      </c>
    </row>
    <row r="12" spans="1:3" x14ac:dyDescent="0.2">
      <c r="A12" s="166" t="s">
        <v>251</v>
      </c>
      <c r="B12" s="162" t="s">
        <v>253</v>
      </c>
      <c r="C12" s="167">
        <f>ROUND((((1+C4+C5)*(1+C6)*(1+C9))/(1-(C10+C11))-1),4)</f>
        <v>0.25829999999999997</v>
      </c>
    </row>
  </sheetData>
  <mergeCells count="2">
    <mergeCell ref="B10:B11"/>
    <mergeCell ref="A2:C2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7"/>
  <sheetViews>
    <sheetView zoomScaleNormal="100" workbookViewId="0">
      <selection activeCell="E39" sqref="E39"/>
    </sheetView>
  </sheetViews>
  <sheetFormatPr defaultRowHeight="19.5" customHeight="1" x14ac:dyDescent="0.2"/>
  <cols>
    <col min="1" max="1" width="24.5703125" style="15" customWidth="1"/>
    <col min="2" max="2" width="20.85546875" style="124" customWidth="1"/>
    <col min="3" max="16384" width="9.140625" style="15"/>
  </cols>
  <sheetData>
    <row r="1" spans="1:2" ht="12.75" customHeight="1" x14ac:dyDescent="0.2">
      <c r="A1" s="209" t="s">
        <v>152</v>
      </c>
      <c r="B1" s="209"/>
    </row>
    <row r="2" spans="1:2" s="149" customFormat="1" ht="12.75" customHeight="1" x14ac:dyDescent="0.2">
      <c r="A2" s="131" t="s">
        <v>138</v>
      </c>
      <c r="B2" s="131" t="s">
        <v>167</v>
      </c>
    </row>
    <row r="3" spans="1:2" ht="12.75" customHeight="1" x14ac:dyDescent="0.2">
      <c r="A3" s="132">
        <v>1</v>
      </c>
      <c r="B3" s="168">
        <v>33.629999999999995</v>
      </c>
    </row>
    <row r="4" spans="1:2" ht="12.75" customHeight="1" x14ac:dyDescent="0.2">
      <c r="A4" s="135">
        <v>2</v>
      </c>
      <c r="B4" s="169">
        <v>43.13</v>
      </c>
    </row>
    <row r="5" spans="1:2" ht="12.75" customHeight="1" x14ac:dyDescent="0.2">
      <c r="A5" s="132">
        <v>3</v>
      </c>
      <c r="B5" s="168">
        <v>48.68</v>
      </c>
    </row>
    <row r="6" spans="1:2" ht="12.75" customHeight="1" x14ac:dyDescent="0.2">
      <c r="A6" s="135">
        <v>4</v>
      </c>
      <c r="B6" s="169">
        <v>52.62</v>
      </c>
    </row>
    <row r="7" spans="1:2" ht="12.75" customHeight="1" x14ac:dyDescent="0.2">
      <c r="A7" s="132">
        <v>5</v>
      </c>
      <c r="B7" s="168">
        <v>55.679999999999993</v>
      </c>
    </row>
    <row r="8" spans="1:2" ht="12.75" customHeight="1" x14ac:dyDescent="0.2">
      <c r="A8" s="135">
        <v>6</v>
      </c>
      <c r="B8" s="169">
        <v>58.18</v>
      </c>
    </row>
    <row r="9" spans="1:2" ht="12.75" customHeight="1" x14ac:dyDescent="0.2">
      <c r="A9" s="132">
        <v>7</v>
      </c>
      <c r="B9" s="168">
        <v>60.29</v>
      </c>
    </row>
    <row r="10" spans="1:2" ht="12.75" customHeight="1" x14ac:dyDescent="0.2">
      <c r="A10" s="135">
        <v>8</v>
      </c>
      <c r="B10" s="169">
        <v>62.12</v>
      </c>
    </row>
    <row r="11" spans="1:2" ht="12.75" customHeight="1" x14ac:dyDescent="0.2">
      <c r="A11" s="132">
        <v>9</v>
      </c>
      <c r="B11" s="168">
        <v>63.73</v>
      </c>
    </row>
    <row r="12" spans="1:2" ht="12.75" customHeight="1" x14ac:dyDescent="0.2">
      <c r="A12" s="135">
        <v>10</v>
      </c>
      <c r="B12" s="169">
        <v>65.180000000000007</v>
      </c>
    </row>
    <row r="13" spans="1:2" ht="12.75" customHeight="1" x14ac:dyDescent="0.2">
      <c r="A13" s="132">
        <v>11</v>
      </c>
      <c r="B13" s="168">
        <v>66.47999999999999</v>
      </c>
    </row>
    <row r="14" spans="1:2" ht="12.75" customHeight="1" x14ac:dyDescent="0.2">
      <c r="A14" s="135">
        <v>12</v>
      </c>
      <c r="B14" s="169">
        <v>67.67</v>
      </c>
    </row>
    <row r="15" spans="1:2" ht="12.75" customHeight="1" x14ac:dyDescent="0.2">
      <c r="A15" s="132">
        <v>13</v>
      </c>
      <c r="B15" s="168">
        <v>68.77</v>
      </c>
    </row>
    <row r="16" spans="1:2" ht="12.75" customHeight="1" x14ac:dyDescent="0.2">
      <c r="A16" s="135">
        <v>14</v>
      </c>
      <c r="B16" s="169">
        <v>69.789999999999992</v>
      </c>
    </row>
    <row r="17" spans="1:2" ht="12.75" customHeight="1" x14ac:dyDescent="0.2">
      <c r="A17" s="132">
        <v>15</v>
      </c>
      <c r="B17" s="168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7"/>
  <sheetViews>
    <sheetView zoomScaleNormal="100" workbookViewId="0">
      <selection activeCell="E39" sqref="E39"/>
    </sheetView>
  </sheetViews>
  <sheetFormatPr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x14ac:dyDescent="0.2">
      <c r="A1" s="173" t="s">
        <v>153</v>
      </c>
    </row>
    <row r="2" spans="1:1" x14ac:dyDescent="0.2">
      <c r="A2" s="170"/>
    </row>
    <row r="3" spans="1:1" x14ac:dyDescent="0.2">
      <c r="A3" s="170" t="s">
        <v>160</v>
      </c>
    </row>
    <row r="4" spans="1:1" x14ac:dyDescent="0.2">
      <c r="A4" s="170"/>
    </row>
    <row r="5" spans="1:1" x14ac:dyDescent="0.2">
      <c r="A5" s="170"/>
    </row>
    <row r="6" spans="1:1" x14ac:dyDescent="0.2">
      <c r="A6" s="170"/>
    </row>
    <row r="7" spans="1:1" x14ac:dyDescent="0.2">
      <c r="A7" s="170"/>
    </row>
    <row r="8" spans="1:1" x14ac:dyDescent="0.2">
      <c r="A8" s="170"/>
    </row>
    <row r="9" spans="1:1" x14ac:dyDescent="0.2">
      <c r="A9" s="170"/>
    </row>
    <row r="10" spans="1:1" x14ac:dyDescent="0.2">
      <c r="A10" s="170"/>
    </row>
    <row r="11" spans="1:1" x14ac:dyDescent="0.2">
      <c r="A11" s="170"/>
    </row>
    <row r="12" spans="1:1" ht="14.25" x14ac:dyDescent="0.25">
      <c r="A12" s="171" t="s">
        <v>254</v>
      </c>
    </row>
    <row r="13" spans="1:1" x14ac:dyDescent="0.2">
      <c r="A13" s="171" t="s">
        <v>75</v>
      </c>
    </row>
    <row r="14" spans="1:1" x14ac:dyDescent="0.2">
      <c r="A14" s="171" t="s">
        <v>77</v>
      </c>
    </row>
    <row r="15" spans="1:1" ht="14.25" x14ac:dyDescent="0.25">
      <c r="A15" s="171" t="s">
        <v>255</v>
      </c>
    </row>
    <row r="16" spans="1:1" ht="14.25" x14ac:dyDescent="0.25">
      <c r="A16" s="171" t="s">
        <v>256</v>
      </c>
    </row>
    <row r="17" spans="1:1" x14ac:dyDescent="0.2">
      <c r="A17" s="172" t="s">
        <v>76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E2060-4E00-4AAE-BD26-D01D0A2E465D}">
  <dimension ref="A1:F26"/>
  <sheetViews>
    <sheetView topLeftCell="A10" zoomScaleNormal="100" workbookViewId="0">
      <selection activeCell="E39" sqref="E39"/>
    </sheetView>
  </sheetViews>
  <sheetFormatPr defaultRowHeight="12.75" x14ac:dyDescent="0.2"/>
  <cols>
    <col min="1" max="1" width="31.42578125" style="3" customWidth="1"/>
    <col min="2" max="2" width="11.140625" style="3" bestFit="1" customWidth="1"/>
    <col min="3" max="3" width="11.28515625" style="3" bestFit="1" customWidth="1"/>
    <col min="4" max="4" width="9.140625" style="3" customWidth="1"/>
    <col min="5" max="5" width="10" style="3" bestFit="1" customWidth="1"/>
    <col min="6" max="6" width="10.140625" style="3" customWidth="1"/>
    <col min="7" max="16384" width="9.140625" style="3"/>
  </cols>
  <sheetData>
    <row r="1" spans="1:6" x14ac:dyDescent="0.2">
      <c r="A1" s="212" t="s">
        <v>165</v>
      </c>
      <c r="B1" s="212"/>
      <c r="C1" s="212"/>
      <c r="D1" s="212"/>
      <c r="E1" s="212"/>
      <c r="F1" s="212"/>
    </row>
    <row r="2" spans="1:6" ht="51" x14ac:dyDescent="0.2">
      <c r="A2" s="175" t="s">
        <v>171</v>
      </c>
      <c r="B2" s="175" t="s">
        <v>257</v>
      </c>
      <c r="C2" s="175" t="s">
        <v>171</v>
      </c>
      <c r="D2" s="175" t="s">
        <v>257</v>
      </c>
      <c r="E2" s="175" t="s">
        <v>171</v>
      </c>
      <c r="F2" s="175" t="s">
        <v>257</v>
      </c>
    </row>
    <row r="3" spans="1:6" x14ac:dyDescent="0.2">
      <c r="A3" s="176">
        <v>45202</v>
      </c>
      <c r="B3" s="177">
        <v>3580</v>
      </c>
      <c r="C3" s="176">
        <v>45233</v>
      </c>
      <c r="D3" s="177">
        <v>2450</v>
      </c>
      <c r="E3" s="176">
        <v>45262</v>
      </c>
      <c r="F3" s="177">
        <v>4500</v>
      </c>
    </row>
    <row r="4" spans="1:6" x14ac:dyDescent="0.2">
      <c r="A4" s="178">
        <v>45205</v>
      </c>
      <c r="B4" s="179">
        <v>3260</v>
      </c>
      <c r="C4" s="178">
        <v>45234</v>
      </c>
      <c r="D4" s="179">
        <v>5250</v>
      </c>
      <c r="E4" s="178">
        <v>45265</v>
      </c>
      <c r="F4" s="179">
        <v>3280</v>
      </c>
    </row>
    <row r="5" spans="1:6" x14ac:dyDescent="0.2">
      <c r="A5" s="176">
        <v>45206</v>
      </c>
      <c r="B5" s="177">
        <v>3810</v>
      </c>
      <c r="C5" s="176">
        <v>45237</v>
      </c>
      <c r="D5" s="177">
        <v>4740</v>
      </c>
      <c r="E5" s="176">
        <v>45268</v>
      </c>
      <c r="F5" s="177">
        <v>3500</v>
      </c>
    </row>
    <row r="6" spans="1:6" s="4" customFormat="1" ht="15.6" customHeight="1" x14ac:dyDescent="0.2">
      <c r="A6" s="178">
        <v>45209</v>
      </c>
      <c r="B6" s="179">
        <v>4240</v>
      </c>
      <c r="C6" s="178">
        <v>45240</v>
      </c>
      <c r="D6" s="179">
        <v>3360</v>
      </c>
      <c r="E6" s="178">
        <v>45269</v>
      </c>
      <c r="F6" s="179">
        <v>3780</v>
      </c>
    </row>
    <row r="7" spans="1:6" s="4" customFormat="1" ht="16.5" customHeight="1" x14ac:dyDescent="0.2">
      <c r="A7" s="176">
        <v>45212</v>
      </c>
      <c r="B7" s="177">
        <v>3050</v>
      </c>
      <c r="C7" s="176">
        <v>45241</v>
      </c>
      <c r="D7" s="177">
        <v>4000</v>
      </c>
      <c r="E7" s="176">
        <v>45272</v>
      </c>
      <c r="F7" s="177">
        <v>4800</v>
      </c>
    </row>
    <row r="8" spans="1:6" x14ac:dyDescent="0.2">
      <c r="A8" s="178">
        <v>45213</v>
      </c>
      <c r="B8" s="179">
        <v>4210</v>
      </c>
      <c r="C8" s="178">
        <v>45244</v>
      </c>
      <c r="D8" s="179">
        <v>3530</v>
      </c>
      <c r="E8" s="178">
        <v>45275</v>
      </c>
      <c r="F8" s="179">
        <v>4100</v>
      </c>
    </row>
    <row r="9" spans="1:6" x14ac:dyDescent="0.2">
      <c r="A9" s="176">
        <v>45216</v>
      </c>
      <c r="B9" s="177">
        <v>4110</v>
      </c>
      <c r="C9" s="176">
        <v>45247</v>
      </c>
      <c r="D9" s="177">
        <v>3790</v>
      </c>
      <c r="E9" s="176">
        <v>45276</v>
      </c>
      <c r="F9" s="177">
        <v>3150</v>
      </c>
    </row>
    <row r="10" spans="1:6" x14ac:dyDescent="0.2">
      <c r="A10" s="178">
        <v>45219</v>
      </c>
      <c r="B10" s="179">
        <v>3850</v>
      </c>
      <c r="C10" s="178">
        <v>45248</v>
      </c>
      <c r="D10" s="179">
        <v>5360</v>
      </c>
      <c r="E10" s="178">
        <v>45279</v>
      </c>
      <c r="F10" s="179">
        <v>4000</v>
      </c>
    </row>
    <row r="11" spans="1:6" s="174" customFormat="1" x14ac:dyDescent="0.2">
      <c r="A11" s="176">
        <v>45220</v>
      </c>
      <c r="B11" s="177">
        <v>3380</v>
      </c>
      <c r="C11" s="176">
        <v>45251</v>
      </c>
      <c r="D11" s="177">
        <v>4200</v>
      </c>
      <c r="E11" s="176">
        <v>45282</v>
      </c>
      <c r="F11" s="177">
        <v>3350</v>
      </c>
    </row>
    <row r="12" spans="1:6" x14ac:dyDescent="0.2">
      <c r="A12" s="178">
        <v>45223</v>
      </c>
      <c r="B12" s="179">
        <v>3650</v>
      </c>
      <c r="C12" s="178">
        <v>45254</v>
      </c>
      <c r="D12" s="179">
        <v>4990</v>
      </c>
      <c r="E12" s="178">
        <v>45283</v>
      </c>
      <c r="F12" s="179">
        <v>3880</v>
      </c>
    </row>
    <row r="13" spans="1:6" x14ac:dyDescent="0.2">
      <c r="A13" s="176">
        <v>45226</v>
      </c>
      <c r="B13" s="177">
        <v>3120</v>
      </c>
      <c r="C13" s="176">
        <v>45255</v>
      </c>
      <c r="D13" s="177">
        <v>4160</v>
      </c>
      <c r="E13" s="176">
        <v>45286</v>
      </c>
      <c r="F13" s="177">
        <v>5200</v>
      </c>
    </row>
    <row r="14" spans="1:6" x14ac:dyDescent="0.2">
      <c r="A14" s="178">
        <v>45227</v>
      </c>
      <c r="B14" s="179">
        <v>4000</v>
      </c>
      <c r="C14" s="178">
        <v>45258</v>
      </c>
      <c r="D14" s="179">
        <v>4830</v>
      </c>
      <c r="E14" s="178">
        <v>45289</v>
      </c>
      <c r="F14" s="179">
        <v>4350</v>
      </c>
    </row>
    <row r="15" spans="1:6" x14ac:dyDescent="0.2">
      <c r="A15" s="176">
        <v>45230</v>
      </c>
      <c r="B15" s="177">
        <v>3280</v>
      </c>
      <c r="C15" s="176">
        <v>45261</v>
      </c>
      <c r="D15" s="177">
        <v>3020</v>
      </c>
      <c r="E15" s="176">
        <v>45290</v>
      </c>
      <c r="F15" s="177">
        <v>5130</v>
      </c>
    </row>
    <row r="16" spans="1:6" x14ac:dyDescent="0.2">
      <c r="A16" s="211" t="s">
        <v>258</v>
      </c>
      <c r="B16" s="211"/>
      <c r="C16" s="211"/>
      <c r="D16" s="211"/>
      <c r="E16" s="211"/>
      <c r="F16" s="179">
        <f>SUM(B3:B15,D3:D15,F3:F15)</f>
        <v>154240</v>
      </c>
    </row>
    <row r="17" spans="1:6" x14ac:dyDescent="0.2">
      <c r="A17" s="213" t="s">
        <v>173</v>
      </c>
      <c r="B17" s="213"/>
      <c r="C17" s="213"/>
      <c r="D17" s="213"/>
      <c r="E17" s="213"/>
      <c r="F17" s="180">
        <v>90</v>
      </c>
    </row>
    <row r="18" spans="1:6" x14ac:dyDescent="0.2">
      <c r="A18" s="211" t="s">
        <v>172</v>
      </c>
      <c r="B18" s="211"/>
      <c r="C18" s="211"/>
      <c r="D18" s="211"/>
      <c r="E18" s="211"/>
      <c r="F18" s="179">
        <v>4447</v>
      </c>
    </row>
    <row r="19" spans="1:6" x14ac:dyDescent="0.2">
      <c r="A19" s="213" t="s">
        <v>174</v>
      </c>
      <c r="B19" s="213"/>
      <c r="C19" s="213"/>
      <c r="D19" s="213"/>
      <c r="E19" s="213"/>
      <c r="F19" s="181">
        <f>ROUND(F16/F17,2)</f>
        <v>1713.78</v>
      </c>
    </row>
    <row r="20" spans="1:6" x14ac:dyDescent="0.2">
      <c r="A20" s="211" t="s">
        <v>175</v>
      </c>
      <c r="B20" s="211"/>
      <c r="C20" s="211"/>
      <c r="D20" s="211"/>
      <c r="E20" s="211"/>
      <c r="F20" s="182">
        <f>ROUND(F19/F18,3)</f>
        <v>0.38500000000000001</v>
      </c>
    </row>
    <row r="21" spans="1:6" x14ac:dyDescent="0.2">
      <c r="A21" s="213" t="s">
        <v>176</v>
      </c>
      <c r="B21" s="213"/>
      <c r="C21" s="213"/>
      <c r="D21" s="213"/>
      <c r="E21" s="213"/>
      <c r="F21" s="181">
        <f>ROUND(F19*30,2)</f>
        <v>51413.4</v>
      </c>
    </row>
    <row r="22" spans="1:6" x14ac:dyDescent="0.2">
      <c r="A22" s="211" t="s">
        <v>177</v>
      </c>
      <c r="B22" s="211"/>
      <c r="C22" s="211"/>
      <c r="D22" s="211"/>
      <c r="E22" s="211"/>
      <c r="F22" s="182">
        <v>2</v>
      </c>
    </row>
    <row r="23" spans="1:6" x14ac:dyDescent="0.2">
      <c r="A23" s="213" t="s">
        <v>178</v>
      </c>
      <c r="B23" s="213"/>
      <c r="C23" s="213"/>
      <c r="D23" s="213"/>
      <c r="E23" s="213"/>
      <c r="F23" s="181">
        <f>ROUND(F19*7/F22,2)</f>
        <v>5998.23</v>
      </c>
    </row>
    <row r="24" spans="1:6" x14ac:dyDescent="0.2">
      <c r="A24" s="211" t="s">
        <v>179</v>
      </c>
      <c r="B24" s="211"/>
      <c r="C24" s="211"/>
      <c r="D24" s="211"/>
      <c r="E24" s="211"/>
      <c r="F24" s="182">
        <v>12</v>
      </c>
    </row>
    <row r="25" spans="1:6" x14ac:dyDescent="0.2">
      <c r="A25" s="213" t="s">
        <v>259</v>
      </c>
      <c r="B25" s="213"/>
      <c r="C25" s="213"/>
      <c r="D25" s="213"/>
      <c r="E25" s="213"/>
      <c r="F25" s="177">
        <f>F24*500</f>
        <v>6000</v>
      </c>
    </row>
    <row r="26" spans="1:6" x14ac:dyDescent="0.2">
      <c r="A26" s="211" t="s">
        <v>180</v>
      </c>
      <c r="B26" s="211"/>
      <c r="C26" s="211"/>
      <c r="D26" s="211"/>
      <c r="E26" s="211"/>
      <c r="F26" s="182">
        <f>ROUND(F25/F23,2)</f>
        <v>1</v>
      </c>
    </row>
  </sheetData>
  <mergeCells count="12">
    <mergeCell ref="A26:E26"/>
    <mergeCell ref="A1:F1"/>
    <mergeCell ref="A21:E21"/>
    <mergeCell ref="A22:E22"/>
    <mergeCell ref="A23:E23"/>
    <mergeCell ref="A24:E24"/>
    <mergeCell ref="A25:E25"/>
    <mergeCell ref="A16:E16"/>
    <mergeCell ref="A17:E17"/>
    <mergeCell ref="A18:E18"/>
    <mergeCell ref="A19:E19"/>
    <mergeCell ref="A20:E20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B432A-0C1E-4634-9C6F-F8B2CF00BB6A}">
  <dimension ref="A1:L4"/>
  <sheetViews>
    <sheetView view="pageBreakPreview" zoomScale="60" zoomScaleNormal="100" workbookViewId="0">
      <selection sqref="A1:L4"/>
    </sheetView>
  </sheetViews>
  <sheetFormatPr defaultRowHeight="12.75" x14ac:dyDescent="0.2"/>
  <cols>
    <col min="1" max="1" width="13.28515625" bestFit="1" customWidth="1"/>
    <col min="2" max="3" width="13.28515625" customWidth="1"/>
    <col min="4" max="4" width="12.85546875" customWidth="1"/>
    <col min="5" max="5" width="13.42578125" customWidth="1"/>
    <col min="6" max="6" width="13.140625" customWidth="1"/>
    <col min="7" max="7" width="12.85546875" customWidth="1"/>
    <col min="8" max="8" width="13.140625" customWidth="1"/>
    <col min="9" max="10" width="12.85546875" customWidth="1"/>
    <col min="11" max="11" width="13" customWidth="1"/>
    <col min="12" max="12" width="13.42578125" customWidth="1"/>
  </cols>
  <sheetData>
    <row r="1" spans="1:12" ht="12.75" customHeight="1" x14ac:dyDescent="0.2">
      <c r="A1" s="214" t="s">
        <v>260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6"/>
    </row>
    <row r="2" spans="1:12" ht="12.75" customHeight="1" x14ac:dyDescent="0.2">
      <c r="A2" s="217" t="s">
        <v>142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9"/>
    </row>
    <row r="3" spans="1:12" x14ac:dyDescent="0.2">
      <c r="A3" s="186" t="s">
        <v>261</v>
      </c>
      <c r="B3" s="186" t="s">
        <v>262</v>
      </c>
      <c r="C3" s="186" t="s">
        <v>263</v>
      </c>
      <c r="D3" s="186" t="s">
        <v>264</v>
      </c>
      <c r="E3" s="186" t="s">
        <v>265</v>
      </c>
      <c r="F3" s="186" t="s">
        <v>266</v>
      </c>
      <c r="G3" s="186" t="s">
        <v>267</v>
      </c>
      <c r="H3" s="186" t="s">
        <v>268</v>
      </c>
      <c r="I3" s="186" t="s">
        <v>269</v>
      </c>
      <c r="J3" s="186" t="s">
        <v>270</v>
      </c>
      <c r="K3" s="186" t="s">
        <v>271</v>
      </c>
      <c r="L3" s="186" t="s">
        <v>272</v>
      </c>
    </row>
    <row r="4" spans="1:12" x14ac:dyDescent="0.2">
      <c r="A4" s="187">
        <v>27674.48</v>
      </c>
      <c r="B4" s="187">
        <v>27674.48</v>
      </c>
      <c r="C4" s="187">
        <v>27674.48</v>
      </c>
      <c r="D4" s="187">
        <v>27674.48</v>
      </c>
      <c r="E4" s="187">
        <v>27674.48</v>
      </c>
      <c r="F4" s="187">
        <v>27674.48</v>
      </c>
      <c r="G4" s="187">
        <v>27674.48</v>
      </c>
      <c r="H4" s="187">
        <v>27674.48</v>
      </c>
      <c r="I4" s="187">
        <v>27674.48</v>
      </c>
      <c r="J4" s="187">
        <v>27674.48</v>
      </c>
      <c r="K4" s="187">
        <v>27674.48</v>
      </c>
      <c r="L4" s="187">
        <v>27674.48</v>
      </c>
    </row>
  </sheetData>
  <mergeCells count="2">
    <mergeCell ref="A1:L1"/>
    <mergeCell ref="A2:L2"/>
  </mergeCells>
  <phoneticPr fontId="4" type="noConversion"/>
  <pageMargins left="0.511811024" right="0.511811024" top="0.78740157499999996" bottom="0.78740157499999996" header="0.31496062000000002" footer="0.31496062000000002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5</vt:i4>
      </vt:variant>
    </vt:vector>
  </HeadingPairs>
  <TitlesOfParts>
    <vt:vector size="13" baseType="lpstr">
      <vt:lpstr>1. Coleta de resíduos sólidos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8. Cronograma</vt:lpstr>
      <vt:lpstr>AbaDeprec</vt:lpstr>
      <vt:lpstr>AbaRemun</vt:lpstr>
      <vt:lpstr>'1. Coleta de resíduos sólidos'!Area_de_impressao</vt:lpstr>
      <vt:lpstr>'2.Encargos Sociais'!Area_de_impressao</vt:lpstr>
      <vt:lpstr>'8. Cronograma'!Area_de_impressao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Assessoria</cp:lastModifiedBy>
  <cp:lastPrinted>2024-06-21T19:30:58Z</cp:lastPrinted>
  <dcterms:created xsi:type="dcterms:W3CDTF">2000-12-13T10:02:50Z</dcterms:created>
  <dcterms:modified xsi:type="dcterms:W3CDTF">2024-06-21T19:31:07Z</dcterms:modified>
</cp:coreProperties>
</file>