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\\saneppe0d8s4y\DCL2\LICITAÇÕES\2026\DISPENSAS ELETRÔNICAS\DE 03 - COLETA RESÍDUOS\PLANILHA FINAL EM EXCEL - 20.10.26\"/>
    </mc:Choice>
  </mc:AlternateContent>
  <xr:revisionPtr revIDLastSave="0" documentId="13_ncr:1_{462CEA56-3766-4797-B160-83C7B33AF20F}" xr6:coauthVersionLast="47" xr6:coauthVersionMax="47" xr10:uidLastSave="{00000000-0000-0000-0000-000000000000}"/>
  <bookViews>
    <workbookView xWindow="-120" yWindow="-120" windowWidth="29040" windowHeight="15720" tabRatio="966" xr2:uid="{00000000-000D-0000-FFFF-FFFF00000000}"/>
  </bookViews>
  <sheets>
    <sheet name="1 - RESUMO" sheetId="1" r:id="rId1"/>
    <sheet name="OK 2 - ADM LOCAL - RSD" sheetId="2" r:id="rId2"/>
    <sheet name="OK 2.1 - COLETA RSD" sheetId="3" r:id="rId3"/>
    <sheet name="OK 3 - ADM LOCAL - CONTEIN." sheetId="4" r:id="rId4"/>
    <sheet name="OK 3.1 - COLETA CONTEIN." sheetId="5" r:id="rId5"/>
    <sheet name="OK 4 - ADM LOCAL - SELETIVA" sheetId="6" r:id="rId6"/>
    <sheet name="OK 4.1 - COLETA SELETIVA" sheetId="7" r:id="rId7"/>
    <sheet name="OK 5 - ADM LOCAL - ÓLEOS" sheetId="8" r:id="rId8"/>
    <sheet name="OK 5.1 - COLETA ÓLEOS" sheetId="9" r:id="rId9"/>
    <sheet name="6 - DADOS CC MO" sheetId="10" r:id="rId10"/>
    <sheet name="7 - ENCARGOS SOCIAIS" sheetId="11" r:id="rId11"/>
    <sheet name="8 - CAGED" sheetId="12" r:id="rId12"/>
    <sheet name="9 - BDI" sheetId="13" r:id="rId13"/>
    <sheet name="10 - CUSTOS UN" sheetId="14" r:id="rId14"/>
    <sheet name="IPCA" sheetId="15" state="hidden" r:id="rId15"/>
  </sheets>
  <definedNames>
    <definedName name="_xlnm.Print_Area" localSheetId="0">'1 - RESUMO'!$B$2:$I$20</definedName>
    <definedName name="_xlnm.Print_Area" localSheetId="13">'10 - CUSTOS UN'!$B$2:$J$265</definedName>
    <definedName name="_xlnm.Print_Area" localSheetId="9">'6 - DADOS CC MO'!$C$1:$E$115</definedName>
    <definedName name="_xlnm.Print_Area" localSheetId="10">'7 - ENCARGOS SOCIAIS'!$B$2:$D$34</definedName>
    <definedName name="_xlnm.Print_Area" localSheetId="11">'8 - CAGED'!$B$2:$C$28</definedName>
    <definedName name="_xlnm.Print_Area" localSheetId="12">'9 - BDI'!$B$2:$D$20</definedName>
    <definedName name="_xlnm.Print_Area" localSheetId="1">'OK 2 - ADM LOCAL - RSD'!$B$2:$K$425</definedName>
    <definedName name="_xlnm.Print_Area" localSheetId="2">'OK 2.1 - COLETA RSD'!$B$2:$K$380</definedName>
    <definedName name="_xlnm.Print_Area" localSheetId="4">'OK 3.1 - COLETA CONTEIN.'!$B$2:$K$390</definedName>
    <definedName name="_xlnm.Print_Area" localSheetId="6">'OK 4.1 - COLETA SELETIVA'!$B$2:$K$287</definedName>
    <definedName name="_xlnm.Print_Area" localSheetId="8">'OK 5.1 - COLETA ÓLEOS'!$B$2:$K$215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22" i="5" l="1"/>
  <c r="I97" i="5"/>
  <c r="I76" i="5"/>
  <c r="K12" i="8"/>
  <c r="H69" i="8"/>
  <c r="K65" i="8"/>
  <c r="I319" i="6"/>
  <c r="K319" i="6"/>
  <c r="I308" i="6"/>
  <c r="I398" i="2"/>
  <c r="I399" i="2" s="1"/>
  <c r="I400" i="2" s="1"/>
  <c r="K400" i="2" s="1"/>
  <c r="I401" i="2" s="1"/>
  <c r="K401" i="2" s="1"/>
  <c r="K375" i="2" s="1"/>
  <c r="I477" i="5"/>
  <c r="K358" i="5"/>
  <c r="I410" i="4"/>
  <c r="J9" i="14"/>
  <c r="H351" i="2"/>
  <c r="I351" i="2" s="1"/>
  <c r="K351" i="2" s="1"/>
  <c r="K398" i="4"/>
  <c r="I397" i="4"/>
  <c r="K397" i="4"/>
  <c r="I396" i="4"/>
  <c r="K396" i="4"/>
  <c r="K157" i="9"/>
  <c r="K23" i="8"/>
  <c r="K317" i="6"/>
  <c r="K316" i="6"/>
  <c r="I221" i="6"/>
  <c r="K203" i="6"/>
  <c r="I195" i="6"/>
  <c r="K195" i="6" s="1"/>
  <c r="K181" i="6"/>
  <c r="I173" i="6"/>
  <c r="K173" i="6" s="1"/>
  <c r="K159" i="6"/>
  <c r="J159" i="6" s="1"/>
  <c r="J160" i="6" s="1"/>
  <c r="K160" i="6" s="1"/>
  <c r="J161" i="6" s="1"/>
  <c r="K161" i="6" s="1"/>
  <c r="I151" i="6"/>
  <c r="K151" i="6" s="1"/>
  <c r="K137" i="6"/>
  <c r="I130" i="6"/>
  <c r="K116" i="6"/>
  <c r="J116" i="6" s="1"/>
  <c r="J117" i="6" s="1"/>
  <c r="K117" i="6" s="1"/>
  <c r="I109" i="6"/>
  <c r="K109" i="6" s="1"/>
  <c r="K95" i="6"/>
  <c r="I87" i="6"/>
  <c r="K87" i="6" s="1"/>
  <c r="K76" i="6"/>
  <c r="K77" i="6" s="1"/>
  <c r="K55" i="6"/>
  <c r="J55" i="6" s="1"/>
  <c r="J56" i="6" s="1"/>
  <c r="K56" i="6" s="1"/>
  <c r="J57" i="6" s="1"/>
  <c r="K57" i="6" s="1"/>
  <c r="K37" i="6"/>
  <c r="H103" i="5"/>
  <c r="H33" i="5"/>
  <c r="K394" i="4"/>
  <c r="K409" i="2"/>
  <c r="G428" i="4"/>
  <c r="G432" i="4" s="1"/>
  <c r="K432" i="4" s="1"/>
  <c r="G420" i="4"/>
  <c r="G421" i="4" s="1"/>
  <c r="G424" i="4" s="1"/>
  <c r="J265" i="14"/>
  <c r="I186" i="9" s="1"/>
  <c r="J262" i="14"/>
  <c r="I282" i="7" s="1"/>
  <c r="J258" i="14"/>
  <c r="I198" i="7" s="1"/>
  <c r="J255" i="14"/>
  <c r="I159" i="9" s="1"/>
  <c r="K159" i="9" s="1"/>
  <c r="J252" i="14"/>
  <c r="I318" i="6" s="1"/>
  <c r="K318" i="6" s="1"/>
  <c r="J249" i="14"/>
  <c r="J246" i="14"/>
  <c r="I460" i="5" s="1"/>
  <c r="K460" i="5" s="1"/>
  <c r="J243" i="14"/>
  <c r="I459" i="5" s="1"/>
  <c r="K459" i="5" s="1"/>
  <c r="J240" i="14"/>
  <c r="J236" i="14"/>
  <c r="J233" i="14"/>
  <c r="I160" i="9" s="1"/>
  <c r="J228" i="14"/>
  <c r="I274" i="7" s="1"/>
  <c r="K274" i="7" s="1"/>
  <c r="I275" i="7" s="1"/>
  <c r="J225" i="14"/>
  <c r="I334" i="3" s="1"/>
  <c r="K335" i="3" s="1"/>
  <c r="J222" i="14"/>
  <c r="I401" i="5" s="1"/>
  <c r="K401" i="5" s="1"/>
  <c r="I402" i="5" s="1"/>
  <c r="J219" i="14"/>
  <c r="I270" i="7" s="1"/>
  <c r="K270" i="7" s="1"/>
  <c r="I271" i="7" s="1"/>
  <c r="J216" i="14"/>
  <c r="I174" i="9" s="1"/>
  <c r="K174" i="9" s="1"/>
  <c r="I175" i="9" s="1"/>
  <c r="J213" i="14"/>
  <c r="I399" i="5" s="1"/>
  <c r="K399" i="5" s="1"/>
  <c r="I400" i="5" s="1"/>
  <c r="J210" i="14"/>
  <c r="J207" i="14"/>
  <c r="I196" i="7" s="1"/>
  <c r="K196" i="7" s="1"/>
  <c r="J204" i="14"/>
  <c r="J201" i="14"/>
  <c r="I280" i="7" s="1"/>
  <c r="K280" i="7" s="1"/>
  <c r="J198" i="14"/>
  <c r="I409" i="5" s="1"/>
  <c r="K409" i="5" s="1"/>
  <c r="I411" i="5" s="1"/>
  <c r="J195" i="14"/>
  <c r="I340" i="6" s="1"/>
  <c r="K340" i="6" s="1"/>
  <c r="J191" i="14"/>
  <c r="J186" i="14"/>
  <c r="J183" i="14"/>
  <c r="J180" i="14"/>
  <c r="J175" i="14"/>
  <c r="J172" i="14"/>
  <c r="J169" i="14"/>
  <c r="J166" i="14"/>
  <c r="J163" i="14"/>
  <c r="J160" i="14"/>
  <c r="J157" i="14"/>
  <c r="J154" i="14"/>
  <c r="J151" i="14"/>
  <c r="J150" i="14"/>
  <c r="J148" i="14"/>
  <c r="J146" i="14"/>
  <c r="J145" i="14"/>
  <c r="J143" i="14"/>
  <c r="J139" i="14"/>
  <c r="J136" i="14"/>
  <c r="J134" i="14"/>
  <c r="J131" i="14"/>
  <c r="J123" i="14"/>
  <c r="I313" i="7" s="1"/>
  <c r="K313" i="7" s="1"/>
  <c r="J120" i="14"/>
  <c r="I220" i="9" s="1"/>
  <c r="K220" i="9" s="1"/>
  <c r="J117" i="14"/>
  <c r="I211" i="9" s="1"/>
  <c r="K211" i="9" s="1"/>
  <c r="J114" i="14"/>
  <c r="J111" i="14"/>
  <c r="H82" i="7" s="1"/>
  <c r="I82" i="7" s="1"/>
  <c r="J108" i="14"/>
  <c r="J105" i="14"/>
  <c r="I215" i="9" s="1"/>
  <c r="K215" i="9" s="1"/>
  <c r="J102" i="14"/>
  <c r="J99" i="14"/>
  <c r="H142" i="5" s="1"/>
  <c r="I142" i="5" s="1"/>
  <c r="J96" i="14"/>
  <c r="I434" i="3" s="1"/>
  <c r="K434" i="3" s="1"/>
  <c r="J93" i="14"/>
  <c r="I221" i="9" s="1"/>
  <c r="K221" i="9" s="1"/>
  <c r="J90" i="14"/>
  <c r="H350" i="2" s="1"/>
  <c r="I350" i="2" s="1"/>
  <c r="K350" i="2" s="1"/>
  <c r="J87" i="14"/>
  <c r="H139" i="3" s="1"/>
  <c r="I139" i="3" s="1"/>
  <c r="K139" i="3" s="1"/>
  <c r="J84" i="14"/>
  <c r="H77" i="9" s="1"/>
  <c r="J81" i="14"/>
  <c r="H334" i="2" s="1"/>
  <c r="I334" i="2" s="1"/>
  <c r="K334" i="2" s="1"/>
  <c r="J78" i="14"/>
  <c r="H333" i="2" s="1"/>
  <c r="I333" i="2" s="1"/>
  <c r="J75" i="14"/>
  <c r="H337" i="2" s="1"/>
  <c r="I337" i="2" s="1"/>
  <c r="K337" i="2" s="1"/>
  <c r="J72" i="14"/>
  <c r="H323" i="2" s="1"/>
  <c r="I323" i="2" s="1"/>
  <c r="K323" i="2" s="1"/>
  <c r="J69" i="14"/>
  <c r="H349" i="2" s="1"/>
  <c r="I349" i="2" s="1"/>
  <c r="K349" i="2" s="1"/>
  <c r="J66" i="14"/>
  <c r="H243" i="6" s="1"/>
  <c r="I243" i="6" s="1"/>
  <c r="K243" i="6" s="1"/>
  <c r="J63" i="14"/>
  <c r="H332" i="2" s="1"/>
  <c r="I332" i="2" s="1"/>
  <c r="K332" i="2" s="1"/>
  <c r="J60" i="14"/>
  <c r="I214" i="9" s="1"/>
  <c r="K214" i="9" s="1"/>
  <c r="J57" i="14"/>
  <c r="I219" i="9" s="1"/>
  <c r="K219" i="9" s="1"/>
  <c r="J54" i="14"/>
  <c r="H335" i="2" s="1"/>
  <c r="I335" i="2" s="1"/>
  <c r="K335" i="2" s="1"/>
  <c r="J51" i="14"/>
  <c r="H82" i="9" s="1"/>
  <c r="I82" i="9" s="1"/>
  <c r="J48" i="14"/>
  <c r="H155" i="3" s="1"/>
  <c r="I155" i="3" s="1"/>
  <c r="K155" i="3" s="1"/>
  <c r="J45" i="14"/>
  <c r="I218" i="9" s="1"/>
  <c r="K218" i="9" s="1"/>
  <c r="J42" i="14"/>
  <c r="H95" i="9" s="1"/>
  <c r="I95" i="9" s="1"/>
  <c r="J39" i="14"/>
  <c r="H73" i="9" s="1"/>
  <c r="J36" i="14"/>
  <c r="H312" i="4" s="1"/>
  <c r="I312" i="4" s="1"/>
  <c r="J33" i="14"/>
  <c r="H132" i="5" s="1"/>
  <c r="I132" i="5" s="1"/>
  <c r="J30" i="14"/>
  <c r="H338" i="2" s="1"/>
  <c r="I338" i="2" s="1"/>
  <c r="J27" i="14"/>
  <c r="H91" i="9" s="1"/>
  <c r="I91" i="9" s="1"/>
  <c r="J24" i="14"/>
  <c r="H133" i="5" s="1"/>
  <c r="I133" i="5" s="1"/>
  <c r="J21" i="14"/>
  <c r="H136" i="5" s="1"/>
  <c r="I136" i="5" s="1"/>
  <c r="J18" i="14"/>
  <c r="I213" i="9" s="1"/>
  <c r="K213" i="9" s="1"/>
  <c r="J15" i="14"/>
  <c r="H78" i="7" s="1"/>
  <c r="I78" i="7" s="1"/>
  <c r="J12" i="14"/>
  <c r="I312" i="7" s="1"/>
  <c r="K312" i="7" s="1"/>
  <c r="J6" i="14"/>
  <c r="I217" i="9" s="1"/>
  <c r="K217" i="9" s="1"/>
  <c r="I299" i="4"/>
  <c r="K299" i="4" s="1"/>
  <c r="J291" i="4"/>
  <c r="K281" i="4"/>
  <c r="K288" i="4" s="1"/>
  <c r="I273" i="4"/>
  <c r="K273" i="4" s="1"/>
  <c r="K259" i="4"/>
  <c r="K262" i="4" s="1"/>
  <c r="I251" i="4"/>
  <c r="K251" i="4" s="1"/>
  <c r="K237" i="4"/>
  <c r="J237" i="4" s="1"/>
  <c r="J238" i="4" s="1"/>
  <c r="K238" i="4" s="1"/>
  <c r="J239" i="4" s="1"/>
  <c r="K239" i="4" s="1"/>
  <c r="I229" i="4"/>
  <c r="K229" i="4" s="1"/>
  <c r="J221" i="4"/>
  <c r="K215" i="4"/>
  <c r="I208" i="4"/>
  <c r="K190" i="4"/>
  <c r="J190" i="4" s="1"/>
  <c r="J193" i="4" s="1"/>
  <c r="K193" i="4" s="1"/>
  <c r="I183" i="4"/>
  <c r="K183" i="4" s="1"/>
  <c r="J175" i="4"/>
  <c r="K169" i="4"/>
  <c r="K172" i="4" s="1"/>
  <c r="K144" i="4"/>
  <c r="J144" i="4" s="1"/>
  <c r="I162" i="4"/>
  <c r="K162" i="4" s="1"/>
  <c r="I137" i="4"/>
  <c r="K137" i="4" s="1"/>
  <c r="K123" i="4"/>
  <c r="J123" i="4" s="1"/>
  <c r="J124" i="4" s="1"/>
  <c r="K124" i="4" s="1"/>
  <c r="J125" i="4" s="1"/>
  <c r="K125" i="4" s="1"/>
  <c r="I115" i="4"/>
  <c r="K115" i="4" s="1"/>
  <c r="J107" i="4"/>
  <c r="K104" i="4"/>
  <c r="K105" i="4" s="1"/>
  <c r="K79" i="4"/>
  <c r="K58" i="4"/>
  <c r="K40" i="4"/>
  <c r="K232" i="3"/>
  <c r="K231" i="3"/>
  <c r="G416" i="3"/>
  <c r="K416" i="3" s="1"/>
  <c r="I417" i="3" s="1"/>
  <c r="G411" i="3"/>
  <c r="G403" i="3"/>
  <c r="G401" i="3"/>
  <c r="G399" i="3"/>
  <c r="H6" i="3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3" i="15"/>
  <c r="D2" i="15"/>
  <c r="N48" i="14"/>
  <c r="D11" i="13"/>
  <c r="D8" i="13"/>
  <c r="D15" i="13" s="1"/>
  <c r="H324" i="7" s="1"/>
  <c r="C12" i="12"/>
  <c r="C13" i="12" s="1"/>
  <c r="C11" i="12"/>
  <c r="C7" i="12"/>
  <c r="D20" i="11"/>
  <c r="D19" i="11"/>
  <c r="D18" i="11"/>
  <c r="D17" i="11"/>
  <c r="D16" i="11"/>
  <c r="D13" i="11"/>
  <c r="J187" i="6" s="1"/>
  <c r="I222" i="9"/>
  <c r="K222" i="9" s="1"/>
  <c r="G195" i="9"/>
  <c r="K195" i="9" s="1"/>
  <c r="I196" i="9" s="1"/>
  <c r="I115" i="9" s="1"/>
  <c r="G190" i="9"/>
  <c r="G188" i="9"/>
  <c r="G189" i="9" s="1"/>
  <c r="G186" i="9"/>
  <c r="I184" i="9"/>
  <c r="K184" i="9" s="1"/>
  <c r="G179" i="9"/>
  <c r="G177" i="9"/>
  <c r="G175" i="9"/>
  <c r="I168" i="9"/>
  <c r="G168" i="9"/>
  <c r="K158" i="9"/>
  <c r="I156" i="9"/>
  <c r="K156" i="9" s="1"/>
  <c r="I145" i="9"/>
  <c r="I143" i="9"/>
  <c r="G143" i="9"/>
  <c r="I140" i="9"/>
  <c r="I141" i="9" s="1"/>
  <c r="I142" i="9" s="1"/>
  <c r="K142" i="9" s="1"/>
  <c r="I138" i="9"/>
  <c r="K138" i="9" s="1"/>
  <c r="G132" i="9"/>
  <c r="I131" i="9"/>
  <c r="K131" i="9" s="1"/>
  <c r="I132" i="9" s="1"/>
  <c r="K132" i="9" s="1"/>
  <c r="G128" i="9"/>
  <c r="K128" i="9" s="1"/>
  <c r="I126" i="9"/>
  <c r="K126" i="9" s="1"/>
  <c r="I127" i="9" s="1"/>
  <c r="K127" i="9" s="1"/>
  <c r="K133" i="9" s="1"/>
  <c r="I134" i="9" s="1"/>
  <c r="K123" i="9"/>
  <c r="H92" i="9"/>
  <c r="I92" i="9" s="1"/>
  <c r="H80" i="9"/>
  <c r="H79" i="9"/>
  <c r="H78" i="9"/>
  <c r="I78" i="9" s="1"/>
  <c r="K78" i="9" s="1"/>
  <c r="H75" i="9"/>
  <c r="I75" i="9" s="1"/>
  <c r="K61" i="9"/>
  <c r="H60" i="9"/>
  <c r="K59" i="9"/>
  <c r="J53" i="9"/>
  <c r="H48" i="9"/>
  <c r="K47" i="9"/>
  <c r="J47" i="9" s="1"/>
  <c r="J48" i="9" s="1"/>
  <c r="K48" i="9" s="1"/>
  <c r="K40" i="9"/>
  <c r="K39" i="9"/>
  <c r="H38" i="9"/>
  <c r="K37" i="9"/>
  <c r="H26" i="9"/>
  <c r="K25" i="9"/>
  <c r="J25" i="9" s="1"/>
  <c r="J26" i="9" s="1"/>
  <c r="H12" i="9"/>
  <c r="H9" i="9"/>
  <c r="H6" i="9"/>
  <c r="G83" i="8"/>
  <c r="I80" i="8" s="1"/>
  <c r="K62" i="8"/>
  <c r="K10" i="8" s="1"/>
  <c r="K34" i="8"/>
  <c r="H33" i="8"/>
  <c r="K32" i="8"/>
  <c r="H9" i="8"/>
  <c r="H8" i="8" s="1"/>
  <c r="H6" i="8"/>
  <c r="K311" i="7"/>
  <c r="I311" i="7"/>
  <c r="I308" i="7"/>
  <c r="K308" i="7" s="1"/>
  <c r="I304" i="7"/>
  <c r="K304" i="7" s="1"/>
  <c r="G291" i="7"/>
  <c r="K291" i="7" s="1"/>
  <c r="I292" i="7" s="1"/>
  <c r="G286" i="7"/>
  <c r="G284" i="7"/>
  <c r="G285" i="7" s="1"/>
  <c r="G282" i="7"/>
  <c r="G275" i="7"/>
  <c r="G273" i="7"/>
  <c r="I272" i="7"/>
  <c r="K272" i="7" s="1"/>
  <c r="I273" i="7" s="1"/>
  <c r="K273" i="7" s="1"/>
  <c r="G271" i="7"/>
  <c r="G269" i="7"/>
  <c r="K263" i="7"/>
  <c r="K122" i="7" s="1"/>
  <c r="I262" i="7"/>
  <c r="K262" i="7" s="1"/>
  <c r="I263" i="7" s="1"/>
  <c r="I122" i="7" s="1"/>
  <c r="G262" i="7"/>
  <c r="I254" i="7"/>
  <c r="K254" i="7" s="1"/>
  <c r="K252" i="7"/>
  <c r="K251" i="7"/>
  <c r="I242" i="7"/>
  <c r="I240" i="7"/>
  <c r="K240" i="7" s="1"/>
  <c r="G240" i="7"/>
  <c r="G229" i="7"/>
  <c r="I228" i="7"/>
  <c r="K228" i="7" s="1"/>
  <c r="I229" i="7" s="1"/>
  <c r="G225" i="7"/>
  <c r="K225" i="7" s="1"/>
  <c r="G224" i="7"/>
  <c r="I220" i="7"/>
  <c r="I237" i="7" s="1"/>
  <c r="G202" i="7"/>
  <c r="G201" i="7"/>
  <c r="G198" i="7"/>
  <c r="I188" i="7"/>
  <c r="I178" i="7"/>
  <c r="G175" i="7"/>
  <c r="I166" i="7"/>
  <c r="K166" i="7" s="1"/>
  <c r="G159" i="7"/>
  <c r="G166" i="7" s="1"/>
  <c r="G167" i="7" s="1"/>
  <c r="K167" i="7" s="1"/>
  <c r="I155" i="7"/>
  <c r="I150" i="7"/>
  <c r="I148" i="7"/>
  <c r="K148" i="7" s="1"/>
  <c r="G148" i="7"/>
  <c r="G153" i="7" s="1"/>
  <c r="G144" i="7"/>
  <c r="G142" i="7"/>
  <c r="I141" i="7"/>
  <c r="K141" i="7" s="1"/>
  <c r="I142" i="7" s="1"/>
  <c r="K142" i="7" s="1"/>
  <c r="I138" i="7"/>
  <c r="I153" i="7" s="1"/>
  <c r="G138" i="7"/>
  <c r="K138" i="7" s="1"/>
  <c r="G137" i="7"/>
  <c r="K136" i="7"/>
  <c r="I151" i="7" s="1"/>
  <c r="I152" i="7" s="1"/>
  <c r="K152" i="7" s="1"/>
  <c r="I136" i="7"/>
  <c r="K133" i="7"/>
  <c r="G133" i="7"/>
  <c r="H94" i="7"/>
  <c r="I94" i="7" s="1"/>
  <c r="H81" i="7"/>
  <c r="I81" i="7" s="1"/>
  <c r="H80" i="7"/>
  <c r="I80" i="7" s="1"/>
  <c r="I66" i="7"/>
  <c r="G101" i="7" s="1"/>
  <c r="H11" i="7" s="1"/>
  <c r="K63" i="7"/>
  <c r="H62" i="7"/>
  <c r="K61" i="7"/>
  <c r="J55" i="7"/>
  <c r="H50" i="7"/>
  <c r="K49" i="7"/>
  <c r="J49" i="7" s="1"/>
  <c r="J50" i="7" s="1"/>
  <c r="I45" i="7"/>
  <c r="G88" i="7" s="1"/>
  <c r="H10" i="7" s="1"/>
  <c r="K42" i="7"/>
  <c r="K41" i="7"/>
  <c r="H40" i="7"/>
  <c r="K39" i="7"/>
  <c r="H28" i="7"/>
  <c r="K27" i="7"/>
  <c r="H12" i="7"/>
  <c r="H6" i="7"/>
  <c r="G392" i="6"/>
  <c r="I391" i="6" s="1"/>
  <c r="I389" i="6"/>
  <c r="I388" i="6"/>
  <c r="K370" i="6"/>
  <c r="I357" i="6"/>
  <c r="G357" i="6"/>
  <c r="K354" i="6"/>
  <c r="G354" i="6"/>
  <c r="G343" i="6"/>
  <c r="G346" i="6" s="1"/>
  <c r="G334" i="6"/>
  <c r="G333" i="6"/>
  <c r="K329" i="6"/>
  <c r="G329" i="6"/>
  <c r="G330" i="6" s="1"/>
  <c r="K330" i="6" s="1"/>
  <c r="I315" i="6"/>
  <c r="K315" i="6" s="1"/>
  <c r="K222" i="6"/>
  <c r="K221" i="6"/>
  <c r="H220" i="6"/>
  <c r="K220" i="6" s="1"/>
  <c r="K219" i="6"/>
  <c r="K210" i="6"/>
  <c r="H207" i="6"/>
  <c r="H208" i="6" s="1"/>
  <c r="H206" i="6"/>
  <c r="H204" i="6"/>
  <c r="H205" i="6" s="1"/>
  <c r="J203" i="6"/>
  <c r="J206" i="6" s="1"/>
  <c r="K196" i="6"/>
  <c r="K194" i="6"/>
  <c r="H194" i="6"/>
  <c r="K193" i="6"/>
  <c r="K184" i="6"/>
  <c r="H182" i="6"/>
  <c r="J181" i="6"/>
  <c r="J182" i="6" s="1"/>
  <c r="K182" i="6" s="1"/>
  <c r="J183" i="6" s="1"/>
  <c r="K183" i="6" s="1"/>
  <c r="K174" i="6"/>
  <c r="H172" i="6"/>
  <c r="K171" i="6"/>
  <c r="K152" i="6"/>
  <c r="H150" i="6"/>
  <c r="K149" i="6"/>
  <c r="K130" i="6"/>
  <c r="H129" i="6"/>
  <c r="K128" i="6"/>
  <c r="H108" i="6"/>
  <c r="K107" i="6"/>
  <c r="K88" i="6"/>
  <c r="H86" i="6"/>
  <c r="K86" i="6" s="1"/>
  <c r="K85" i="6"/>
  <c r="K69" i="6"/>
  <c r="H68" i="6"/>
  <c r="K67" i="6"/>
  <c r="K58" i="6"/>
  <c r="K48" i="6"/>
  <c r="H47" i="6"/>
  <c r="K47" i="6" s="1"/>
  <c r="K46" i="6"/>
  <c r="K38" i="6"/>
  <c r="H22" i="6"/>
  <c r="H20" i="6"/>
  <c r="H18" i="6"/>
  <c r="H17" i="6"/>
  <c r="H16" i="6" s="1"/>
  <c r="H6" i="6"/>
  <c r="K465" i="5"/>
  <c r="I465" i="5"/>
  <c r="I462" i="5"/>
  <c r="K462" i="5" s="1"/>
  <c r="I458" i="5"/>
  <c r="K458" i="5" s="1"/>
  <c r="I438" i="5"/>
  <c r="I439" i="5" s="1"/>
  <c r="I440" i="5" s="1"/>
  <c r="K440" i="5" s="1"/>
  <c r="I441" i="5" s="1"/>
  <c r="I436" i="5"/>
  <c r="G436" i="5"/>
  <c r="G441" i="5" s="1"/>
  <c r="G432" i="5"/>
  <c r="G431" i="5"/>
  <c r="K430" i="5"/>
  <c r="I431" i="5" s="1"/>
  <c r="K431" i="5" s="1"/>
  <c r="I432" i="5" s="1"/>
  <c r="I430" i="5"/>
  <c r="K427" i="5"/>
  <c r="I445" i="5" s="1"/>
  <c r="K445" i="5" s="1"/>
  <c r="I446" i="5" s="1"/>
  <c r="K446" i="5" s="1"/>
  <c r="G417" i="5"/>
  <c r="K417" i="5" s="1"/>
  <c r="I418" i="5" s="1"/>
  <c r="I189" i="5" s="1"/>
  <c r="G412" i="5"/>
  <c r="G411" i="5"/>
  <c r="G404" i="5"/>
  <c r="I403" i="5"/>
  <c r="K403" i="5" s="1"/>
  <c r="I404" i="5" s="1"/>
  <c r="G402" i="5"/>
  <c r="G400" i="5"/>
  <c r="I394" i="5"/>
  <c r="K394" i="5" s="1"/>
  <c r="I395" i="5" s="1"/>
  <c r="G394" i="5"/>
  <c r="I385" i="5"/>
  <c r="K385" i="5" s="1"/>
  <c r="K384" i="5"/>
  <c r="I383" i="5"/>
  <c r="K383" i="5" s="1"/>
  <c r="I376" i="5"/>
  <c r="I374" i="5"/>
  <c r="K374" i="5" s="1"/>
  <c r="G369" i="5"/>
  <c r="I368" i="5"/>
  <c r="K368" i="5" s="1"/>
  <c r="I369" i="5" s="1"/>
  <c r="K369" i="5" s="1"/>
  <c r="I370" i="5" s="1"/>
  <c r="K365" i="5"/>
  <c r="G355" i="5"/>
  <c r="K355" i="5" s="1"/>
  <c r="I356" i="5" s="1"/>
  <c r="G350" i="5"/>
  <c r="G349" i="5"/>
  <c r="G348" i="5"/>
  <c r="G346" i="5"/>
  <c r="G339" i="5"/>
  <c r="G337" i="5"/>
  <c r="I336" i="5"/>
  <c r="K337" i="5" s="1"/>
  <c r="G335" i="5"/>
  <c r="G333" i="5"/>
  <c r="I327" i="5"/>
  <c r="G327" i="5"/>
  <c r="I319" i="5"/>
  <c r="K319" i="5" s="1"/>
  <c r="K317" i="5"/>
  <c r="I316" i="5"/>
  <c r="K316" i="5" s="1"/>
  <c r="G295" i="5"/>
  <c r="G290" i="5"/>
  <c r="I286" i="5"/>
  <c r="I301" i="5" s="1"/>
  <c r="K301" i="5" s="1"/>
  <c r="G272" i="5"/>
  <c r="K272" i="5" s="1"/>
  <c r="I273" i="5" s="1"/>
  <c r="G267" i="5"/>
  <c r="G265" i="5"/>
  <c r="G266" i="5" s="1"/>
  <c r="I263" i="5"/>
  <c r="K263" i="5" s="1"/>
  <c r="G263" i="5"/>
  <c r="I261" i="5"/>
  <c r="K261" i="5" s="1"/>
  <c r="G256" i="5"/>
  <c r="G254" i="5"/>
  <c r="I253" i="5"/>
  <c r="K254" i="5" s="1"/>
  <c r="I254" i="5" s="1"/>
  <c r="G253" i="5" s="1"/>
  <c r="K253" i="5" s="1"/>
  <c r="G252" i="5"/>
  <c r="G250" i="5"/>
  <c r="I249" i="5"/>
  <c r="K249" i="5" s="1"/>
  <c r="I250" i="5" s="1"/>
  <c r="K250" i="5" s="1"/>
  <c r="I243" i="5"/>
  <c r="G243" i="5"/>
  <c r="K243" i="5" s="1"/>
  <c r="I244" i="5" s="1"/>
  <c r="I235" i="5"/>
  <c r="I232" i="5"/>
  <c r="K232" i="5" s="1"/>
  <c r="I222" i="5"/>
  <c r="I220" i="5"/>
  <c r="I217" i="5"/>
  <c r="I215" i="5"/>
  <c r="G215" i="5"/>
  <c r="G226" i="5" s="1"/>
  <c r="G232" i="5" s="1"/>
  <c r="G233" i="5" s="1"/>
  <c r="K233" i="5" s="1"/>
  <c r="G211" i="5"/>
  <c r="G209" i="5"/>
  <c r="I208" i="5"/>
  <c r="K208" i="5" s="1"/>
  <c r="I209" i="5" s="1"/>
  <c r="K209" i="5" s="1"/>
  <c r="K205" i="5"/>
  <c r="G205" i="5"/>
  <c r="G220" i="5" s="1"/>
  <c r="G204" i="5"/>
  <c r="I203" i="5"/>
  <c r="K203" i="5" s="1"/>
  <c r="I204" i="5" s="1"/>
  <c r="K204" i="5" s="1"/>
  <c r="K200" i="5"/>
  <c r="H151" i="5"/>
  <c r="I151" i="5" s="1"/>
  <c r="H150" i="5"/>
  <c r="I150" i="5" s="1"/>
  <c r="H149" i="5"/>
  <c r="I149" i="5" s="1"/>
  <c r="G144" i="5"/>
  <c r="H140" i="5"/>
  <c r="I140" i="5" s="1"/>
  <c r="K140" i="5" s="1"/>
  <c r="H138" i="5"/>
  <c r="I138" i="5" s="1"/>
  <c r="H137" i="5"/>
  <c r="I137" i="5" s="1"/>
  <c r="H118" i="5"/>
  <c r="K117" i="5"/>
  <c r="K101" i="5"/>
  <c r="K94" i="5"/>
  <c r="H93" i="5"/>
  <c r="K92" i="5"/>
  <c r="H81" i="5"/>
  <c r="K80" i="5"/>
  <c r="K73" i="5"/>
  <c r="K72" i="5"/>
  <c r="H71" i="5"/>
  <c r="K70" i="5"/>
  <c r="H59" i="5"/>
  <c r="H56" i="5"/>
  <c r="K54" i="5"/>
  <c r="I50" i="5"/>
  <c r="K47" i="5"/>
  <c r="K46" i="5"/>
  <c r="H45" i="5"/>
  <c r="K44" i="5"/>
  <c r="K32" i="5"/>
  <c r="H14" i="5"/>
  <c r="H13" i="5"/>
  <c r="H12" i="5"/>
  <c r="H6" i="5"/>
  <c r="G470" i="4"/>
  <c r="I469" i="4" s="1"/>
  <c r="I468" i="4"/>
  <c r="I467" i="4"/>
  <c r="J31" i="4" s="1"/>
  <c r="J32" i="4" s="1"/>
  <c r="K448" i="4"/>
  <c r="I435" i="4"/>
  <c r="G412" i="4"/>
  <c r="G411" i="4"/>
  <c r="G408" i="4"/>
  <c r="K408" i="4" s="1"/>
  <c r="G407" i="4"/>
  <c r="K407" i="4" s="1"/>
  <c r="K395" i="4"/>
  <c r="I378" i="4"/>
  <c r="K378" i="4" s="1"/>
  <c r="I379" i="4" s="1"/>
  <c r="K379" i="4" s="1"/>
  <c r="I377" i="4"/>
  <c r="K375" i="4"/>
  <c r="K300" i="4"/>
  <c r="H298" i="4"/>
  <c r="K297" i="4"/>
  <c r="H285" i="4"/>
  <c r="H286" i="4" s="1"/>
  <c r="H284" i="4"/>
  <c r="H282" i="4"/>
  <c r="H283" i="4" s="1"/>
  <c r="K274" i="4"/>
  <c r="H272" i="4"/>
  <c r="K271" i="4"/>
  <c r="H260" i="4"/>
  <c r="K252" i="4"/>
  <c r="H250" i="4"/>
  <c r="K249" i="4"/>
  <c r="K230" i="4"/>
  <c r="H228" i="4"/>
  <c r="K227" i="4"/>
  <c r="K208" i="4"/>
  <c r="H207" i="4"/>
  <c r="K206" i="4"/>
  <c r="H194" i="4"/>
  <c r="H195" i="4" s="1"/>
  <c r="H182" i="4"/>
  <c r="K181" i="4"/>
  <c r="H161" i="4"/>
  <c r="K160" i="4"/>
  <c r="K151" i="4"/>
  <c r="H148" i="4"/>
  <c r="H147" i="4" s="1"/>
  <c r="H136" i="4"/>
  <c r="K135" i="4"/>
  <c r="K116" i="4"/>
  <c r="H114" i="4"/>
  <c r="K114" i="4" s="1"/>
  <c r="K113" i="4"/>
  <c r="K97" i="4"/>
  <c r="H96" i="4"/>
  <c r="K95" i="4"/>
  <c r="H83" i="4"/>
  <c r="H82" i="4" s="1"/>
  <c r="H80" i="4"/>
  <c r="H81" i="4" s="1"/>
  <c r="K72" i="4"/>
  <c r="H71" i="4"/>
  <c r="K70" i="4"/>
  <c r="K51" i="4"/>
  <c r="H50" i="4"/>
  <c r="K49" i="4"/>
  <c r="H23" i="4"/>
  <c r="H21" i="4"/>
  <c r="H20" i="4"/>
  <c r="H6" i="4"/>
  <c r="H446" i="3"/>
  <c r="I430" i="3"/>
  <c r="K430" i="3" s="1"/>
  <c r="I428" i="3"/>
  <c r="K428" i="3" s="1"/>
  <c r="G410" i="3"/>
  <c r="I408" i="3"/>
  <c r="K408" i="3" s="1"/>
  <c r="I410" i="3" s="1"/>
  <c r="K402" i="3"/>
  <c r="I403" i="3" s="1"/>
  <c r="K400" i="3"/>
  <c r="I401" i="3" s="1"/>
  <c r="K398" i="3"/>
  <c r="I399" i="3" s="1"/>
  <c r="I393" i="3"/>
  <c r="G393" i="3"/>
  <c r="K393" i="3" s="1"/>
  <c r="I394" i="3" s="1"/>
  <c r="I384" i="3"/>
  <c r="K384" i="3" s="1"/>
  <c r="K383" i="3"/>
  <c r="I382" i="3"/>
  <c r="K382" i="3" s="1"/>
  <c r="I375" i="3"/>
  <c r="I373" i="3"/>
  <c r="K373" i="3" s="1"/>
  <c r="G368" i="3"/>
  <c r="I367" i="3"/>
  <c r="K367" i="3" s="1"/>
  <c r="I368" i="3" s="1"/>
  <c r="K364" i="3"/>
  <c r="G353" i="3"/>
  <c r="K353" i="3" s="1"/>
  <c r="I354" i="3" s="1"/>
  <c r="I181" i="3" s="1"/>
  <c r="G348" i="3"/>
  <c r="G347" i="3"/>
  <c r="G344" i="3"/>
  <c r="I342" i="3"/>
  <c r="K342" i="3" s="1"/>
  <c r="G338" i="3"/>
  <c r="G349" i="3" s="1"/>
  <c r="G354" i="3" s="1"/>
  <c r="G337" i="3"/>
  <c r="G335" i="3"/>
  <c r="G333" i="3"/>
  <c r="G331" i="3"/>
  <c r="I325" i="3"/>
  <c r="G325" i="3"/>
  <c r="I317" i="3"/>
  <c r="G293" i="3"/>
  <c r="G288" i="3"/>
  <c r="I287" i="3"/>
  <c r="K287" i="3" s="1"/>
  <c r="I288" i="3" s="1"/>
  <c r="I284" i="3"/>
  <c r="I314" i="3" s="1"/>
  <c r="G284" i="3"/>
  <c r="G299" i="3" s="1"/>
  <c r="G270" i="3"/>
  <c r="K270" i="3" s="1"/>
  <c r="I271" i="3" s="1"/>
  <c r="G265" i="3"/>
  <c r="G264" i="3"/>
  <c r="G261" i="3"/>
  <c r="G254" i="3"/>
  <c r="G252" i="3"/>
  <c r="G250" i="3"/>
  <c r="G248" i="3"/>
  <c r="I241" i="3"/>
  <c r="G241" i="3"/>
  <c r="I233" i="3"/>
  <c r="K233" i="3" s="1"/>
  <c r="G206" i="3"/>
  <c r="G201" i="3"/>
  <c r="K197" i="3"/>
  <c r="I197" i="3"/>
  <c r="I214" i="3" s="1"/>
  <c r="H153" i="3"/>
  <c r="I153" i="3" s="1"/>
  <c r="K153" i="3" s="1"/>
  <c r="H150" i="3"/>
  <c r="I150" i="3" s="1"/>
  <c r="K150" i="3" s="1"/>
  <c r="G144" i="3"/>
  <c r="H140" i="3"/>
  <c r="I140" i="3" s="1"/>
  <c r="K140" i="3" s="1"/>
  <c r="H138" i="3"/>
  <c r="I138" i="3" s="1"/>
  <c r="K138" i="3" s="1"/>
  <c r="H137" i="3"/>
  <c r="I137" i="3" s="1"/>
  <c r="K137" i="3" s="1"/>
  <c r="H136" i="3"/>
  <c r="I136" i="3" s="1"/>
  <c r="K136" i="3" s="1"/>
  <c r="H134" i="3"/>
  <c r="I134" i="3" s="1"/>
  <c r="K134" i="3" s="1"/>
  <c r="K118" i="3"/>
  <c r="H117" i="3"/>
  <c r="K116" i="3"/>
  <c r="H104" i="3"/>
  <c r="H105" i="3" s="1"/>
  <c r="H102" i="3"/>
  <c r="K100" i="3"/>
  <c r="I96" i="3"/>
  <c r="K93" i="3"/>
  <c r="H92" i="3"/>
  <c r="K91" i="3"/>
  <c r="J85" i="3"/>
  <c r="H80" i="3"/>
  <c r="K79" i="3"/>
  <c r="K82" i="3" s="1"/>
  <c r="I75" i="3"/>
  <c r="K72" i="3"/>
  <c r="K71" i="3"/>
  <c r="H70" i="3"/>
  <c r="K70" i="3" s="1"/>
  <c r="K69" i="3"/>
  <c r="J63" i="3"/>
  <c r="K60" i="3"/>
  <c r="H57" i="3"/>
  <c r="H54" i="3" s="1"/>
  <c r="H55" i="3" s="1"/>
  <c r="J53" i="3"/>
  <c r="J56" i="3" s="1"/>
  <c r="I49" i="3"/>
  <c r="K46" i="3"/>
  <c r="K45" i="3"/>
  <c r="H44" i="3"/>
  <c r="K43" i="3"/>
  <c r="J37" i="3"/>
  <c r="H32" i="3"/>
  <c r="K31" i="3"/>
  <c r="H14" i="3"/>
  <c r="H11" i="3"/>
  <c r="G491" i="2"/>
  <c r="K468" i="2"/>
  <c r="I450" i="2"/>
  <c r="G450" i="2"/>
  <c r="G447" i="2"/>
  <c r="K447" i="2" s="1"/>
  <c r="G437" i="2"/>
  <c r="G427" i="2"/>
  <c r="K427" i="2" s="1"/>
  <c r="G426" i="2"/>
  <c r="K426" i="2" s="1"/>
  <c r="G422" i="2"/>
  <c r="G423" i="2" s="1"/>
  <c r="K423" i="2" s="1"/>
  <c r="K412" i="2"/>
  <c r="I411" i="2"/>
  <c r="K411" i="2" s="1"/>
  <c r="K410" i="2"/>
  <c r="I408" i="2"/>
  <c r="K408" i="2" s="1"/>
  <c r="I396" i="2"/>
  <c r="K396" i="2" s="1"/>
  <c r="K390" i="2"/>
  <c r="I391" i="2" s="1"/>
  <c r="K391" i="2" s="1"/>
  <c r="I390" i="2"/>
  <c r="K387" i="2"/>
  <c r="G354" i="2"/>
  <c r="H346" i="2"/>
  <c r="I346" i="2" s="1"/>
  <c r="H321" i="2"/>
  <c r="I321" i="2" s="1"/>
  <c r="K321" i="2" s="1"/>
  <c r="H319" i="2"/>
  <c r="I319" i="2" s="1"/>
  <c r="K319" i="2" s="1"/>
  <c r="G315" i="2"/>
  <c r="K300" i="2"/>
  <c r="K299" i="2"/>
  <c r="H298" i="2"/>
  <c r="K297" i="2"/>
  <c r="H285" i="2"/>
  <c r="H286" i="2" s="1"/>
  <c r="H283" i="2"/>
  <c r="K281" i="2"/>
  <c r="K288" i="2" s="1"/>
  <c r="K274" i="2"/>
  <c r="K273" i="2"/>
  <c r="H272" i="2"/>
  <c r="K271" i="2"/>
  <c r="J265" i="2"/>
  <c r="H260" i="2"/>
  <c r="K259" i="2"/>
  <c r="J259" i="2" s="1"/>
  <c r="J260" i="2" s="1"/>
  <c r="K260" i="2" s="1"/>
  <c r="J261" i="2" s="1"/>
  <c r="K261" i="2" s="1"/>
  <c r="K252" i="2"/>
  <c r="K251" i="2"/>
  <c r="H250" i="2"/>
  <c r="K249" i="2"/>
  <c r="H238" i="2"/>
  <c r="K237" i="2"/>
  <c r="I233" i="2"/>
  <c r="K230" i="2"/>
  <c r="K229" i="2"/>
  <c r="K228" i="2"/>
  <c r="H228" i="2"/>
  <c r="K227" i="2"/>
  <c r="J221" i="2"/>
  <c r="K218" i="2"/>
  <c r="H216" i="2"/>
  <c r="J215" i="2"/>
  <c r="J216" i="2" s="1"/>
  <c r="K208" i="2"/>
  <c r="H207" i="2"/>
  <c r="K206" i="2"/>
  <c r="H194" i="2"/>
  <c r="H195" i="2" s="1"/>
  <c r="K190" i="2"/>
  <c r="K197" i="2" s="1"/>
  <c r="K183" i="2"/>
  <c r="H182" i="2"/>
  <c r="K182" i="2" s="1"/>
  <c r="K184" i="2" s="1"/>
  <c r="K181" i="2"/>
  <c r="J175" i="2"/>
  <c r="K172" i="2"/>
  <c r="H170" i="2"/>
  <c r="J169" i="2"/>
  <c r="J170" i="2" s="1"/>
  <c r="K170" i="2" s="1"/>
  <c r="J171" i="2" s="1"/>
  <c r="K171" i="2" s="1"/>
  <c r="K162" i="2"/>
  <c r="H161" i="2"/>
  <c r="K161" i="2" s="1"/>
  <c r="K160" i="2"/>
  <c r="K151" i="2"/>
  <c r="H148" i="2"/>
  <c r="H149" i="2" s="1"/>
  <c r="H147" i="2"/>
  <c r="J144" i="2"/>
  <c r="J149" i="2" s="1"/>
  <c r="K149" i="2" s="1"/>
  <c r="K137" i="2"/>
  <c r="H136" i="2"/>
  <c r="K136" i="2" s="1"/>
  <c r="K135" i="2"/>
  <c r="J129" i="2"/>
  <c r="H124" i="2"/>
  <c r="K123" i="2"/>
  <c r="J123" i="2" s="1"/>
  <c r="J124" i="2" s="1"/>
  <c r="I119" i="2"/>
  <c r="K116" i="2"/>
  <c r="K115" i="2"/>
  <c r="K114" i="2"/>
  <c r="H114" i="2"/>
  <c r="K113" i="2"/>
  <c r="J107" i="2"/>
  <c r="K107" i="2" s="1"/>
  <c r="K104" i="2"/>
  <c r="K105" i="2" s="1"/>
  <c r="K97" i="2"/>
  <c r="H96" i="2"/>
  <c r="K95" i="2"/>
  <c r="H83" i="2"/>
  <c r="H82" i="2" s="1"/>
  <c r="H80" i="2"/>
  <c r="H81" i="2" s="1"/>
  <c r="K79" i="2"/>
  <c r="K86" i="2" s="1"/>
  <c r="K72" i="2"/>
  <c r="H71" i="2"/>
  <c r="K70" i="2"/>
  <c r="H59" i="2"/>
  <c r="K58" i="2"/>
  <c r="K61" i="2" s="1"/>
  <c r="K51" i="2"/>
  <c r="H50" i="2"/>
  <c r="K49" i="2"/>
  <c r="K40" i="2"/>
  <c r="K41" i="2" s="1"/>
  <c r="K27" i="2"/>
  <c r="H25" i="2"/>
  <c r="H20" i="2"/>
  <c r="H19" i="2"/>
  <c r="H6" i="2"/>
  <c r="K241" i="3" l="1"/>
  <c r="I242" i="3" s="1"/>
  <c r="K242" i="3" s="1"/>
  <c r="K325" i="3"/>
  <c r="I326" i="3" s="1"/>
  <c r="K411" i="4"/>
  <c r="K412" i="4"/>
  <c r="I186" i="5"/>
  <c r="K395" i="5"/>
  <c r="K186" i="5" s="1"/>
  <c r="K273" i="5"/>
  <c r="I173" i="5"/>
  <c r="I413" i="4"/>
  <c r="K413" i="4" s="1"/>
  <c r="H313" i="4"/>
  <c r="I313" i="4" s="1"/>
  <c r="H336" i="4"/>
  <c r="I336" i="4" s="1"/>
  <c r="H349" i="4"/>
  <c r="I349" i="4" s="1"/>
  <c r="H358" i="4"/>
  <c r="I358" i="4" s="1"/>
  <c r="K358" i="4" s="1"/>
  <c r="J79" i="6"/>
  <c r="H244" i="6"/>
  <c r="I244" i="6" s="1"/>
  <c r="K244" i="6" s="1"/>
  <c r="H260" i="6"/>
  <c r="I260" i="6" s="1"/>
  <c r="K260" i="6" s="1"/>
  <c r="H268" i="6"/>
  <c r="I268" i="6" s="1"/>
  <c r="H280" i="6"/>
  <c r="I280" i="6" s="1"/>
  <c r="K280" i="6" s="1"/>
  <c r="I243" i="7"/>
  <c r="I244" i="7" s="1"/>
  <c r="K244" i="7" s="1"/>
  <c r="J146" i="2"/>
  <c r="K146" i="2" s="1"/>
  <c r="H84" i="4"/>
  <c r="I218" i="5"/>
  <c r="I219" i="5" s="1"/>
  <c r="K219" i="5" s="1"/>
  <c r="K75" i="9"/>
  <c r="H319" i="4"/>
  <c r="I319" i="4" s="1"/>
  <c r="K319" i="4" s="1"/>
  <c r="H337" i="4"/>
  <c r="I337" i="4" s="1"/>
  <c r="K337" i="4" s="1"/>
  <c r="H350" i="4"/>
  <c r="I350" i="4" s="1"/>
  <c r="H359" i="4"/>
  <c r="I359" i="4" s="1"/>
  <c r="K359" i="4" s="1"/>
  <c r="J143" i="6"/>
  <c r="H245" i="6"/>
  <c r="I245" i="6" s="1"/>
  <c r="K245" i="6" s="1"/>
  <c r="H255" i="6"/>
  <c r="I255" i="6" s="1"/>
  <c r="K255" i="6" s="1"/>
  <c r="H269" i="6"/>
  <c r="I269" i="6" s="1"/>
  <c r="K269" i="6" s="1"/>
  <c r="H281" i="6"/>
  <c r="I281" i="6" s="1"/>
  <c r="I300" i="6"/>
  <c r="K300" i="6" s="1"/>
  <c r="I301" i="6" s="1"/>
  <c r="K301" i="6" s="1"/>
  <c r="I302" i="6" s="1"/>
  <c r="K302" i="6" s="1"/>
  <c r="I306" i="6"/>
  <c r="I137" i="7"/>
  <c r="K229" i="7"/>
  <c r="K50" i="4"/>
  <c r="H320" i="4"/>
  <c r="I320" i="4" s="1"/>
  <c r="K320" i="4" s="1"/>
  <c r="H338" i="4"/>
  <c r="I338" i="4" s="1"/>
  <c r="H351" i="4"/>
  <c r="I351" i="4" s="1"/>
  <c r="H360" i="4"/>
  <c r="I360" i="4" s="1"/>
  <c r="K360" i="4" s="1"/>
  <c r="K363" i="4" s="1"/>
  <c r="I364" i="4" s="1"/>
  <c r="I461" i="5"/>
  <c r="K461" i="5" s="1"/>
  <c r="J213" i="6"/>
  <c r="H246" i="6"/>
  <c r="I246" i="6" s="1"/>
  <c r="K246" i="6" s="1"/>
  <c r="H256" i="6"/>
  <c r="I256" i="6" s="1"/>
  <c r="K256" i="6" s="1"/>
  <c r="H270" i="6"/>
  <c r="I270" i="6" s="1"/>
  <c r="K270" i="6" s="1"/>
  <c r="H282" i="6"/>
  <c r="I282" i="6" s="1"/>
  <c r="I77" i="9"/>
  <c r="J43" i="4"/>
  <c r="J243" i="4"/>
  <c r="H321" i="4"/>
  <c r="I321" i="4" s="1"/>
  <c r="K321" i="4" s="1"/>
  <c r="H331" i="4"/>
  <c r="I331" i="4" s="1"/>
  <c r="K331" i="4" s="1"/>
  <c r="H339" i="4"/>
  <c r="I339" i="4" s="1"/>
  <c r="H352" i="4"/>
  <c r="I352" i="4" s="1"/>
  <c r="H361" i="4"/>
  <c r="I361" i="4" s="1"/>
  <c r="K361" i="4" s="1"/>
  <c r="J101" i="6"/>
  <c r="H247" i="6"/>
  <c r="I247" i="6" s="1"/>
  <c r="K247" i="6" s="1"/>
  <c r="H257" i="6"/>
  <c r="I257" i="6" s="1"/>
  <c r="K257" i="6" s="1"/>
  <c r="H272" i="6"/>
  <c r="I272" i="6" s="1"/>
  <c r="K272" i="6" s="1"/>
  <c r="H283" i="6"/>
  <c r="I283" i="6" s="1"/>
  <c r="J26" i="8"/>
  <c r="J147" i="2"/>
  <c r="K147" i="2" s="1"/>
  <c r="J55" i="3"/>
  <c r="G289" i="3"/>
  <c r="G295" i="3" s="1"/>
  <c r="G310" i="3" s="1"/>
  <c r="G314" i="3" s="1"/>
  <c r="G315" i="3" s="1"/>
  <c r="K52" i="7"/>
  <c r="K220" i="7"/>
  <c r="H84" i="2"/>
  <c r="K450" i="2"/>
  <c r="K451" i="2" s="1"/>
  <c r="I452" i="2" s="1"/>
  <c r="I247" i="3"/>
  <c r="K247" i="3" s="1"/>
  <c r="I248" i="3" s="1"/>
  <c r="K248" i="3" s="1"/>
  <c r="I289" i="3"/>
  <c r="K289" i="3" s="1"/>
  <c r="H149" i="4"/>
  <c r="I390" i="6"/>
  <c r="J28" i="6" s="1"/>
  <c r="J29" i="6" s="1"/>
  <c r="K153" i="7"/>
  <c r="I223" i="7"/>
  <c r="K223" i="7" s="1"/>
  <c r="I224" i="7" s="1"/>
  <c r="K224" i="7" s="1"/>
  <c r="K50" i="9"/>
  <c r="K143" i="9"/>
  <c r="J64" i="4"/>
  <c r="J129" i="4"/>
  <c r="K275" i="7"/>
  <c r="H322" i="4"/>
  <c r="I322" i="4" s="1"/>
  <c r="K322" i="4" s="1"/>
  <c r="H332" i="4"/>
  <c r="I332" i="4" s="1"/>
  <c r="K332" i="4" s="1"/>
  <c r="H345" i="4"/>
  <c r="I345" i="4" s="1"/>
  <c r="K345" i="4" s="1"/>
  <c r="H362" i="4"/>
  <c r="I362" i="4" s="1"/>
  <c r="K362" i="4" s="1"/>
  <c r="J40" i="6"/>
  <c r="J165" i="6"/>
  <c r="H253" i="6"/>
  <c r="I253" i="6" s="1"/>
  <c r="K253" i="6" s="1"/>
  <c r="H258" i="6"/>
  <c r="I258" i="6" s="1"/>
  <c r="K258" i="6" s="1"/>
  <c r="H274" i="6"/>
  <c r="I274" i="6" s="1"/>
  <c r="K274" i="6" s="1"/>
  <c r="H284" i="6"/>
  <c r="I284" i="6" s="1"/>
  <c r="H48" i="8"/>
  <c r="I48" i="8" s="1"/>
  <c r="I79" i="9"/>
  <c r="K79" i="9" s="1"/>
  <c r="I184" i="7"/>
  <c r="K184" i="7" s="1"/>
  <c r="I185" i="7" s="1"/>
  <c r="K28" i="9"/>
  <c r="K71" i="4"/>
  <c r="J200" i="4"/>
  <c r="K198" i="7"/>
  <c r="H323" i="4"/>
  <c r="I323" i="4" s="1"/>
  <c r="H333" i="4"/>
  <c r="I333" i="4" s="1"/>
  <c r="K333" i="4" s="1"/>
  <c r="H346" i="4"/>
  <c r="I346" i="4" s="1"/>
  <c r="K346" i="4" s="1"/>
  <c r="H241" i="6"/>
  <c r="I241" i="6" s="1"/>
  <c r="K241" i="6" s="1"/>
  <c r="K248" i="6" s="1"/>
  <c r="I249" i="6" s="1"/>
  <c r="H234" i="6"/>
  <c r="I234" i="6" s="1"/>
  <c r="K234" i="6" s="1"/>
  <c r="K236" i="6" s="1"/>
  <c r="I17" i="6" s="1"/>
  <c r="K17" i="6" s="1"/>
  <c r="H259" i="6"/>
  <c r="I259" i="6" s="1"/>
  <c r="K259" i="6" s="1"/>
  <c r="H271" i="6"/>
  <c r="I271" i="6" s="1"/>
  <c r="K271" i="6" s="1"/>
  <c r="I332" i="6"/>
  <c r="K333" i="6" s="1"/>
  <c r="I335" i="6" s="1"/>
  <c r="K335" i="6" s="1"/>
  <c r="H49" i="8"/>
  <c r="I49" i="8" s="1"/>
  <c r="I80" i="9"/>
  <c r="K80" i="9" s="1"/>
  <c r="K262" i="2"/>
  <c r="K263" i="2" s="1"/>
  <c r="K265" i="2" s="1"/>
  <c r="H478" i="5"/>
  <c r="K297" i="6"/>
  <c r="K96" i="4"/>
  <c r="K98" i="4" s="1"/>
  <c r="J154" i="4"/>
  <c r="J265" i="4"/>
  <c r="K282" i="7"/>
  <c r="H324" i="4"/>
  <c r="I324" i="4" s="1"/>
  <c r="H334" i="4"/>
  <c r="I334" i="4" s="1"/>
  <c r="K334" i="4" s="1"/>
  <c r="H347" i="4"/>
  <c r="I347" i="4" s="1"/>
  <c r="K347" i="4" s="1"/>
  <c r="J61" i="6"/>
  <c r="K61" i="6" s="1"/>
  <c r="J122" i="6"/>
  <c r="H242" i="6"/>
  <c r="I242" i="6" s="1"/>
  <c r="K242" i="6" s="1"/>
  <c r="H235" i="6"/>
  <c r="I235" i="6" s="1"/>
  <c r="K235" i="6" s="1"/>
  <c r="H261" i="6"/>
  <c r="I261" i="6" s="1"/>
  <c r="K261" i="6" s="1"/>
  <c r="H273" i="6"/>
  <c r="I273" i="6" s="1"/>
  <c r="K273" i="6" s="1"/>
  <c r="I73" i="9"/>
  <c r="K73" i="9" s="1"/>
  <c r="H284" i="2"/>
  <c r="H320" i="2"/>
  <c r="I320" i="2" s="1"/>
  <c r="K320" i="2" s="1"/>
  <c r="K284" i="3"/>
  <c r="I299" i="6"/>
  <c r="H9" i="7"/>
  <c r="I268" i="7"/>
  <c r="K268" i="7" s="1"/>
  <c r="I269" i="7" s="1"/>
  <c r="K269" i="7" s="1"/>
  <c r="C14" i="12"/>
  <c r="J89" i="4"/>
  <c r="K186" i="9"/>
  <c r="I189" i="9" s="1"/>
  <c r="K189" i="9" s="1"/>
  <c r="I190" i="9" s="1"/>
  <c r="K190" i="9" s="1"/>
  <c r="I191" i="9" s="1"/>
  <c r="H325" i="4"/>
  <c r="I325" i="4" s="1"/>
  <c r="K325" i="4" s="1"/>
  <c r="H335" i="4"/>
  <c r="I335" i="4" s="1"/>
  <c r="K335" i="4" s="1"/>
  <c r="H348" i="4"/>
  <c r="I348" i="4" s="1"/>
  <c r="H254" i="6"/>
  <c r="I254" i="6" s="1"/>
  <c r="K254" i="6" s="1"/>
  <c r="H267" i="6"/>
  <c r="I267" i="6" s="1"/>
  <c r="K267" i="6" s="1"/>
  <c r="K175" i="9"/>
  <c r="K168" i="9"/>
  <c r="I169" i="9" s="1"/>
  <c r="K196" i="9"/>
  <c r="K115" i="9" s="1"/>
  <c r="I161" i="9"/>
  <c r="I111" i="9" s="1"/>
  <c r="K95" i="9"/>
  <c r="K92" i="9"/>
  <c r="K91" i="9"/>
  <c r="K82" i="9"/>
  <c r="K77" i="9"/>
  <c r="I82" i="8"/>
  <c r="J14" i="8" s="1"/>
  <c r="J15" i="8" s="1"/>
  <c r="I79" i="8"/>
  <c r="K468" i="5"/>
  <c r="J49" i="9"/>
  <c r="K49" i="9" s="1"/>
  <c r="K51" i="9" s="1"/>
  <c r="K53" i="9" s="1"/>
  <c r="J58" i="2"/>
  <c r="J59" i="2" s="1"/>
  <c r="K59" i="2" s="1"/>
  <c r="J60" i="2" s="1"/>
  <c r="K60" i="2" s="1"/>
  <c r="K59" i="6"/>
  <c r="K71" i="2"/>
  <c r="K73" i="2" s="1"/>
  <c r="K185" i="6"/>
  <c r="K49" i="8"/>
  <c r="K126" i="2"/>
  <c r="J281" i="2"/>
  <c r="J283" i="2" s="1"/>
  <c r="K283" i="2" s="1"/>
  <c r="K94" i="7"/>
  <c r="K284" i="6"/>
  <c r="K283" i="6"/>
  <c r="K282" i="6"/>
  <c r="K272" i="2"/>
  <c r="K61" i="4"/>
  <c r="K298" i="2"/>
  <c r="K301" i="2" s="1"/>
  <c r="J58" i="4"/>
  <c r="J59" i="4" s="1"/>
  <c r="K59" i="4" s="1"/>
  <c r="J60" i="4" s="1"/>
  <c r="K60" i="4" s="1"/>
  <c r="K62" i="4" s="1"/>
  <c r="K64" i="4" s="1"/>
  <c r="K62" i="7"/>
  <c r="K60" i="9"/>
  <c r="K62" i="9" s="1"/>
  <c r="K78" i="7"/>
  <c r="K48" i="8"/>
  <c r="K50" i="8" s="1"/>
  <c r="K82" i="7"/>
  <c r="K81" i="7"/>
  <c r="K80" i="7"/>
  <c r="K334" i="6"/>
  <c r="K320" i="6"/>
  <c r="I321" i="6" s="1"/>
  <c r="K321" i="6" s="1"/>
  <c r="K281" i="6"/>
  <c r="K268" i="6"/>
  <c r="K262" i="6"/>
  <c r="K263" i="6" s="1"/>
  <c r="J205" i="6"/>
  <c r="K205" i="6" s="1"/>
  <c r="K187" i="6"/>
  <c r="K197" i="6"/>
  <c r="K119" i="6"/>
  <c r="J118" i="6"/>
  <c r="K118" i="6" s="1"/>
  <c r="K79" i="6"/>
  <c r="K400" i="5"/>
  <c r="K151" i="5"/>
  <c r="K150" i="5"/>
  <c r="K149" i="5"/>
  <c r="K142" i="5"/>
  <c r="K138" i="5"/>
  <c r="K137" i="5"/>
  <c r="K136" i="5"/>
  <c r="K133" i="5"/>
  <c r="K132" i="5"/>
  <c r="K225" i="5"/>
  <c r="I226" i="5" s="1"/>
  <c r="I168" i="5" s="1"/>
  <c r="K411" i="5"/>
  <c r="I412" i="5" s="1"/>
  <c r="K412" i="5" s="1"/>
  <c r="I413" i="5" s="1"/>
  <c r="I337" i="5"/>
  <c r="G336" i="5" s="1"/>
  <c r="K336" i="5" s="1"/>
  <c r="I377" i="5"/>
  <c r="I378" i="5" s="1"/>
  <c r="K378" i="5" s="1"/>
  <c r="I379" i="5" s="1"/>
  <c r="I184" i="5" s="1"/>
  <c r="K418" i="5"/>
  <c r="K189" i="5" s="1"/>
  <c r="K402" i="5"/>
  <c r="K404" i="5"/>
  <c r="I223" i="5"/>
  <c r="I224" i="5" s="1"/>
  <c r="K224" i="5" s="1"/>
  <c r="K210" i="5"/>
  <c r="I211" i="5" s="1"/>
  <c r="K215" i="5"/>
  <c r="K327" i="5"/>
  <c r="I328" i="5" s="1"/>
  <c r="H11" i="5"/>
  <c r="G435" i="4"/>
  <c r="K435" i="4" s="1"/>
  <c r="K436" i="4" s="1"/>
  <c r="I437" i="4" s="1"/>
  <c r="K437" i="4" s="1"/>
  <c r="K352" i="4"/>
  <c r="K351" i="4"/>
  <c r="K350" i="4"/>
  <c r="K349" i="4"/>
  <c r="K348" i="4"/>
  <c r="K339" i="4"/>
  <c r="K338" i="4"/>
  <c r="K336" i="4"/>
  <c r="K324" i="4"/>
  <c r="K323" i="4"/>
  <c r="K313" i="4"/>
  <c r="K312" i="4"/>
  <c r="I346" i="5"/>
  <c r="K346" i="5" s="1"/>
  <c r="I266" i="5"/>
  <c r="K266" i="5" s="1"/>
  <c r="I267" i="5" s="1"/>
  <c r="K267" i="5" s="1"/>
  <c r="I268" i="5" s="1"/>
  <c r="I261" i="3"/>
  <c r="K261" i="3" s="1"/>
  <c r="I344" i="3"/>
  <c r="I316" i="3"/>
  <c r="I169" i="7"/>
  <c r="I253" i="7"/>
  <c r="K253" i="7" s="1"/>
  <c r="I234" i="5"/>
  <c r="K234" i="5" s="1"/>
  <c r="I318" i="5"/>
  <c r="K318" i="5" s="1"/>
  <c r="I320" i="5" s="1"/>
  <c r="K320" i="5" s="1"/>
  <c r="K177" i="5" s="1"/>
  <c r="I212" i="9"/>
  <c r="K212" i="9" s="1"/>
  <c r="I429" i="3"/>
  <c r="K429" i="3" s="1"/>
  <c r="I305" i="7"/>
  <c r="K305" i="7" s="1"/>
  <c r="I385" i="3"/>
  <c r="K385" i="3" s="1"/>
  <c r="I386" i="3" s="1"/>
  <c r="K386" i="3" s="1"/>
  <c r="I170" i="7"/>
  <c r="I386" i="5"/>
  <c r="K386" i="5" s="1"/>
  <c r="I387" i="5" s="1"/>
  <c r="I178" i="9"/>
  <c r="K178" i="9" s="1"/>
  <c r="I179" i="9" s="1"/>
  <c r="K179" i="9" s="1"/>
  <c r="I336" i="3"/>
  <c r="K336" i="3" s="1"/>
  <c r="I337" i="3" s="1"/>
  <c r="K337" i="3" s="1"/>
  <c r="I253" i="3"/>
  <c r="K253" i="3" s="1"/>
  <c r="I254" i="3" s="1"/>
  <c r="K254" i="3" s="1"/>
  <c r="I338" i="5"/>
  <c r="K338" i="5" s="1"/>
  <c r="I339" i="5" s="1"/>
  <c r="K339" i="5" s="1"/>
  <c r="I255" i="5"/>
  <c r="K255" i="5" s="1"/>
  <c r="I256" i="5" s="1"/>
  <c r="K256" i="5" s="1"/>
  <c r="I190" i="7"/>
  <c r="K190" i="7" s="1"/>
  <c r="I191" i="7" s="1"/>
  <c r="I251" i="3"/>
  <c r="K252" i="3" s="1"/>
  <c r="I252" i="3" s="1"/>
  <c r="G251" i="3" s="1"/>
  <c r="K251" i="3" s="1"/>
  <c r="I332" i="3"/>
  <c r="K332" i="3" s="1"/>
  <c r="I333" i="3" s="1"/>
  <c r="K333" i="3" s="1"/>
  <c r="I334" i="5"/>
  <c r="K334" i="5" s="1"/>
  <c r="I335" i="5" s="1"/>
  <c r="K335" i="5" s="1"/>
  <c r="I249" i="3"/>
  <c r="K249" i="3" s="1"/>
  <c r="I250" i="3" s="1"/>
  <c r="K250" i="3" s="1"/>
  <c r="I176" i="9"/>
  <c r="K176" i="9" s="1"/>
  <c r="I177" i="9" s="1"/>
  <c r="K177" i="9" s="1"/>
  <c r="I251" i="5"/>
  <c r="K251" i="5" s="1"/>
  <c r="I252" i="5" s="1"/>
  <c r="K252" i="5" s="1"/>
  <c r="I186" i="7"/>
  <c r="K186" i="7" s="1"/>
  <c r="I187" i="7" s="1"/>
  <c r="I330" i="3"/>
  <c r="K330" i="3" s="1"/>
  <c r="I331" i="3" s="1"/>
  <c r="K331" i="3" s="1"/>
  <c r="I332" i="5"/>
  <c r="K332" i="5" s="1"/>
  <c r="I333" i="5" s="1"/>
  <c r="K333" i="5" s="1"/>
  <c r="I201" i="7"/>
  <c r="K201" i="7" s="1"/>
  <c r="I202" i="7" s="1"/>
  <c r="K202" i="7" s="1"/>
  <c r="I203" i="7" s="1"/>
  <c r="I259" i="3"/>
  <c r="K259" i="3" s="1"/>
  <c r="I344" i="5"/>
  <c r="K344" i="5" s="1"/>
  <c r="I285" i="7"/>
  <c r="K285" i="7" s="1"/>
  <c r="I286" i="7" s="1"/>
  <c r="K286" i="7" s="1"/>
  <c r="I287" i="7" s="1"/>
  <c r="I435" i="2"/>
  <c r="K435" i="2" s="1"/>
  <c r="I437" i="2" s="1"/>
  <c r="K437" i="2" s="1"/>
  <c r="I438" i="2" s="1"/>
  <c r="K438" i="2" s="1"/>
  <c r="I439" i="2" s="1"/>
  <c r="I378" i="2" s="1"/>
  <c r="I418" i="4"/>
  <c r="K418" i="4" s="1"/>
  <c r="I424" i="4" s="1"/>
  <c r="K424" i="4" s="1"/>
  <c r="I433" i="3"/>
  <c r="K433" i="3" s="1"/>
  <c r="H154" i="3"/>
  <c r="I154" i="3" s="1"/>
  <c r="K154" i="3" s="1"/>
  <c r="H84" i="9"/>
  <c r="H96" i="9"/>
  <c r="H142" i="3"/>
  <c r="I142" i="3" s="1"/>
  <c r="K142" i="3" s="1"/>
  <c r="H98" i="7"/>
  <c r="H86" i="7"/>
  <c r="H154" i="5"/>
  <c r="I216" i="9"/>
  <c r="K216" i="9" s="1"/>
  <c r="K223" i="9" s="1"/>
  <c r="K14" i="9" s="1"/>
  <c r="I309" i="7"/>
  <c r="K309" i="7" s="1"/>
  <c r="I466" i="5"/>
  <c r="K466" i="5" s="1"/>
  <c r="H336" i="2"/>
  <c r="I336" i="2" s="1"/>
  <c r="K336" i="2" s="1"/>
  <c r="H152" i="3"/>
  <c r="I152" i="3" s="1"/>
  <c r="K152" i="3" s="1"/>
  <c r="H152" i="5"/>
  <c r="H139" i="5"/>
  <c r="H83" i="7"/>
  <c r="H94" i="9"/>
  <c r="H96" i="7"/>
  <c r="H81" i="9"/>
  <c r="H135" i="5"/>
  <c r="H79" i="7"/>
  <c r="H135" i="3"/>
  <c r="I135" i="3" s="1"/>
  <c r="K135" i="3" s="1"/>
  <c r="H85" i="7"/>
  <c r="H141" i="5"/>
  <c r="H141" i="3"/>
  <c r="I141" i="3" s="1"/>
  <c r="K141" i="3" s="1"/>
  <c r="H83" i="9"/>
  <c r="H313" i="2"/>
  <c r="I313" i="2" s="1"/>
  <c r="K313" i="2" s="1"/>
  <c r="H360" i="2"/>
  <c r="I432" i="3"/>
  <c r="K432" i="3" s="1"/>
  <c r="I464" i="5"/>
  <c r="K464" i="5" s="1"/>
  <c r="I307" i="7"/>
  <c r="K307" i="7" s="1"/>
  <c r="H324" i="2"/>
  <c r="H84" i="7"/>
  <c r="H362" i="2"/>
  <c r="H99" i="7"/>
  <c r="H97" i="9"/>
  <c r="H155" i="5"/>
  <c r="H325" i="2"/>
  <c r="H339" i="2"/>
  <c r="I339" i="2" s="1"/>
  <c r="K339" i="2" s="1"/>
  <c r="H97" i="7"/>
  <c r="H352" i="2"/>
  <c r="H153" i="5"/>
  <c r="H75" i="7"/>
  <c r="H131" i="5"/>
  <c r="H131" i="3"/>
  <c r="I131" i="3" s="1"/>
  <c r="K131" i="3" s="1"/>
  <c r="H312" i="2"/>
  <c r="I312" i="2" s="1"/>
  <c r="K312" i="2" s="1"/>
  <c r="H331" i="2"/>
  <c r="I331" i="2" s="1"/>
  <c r="K331" i="2" s="1"/>
  <c r="H92" i="7"/>
  <c r="H148" i="5"/>
  <c r="H90" i="9"/>
  <c r="H358" i="2"/>
  <c r="I358" i="2" s="1"/>
  <c r="K358" i="2" s="1"/>
  <c r="H148" i="3"/>
  <c r="I148" i="3" s="1"/>
  <c r="K148" i="3" s="1"/>
  <c r="H345" i="2"/>
  <c r="I345" i="2" s="1"/>
  <c r="K345" i="2" s="1"/>
  <c r="H132" i="3"/>
  <c r="I132" i="3" s="1"/>
  <c r="K132" i="3" s="1"/>
  <c r="H74" i="9"/>
  <c r="H76" i="7"/>
  <c r="H348" i="2"/>
  <c r="I348" i="2" s="1"/>
  <c r="K348" i="2" s="1"/>
  <c r="H95" i="7"/>
  <c r="H93" i="9"/>
  <c r="H322" i="2"/>
  <c r="I322" i="2" s="1"/>
  <c r="K322" i="2" s="1"/>
  <c r="H361" i="2"/>
  <c r="H151" i="3"/>
  <c r="I151" i="3" s="1"/>
  <c r="K151" i="3" s="1"/>
  <c r="H93" i="7"/>
  <c r="H347" i="2"/>
  <c r="I347" i="2" s="1"/>
  <c r="K347" i="2" s="1"/>
  <c r="H149" i="3"/>
  <c r="I149" i="3" s="1"/>
  <c r="K149" i="3" s="1"/>
  <c r="H359" i="2"/>
  <c r="I359" i="2" s="1"/>
  <c r="K359" i="2" s="1"/>
  <c r="H77" i="7"/>
  <c r="H133" i="3"/>
  <c r="I133" i="3" s="1"/>
  <c r="K133" i="3" s="1"/>
  <c r="I431" i="3"/>
  <c r="K431" i="3" s="1"/>
  <c r="I306" i="7"/>
  <c r="K306" i="7" s="1"/>
  <c r="I463" i="5"/>
  <c r="K463" i="5" s="1"/>
  <c r="H134" i="5"/>
  <c r="H76" i="9"/>
  <c r="I467" i="5"/>
  <c r="K467" i="5" s="1"/>
  <c r="I310" i="7"/>
  <c r="K310" i="7" s="1"/>
  <c r="I435" i="3"/>
  <c r="K435" i="3" s="1"/>
  <c r="J281" i="4"/>
  <c r="J283" i="4" s="1"/>
  <c r="K283" i="4" s="1"/>
  <c r="K298" i="4"/>
  <c r="K301" i="4" s="1"/>
  <c r="J259" i="4"/>
  <c r="J260" i="4" s="1"/>
  <c r="K260" i="4" s="1"/>
  <c r="J261" i="4" s="1"/>
  <c r="K261" i="4" s="1"/>
  <c r="K272" i="4"/>
  <c r="K275" i="4" s="1"/>
  <c r="K250" i="4"/>
  <c r="K253" i="4" s="1"/>
  <c r="K240" i="4"/>
  <c r="K241" i="4" s="1"/>
  <c r="K197" i="4"/>
  <c r="K207" i="4"/>
  <c r="K209" i="4" s="1"/>
  <c r="J169" i="4"/>
  <c r="J170" i="4" s="1"/>
  <c r="K170" i="4" s="1"/>
  <c r="J171" i="4" s="1"/>
  <c r="K171" i="4" s="1"/>
  <c r="J146" i="4"/>
  <c r="K146" i="4" s="1"/>
  <c r="J149" i="4"/>
  <c r="K149" i="4" s="1"/>
  <c r="J147" i="4"/>
  <c r="K147" i="4" s="1"/>
  <c r="K161" i="4"/>
  <c r="K163" i="4" s="1"/>
  <c r="K127" i="4"/>
  <c r="K136" i="4"/>
  <c r="K138" i="4" s="1"/>
  <c r="K126" i="4"/>
  <c r="K117" i="4"/>
  <c r="J79" i="4"/>
  <c r="J81" i="4" s="1"/>
  <c r="K81" i="4" s="1"/>
  <c r="K86" i="4"/>
  <c r="K41" i="4"/>
  <c r="K403" i="3"/>
  <c r="K401" i="3"/>
  <c r="K399" i="3"/>
  <c r="I178" i="3"/>
  <c r="K178" i="3" s="1"/>
  <c r="K326" i="3"/>
  <c r="K354" i="3"/>
  <c r="K55" i="3"/>
  <c r="H103" i="3"/>
  <c r="K410" i="3"/>
  <c r="I411" i="3" s="1"/>
  <c r="K411" i="3" s="1"/>
  <c r="I412" i="3" s="1"/>
  <c r="I188" i="3" s="1"/>
  <c r="K188" i="3" s="1"/>
  <c r="H56" i="3"/>
  <c r="K288" i="3"/>
  <c r="K73" i="3"/>
  <c r="J58" i="3"/>
  <c r="I301" i="3"/>
  <c r="I302" i="3" s="1"/>
  <c r="I303" i="3" s="1"/>
  <c r="K303" i="3" s="1"/>
  <c r="H58" i="3"/>
  <c r="I299" i="3"/>
  <c r="K299" i="3" s="1"/>
  <c r="K344" i="3"/>
  <c r="I347" i="3" s="1"/>
  <c r="K347" i="3" s="1"/>
  <c r="I348" i="3" s="1"/>
  <c r="K348" i="3" s="1"/>
  <c r="I349" i="3" s="1"/>
  <c r="K349" i="3" s="1"/>
  <c r="K92" i="3"/>
  <c r="K94" i="3" s="1"/>
  <c r="K422" i="2"/>
  <c r="I428" i="2" s="1"/>
  <c r="K413" i="2"/>
  <c r="I414" i="2" s="1"/>
  <c r="K414" i="2" s="1"/>
  <c r="K376" i="2" s="1"/>
  <c r="I173" i="3"/>
  <c r="K173" i="3" s="1"/>
  <c r="K271" i="3"/>
  <c r="J79" i="3"/>
  <c r="J80" i="3" s="1"/>
  <c r="K80" i="3" s="1"/>
  <c r="J81" i="3" s="1"/>
  <c r="K81" i="3" s="1"/>
  <c r="K56" i="3"/>
  <c r="K368" i="3"/>
  <c r="I369" i="3" s="1"/>
  <c r="I183" i="3" s="1"/>
  <c r="K183" i="3" s="1"/>
  <c r="K346" i="2"/>
  <c r="K338" i="2"/>
  <c r="K333" i="2"/>
  <c r="K452" i="2"/>
  <c r="I379" i="2"/>
  <c r="K173" i="5"/>
  <c r="I183" i="5"/>
  <c r="K370" i="5"/>
  <c r="K183" i="5" s="1"/>
  <c r="I109" i="9"/>
  <c r="K134" i="9"/>
  <c r="K109" i="9" s="1"/>
  <c r="I380" i="4"/>
  <c r="K380" i="4" s="1"/>
  <c r="J84" i="4"/>
  <c r="K84" i="4" s="1"/>
  <c r="K292" i="7"/>
  <c r="I125" i="7"/>
  <c r="J79" i="2"/>
  <c r="K107" i="4"/>
  <c r="G234" i="5"/>
  <c r="I346" i="6"/>
  <c r="K346" i="6" s="1"/>
  <c r="K345" i="6"/>
  <c r="I200" i="3"/>
  <c r="K200" i="3" s="1"/>
  <c r="I201" i="3" s="1"/>
  <c r="K201" i="3" s="1"/>
  <c r="I230" i="3"/>
  <c r="I212" i="3"/>
  <c r="K212" i="3" s="1"/>
  <c r="I202" i="3"/>
  <c r="I292" i="3"/>
  <c r="K292" i="3" s="1"/>
  <c r="I293" i="3" s="1"/>
  <c r="K293" i="3" s="1"/>
  <c r="I306" i="3"/>
  <c r="I304" i="3"/>
  <c r="G168" i="7"/>
  <c r="K117" i="2"/>
  <c r="I189" i="3"/>
  <c r="K189" i="3" s="1"/>
  <c r="K417" i="3"/>
  <c r="J150" i="2"/>
  <c r="K150" i="2" s="1"/>
  <c r="K152" i="2" s="1"/>
  <c r="K240" i="2"/>
  <c r="K34" i="3"/>
  <c r="K394" i="3"/>
  <c r="I186" i="3"/>
  <c r="K186" i="3" s="1"/>
  <c r="K218" i="4"/>
  <c r="K432" i="5"/>
  <c r="K448" i="5"/>
  <c r="I190" i="5" s="1"/>
  <c r="I18" i="5" s="1"/>
  <c r="I191" i="5"/>
  <c r="I392" i="2"/>
  <c r="I393" i="4"/>
  <c r="I384" i="4"/>
  <c r="I386" i="4" s="1"/>
  <c r="K387" i="4" s="1"/>
  <c r="I388" i="4" s="1"/>
  <c r="K388" i="4" s="1"/>
  <c r="K35" i="5"/>
  <c r="K45" i="5"/>
  <c r="K48" i="5" s="1"/>
  <c r="J32" i="5"/>
  <c r="J33" i="5" s="1"/>
  <c r="K33" i="5" s="1"/>
  <c r="K118" i="5"/>
  <c r="K108" i="5"/>
  <c r="J95" i="6"/>
  <c r="J96" i="6" s="1"/>
  <c r="K96" i="6" s="1"/>
  <c r="J97" i="6" s="1"/>
  <c r="K97" i="6" s="1"/>
  <c r="K98" i="6"/>
  <c r="I487" i="2"/>
  <c r="I488" i="2"/>
  <c r="I490" i="2"/>
  <c r="J54" i="5"/>
  <c r="K61" i="5"/>
  <c r="K244" i="5"/>
  <c r="K170" i="5" s="1"/>
  <c r="I170" i="5"/>
  <c r="K40" i="7"/>
  <c r="K43" i="7" s="1"/>
  <c r="K30" i="7"/>
  <c r="K189" i="7"/>
  <c r="K40" i="6"/>
  <c r="K228" i="4"/>
  <c r="K231" i="4" s="1"/>
  <c r="J237" i="2"/>
  <c r="J238" i="2" s="1"/>
  <c r="K238" i="2" s="1"/>
  <c r="J239" i="2" s="1"/>
  <c r="K239" i="2" s="1"/>
  <c r="J31" i="3"/>
  <c r="J32" i="3" s="1"/>
  <c r="K32" i="3" s="1"/>
  <c r="I170" i="3"/>
  <c r="K170" i="3" s="1"/>
  <c r="J215" i="4"/>
  <c r="J216" i="4" s="1"/>
  <c r="K216" i="4" s="1"/>
  <c r="J217" i="4" s="1"/>
  <c r="K217" i="4" s="1"/>
  <c r="K163" i="2"/>
  <c r="J101" i="5"/>
  <c r="K26" i="9"/>
  <c r="G304" i="3"/>
  <c r="J27" i="7"/>
  <c r="J28" i="7" s="1"/>
  <c r="K28" i="7" s="1"/>
  <c r="J29" i="7" s="1"/>
  <c r="K29" i="7" s="1"/>
  <c r="K50" i="2"/>
  <c r="K52" i="2" s="1"/>
  <c r="K250" i="2"/>
  <c r="K253" i="2" s="1"/>
  <c r="I375" i="2"/>
  <c r="K44" i="3"/>
  <c r="K47" i="3" s="1"/>
  <c r="K52" i="4"/>
  <c r="K108" i="6"/>
  <c r="K216" i="2"/>
  <c r="I489" i="2"/>
  <c r="K71" i="5"/>
  <c r="K74" i="5" s="1"/>
  <c r="I146" i="9"/>
  <c r="I147" i="9" s="1"/>
  <c r="K147" i="9" s="1"/>
  <c r="K148" i="9" s="1"/>
  <c r="I149" i="9" s="1"/>
  <c r="J192" i="4"/>
  <c r="K192" i="4" s="1"/>
  <c r="J195" i="4"/>
  <c r="K195" i="4" s="1"/>
  <c r="K441" i="5"/>
  <c r="K192" i="5" s="1"/>
  <c r="I192" i="5"/>
  <c r="K49" i="6"/>
  <c r="J100" i="3"/>
  <c r="J105" i="3" s="1"/>
  <c r="K107" i="3"/>
  <c r="K181" i="3"/>
  <c r="K24" i="6"/>
  <c r="K436" i="5"/>
  <c r="K230" i="7"/>
  <c r="I231" i="7" s="1"/>
  <c r="K356" i="5"/>
  <c r="K150" i="6"/>
  <c r="K153" i="6" s="1"/>
  <c r="K140" i="6"/>
  <c r="J64" i="5"/>
  <c r="J89" i="2"/>
  <c r="J43" i="2"/>
  <c r="J86" i="5"/>
  <c r="J38" i="5"/>
  <c r="J111" i="5"/>
  <c r="J200" i="2"/>
  <c r="J64" i="2"/>
  <c r="J31" i="9"/>
  <c r="J110" i="3"/>
  <c r="J154" i="2"/>
  <c r="J33" i="7"/>
  <c r="K27" i="4"/>
  <c r="K83" i="5"/>
  <c r="K93" i="5"/>
  <c r="K95" i="5" s="1"/>
  <c r="J80" i="5"/>
  <c r="J81" i="5" s="1"/>
  <c r="K81" i="5" s="1"/>
  <c r="J82" i="5" s="1"/>
  <c r="K82" i="5" s="1"/>
  <c r="K24" i="8"/>
  <c r="K33" i="8"/>
  <c r="K35" i="8" s="1"/>
  <c r="K98" i="2"/>
  <c r="I181" i="5"/>
  <c r="J137" i="6"/>
  <c r="J138" i="6" s="1"/>
  <c r="K138" i="6" s="1"/>
  <c r="J139" i="6" s="1"/>
  <c r="K139" i="6" s="1"/>
  <c r="K141" i="6" s="1"/>
  <c r="K206" i="6"/>
  <c r="K50" i="7"/>
  <c r="K231" i="2"/>
  <c r="J243" i="2"/>
  <c r="K220" i="5"/>
  <c r="K162" i="6"/>
  <c r="K163" i="6" s="1"/>
  <c r="K357" i="6"/>
  <c r="K358" i="6" s="1"/>
  <c r="I359" i="6" s="1"/>
  <c r="K359" i="6" s="1"/>
  <c r="K271" i="7"/>
  <c r="I276" i="7" s="1"/>
  <c r="G189" i="7"/>
  <c r="G207" i="7"/>
  <c r="K207" i="7" s="1"/>
  <c r="I208" i="7" s="1"/>
  <c r="G185" i="7"/>
  <c r="G191" i="7"/>
  <c r="G178" i="7"/>
  <c r="K178" i="7" s="1"/>
  <c r="I179" i="7" s="1"/>
  <c r="G187" i="7"/>
  <c r="K187" i="7" s="1"/>
  <c r="I235" i="7"/>
  <c r="K235" i="7" s="1"/>
  <c r="I250" i="7"/>
  <c r="K250" i="7" s="1"/>
  <c r="H378" i="6"/>
  <c r="H456" i="4"/>
  <c r="H233" i="9"/>
  <c r="K275" i="2"/>
  <c r="I335" i="3"/>
  <c r="G334" i="3" s="1"/>
  <c r="K334" i="3" s="1"/>
  <c r="H19" i="4"/>
  <c r="K38" i="9"/>
  <c r="K41" i="9" s="1"/>
  <c r="K173" i="2"/>
  <c r="K175" i="2" s="1"/>
  <c r="I376" i="3"/>
  <c r="I377" i="3" s="1"/>
  <c r="K377" i="3" s="1"/>
  <c r="I378" i="3" s="1"/>
  <c r="I238" i="7"/>
  <c r="I239" i="7" s="1"/>
  <c r="K239" i="7" s="1"/>
  <c r="K245" i="7" s="1"/>
  <c r="I246" i="7" s="1"/>
  <c r="K124" i="2"/>
  <c r="K138" i="2"/>
  <c r="G477" i="2"/>
  <c r="K117" i="3"/>
  <c r="K119" i="3" s="1"/>
  <c r="K73" i="4"/>
  <c r="K182" i="4"/>
  <c r="K184" i="4" s="1"/>
  <c r="K286" i="5"/>
  <c r="I289" i="5"/>
  <c r="K289" i="5" s="1"/>
  <c r="I290" i="5" s="1"/>
  <c r="K290" i="5" s="1"/>
  <c r="I303" i="5"/>
  <c r="I291" i="5"/>
  <c r="H106" i="5"/>
  <c r="D26" i="11"/>
  <c r="D27" i="11"/>
  <c r="K89" i="6"/>
  <c r="K96" i="2"/>
  <c r="I156" i="7"/>
  <c r="I157" i="7" s="1"/>
  <c r="K157" i="7" s="1"/>
  <c r="K158" i="7" s="1"/>
  <c r="I159" i="7" s="1"/>
  <c r="J291" i="2"/>
  <c r="K110" i="6"/>
  <c r="K172" i="6"/>
  <c r="K175" i="6" s="1"/>
  <c r="J208" i="6"/>
  <c r="K208" i="6" s="1"/>
  <c r="K223" i="6"/>
  <c r="K64" i="7"/>
  <c r="K137" i="7"/>
  <c r="K143" i="7" s="1"/>
  <c r="I144" i="7" s="1"/>
  <c r="I466" i="4"/>
  <c r="I470" i="4" s="1"/>
  <c r="K207" i="2"/>
  <c r="K209" i="2" s="1"/>
  <c r="I81" i="8"/>
  <c r="K62" i="2"/>
  <c r="K68" i="6"/>
  <c r="K70" i="6" s="1"/>
  <c r="K129" i="6"/>
  <c r="K131" i="6" s="1"/>
  <c r="J190" i="2"/>
  <c r="K314" i="3" l="1"/>
  <c r="K275" i="6"/>
  <c r="I20" i="6" s="1"/>
  <c r="K20" i="6" s="1"/>
  <c r="I392" i="6"/>
  <c r="I76" i="9"/>
  <c r="K76" i="9" s="1"/>
  <c r="K90" i="9"/>
  <c r="I90" i="9"/>
  <c r="K83" i="9"/>
  <c r="I83" i="9"/>
  <c r="G316" i="3"/>
  <c r="G317" i="3" s="1"/>
  <c r="K315" i="3"/>
  <c r="K316" i="3"/>
  <c r="C20" i="12"/>
  <c r="D23" i="11" s="1"/>
  <c r="D31" i="11" s="1"/>
  <c r="C15" i="12"/>
  <c r="D24" i="11" s="1"/>
  <c r="I189" i="7"/>
  <c r="G188" i="7" s="1"/>
  <c r="K188" i="7" s="1"/>
  <c r="I93" i="9"/>
  <c r="K93" i="9" s="1"/>
  <c r="I81" i="9"/>
  <c r="K81" i="9" s="1"/>
  <c r="K379" i="5"/>
  <c r="K184" i="5" s="1"/>
  <c r="K393" i="4"/>
  <c r="I399" i="4" s="1"/>
  <c r="K399" i="4" s="1"/>
  <c r="K439" i="4" s="1"/>
  <c r="I215" i="3"/>
  <c r="I216" i="3" s="1"/>
  <c r="K216" i="3" s="1"/>
  <c r="J150" i="4"/>
  <c r="K150" i="4" s="1"/>
  <c r="I74" i="9"/>
  <c r="K74" i="9" s="1"/>
  <c r="I97" i="9"/>
  <c r="K97" i="9" s="1"/>
  <c r="K96" i="9"/>
  <c r="I96" i="9"/>
  <c r="K185" i="7"/>
  <c r="K230" i="3"/>
  <c r="I234" i="3" s="1"/>
  <c r="I84" i="9"/>
  <c r="K84" i="9" s="1"/>
  <c r="I94" i="9"/>
  <c r="K94" i="9" s="1"/>
  <c r="K31" i="7"/>
  <c r="K309" i="6"/>
  <c r="I310" i="6" s="1"/>
  <c r="K310" i="6" s="1"/>
  <c r="K361" i="6" s="1"/>
  <c r="I112" i="9"/>
  <c r="K169" i="9"/>
  <c r="K112" i="9" s="1"/>
  <c r="K161" i="9"/>
  <c r="K111" i="9" s="1"/>
  <c r="I83" i="8"/>
  <c r="K95" i="7"/>
  <c r="I95" i="7"/>
  <c r="K99" i="7"/>
  <c r="I99" i="7"/>
  <c r="I85" i="7"/>
  <c r="K85" i="7" s="1"/>
  <c r="K99" i="6"/>
  <c r="K98" i="7"/>
  <c r="I98" i="7"/>
  <c r="K92" i="7"/>
  <c r="I92" i="7"/>
  <c r="K219" i="4"/>
  <c r="J286" i="2"/>
  <c r="K286" i="2" s="1"/>
  <c r="I96" i="7"/>
  <c r="K96" i="7" s="1"/>
  <c r="I75" i="7"/>
  <c r="K75" i="7" s="1"/>
  <c r="I86" i="7"/>
  <c r="K86" i="7" s="1"/>
  <c r="J284" i="2"/>
  <c r="K284" i="2" s="1"/>
  <c r="I76" i="7"/>
  <c r="K76" i="7" s="1"/>
  <c r="I84" i="7"/>
  <c r="K84" i="7" s="1"/>
  <c r="I77" i="7"/>
  <c r="K77" i="7" s="1"/>
  <c r="I79" i="7"/>
  <c r="K79" i="7" s="1"/>
  <c r="I93" i="7"/>
  <c r="K93" i="7" s="1"/>
  <c r="I97" i="7"/>
  <c r="K97" i="7" s="1"/>
  <c r="I83" i="7"/>
  <c r="K83" i="7" s="1"/>
  <c r="K191" i="7"/>
  <c r="I51" i="8"/>
  <c r="K51" i="8"/>
  <c r="K53" i="8" s="1"/>
  <c r="I9" i="8"/>
  <c r="K9" i="8" s="1"/>
  <c r="K8" i="8" s="1"/>
  <c r="K285" i="6"/>
  <c r="K286" i="6" s="1"/>
  <c r="I276" i="6"/>
  <c r="K276" i="6"/>
  <c r="I19" i="6"/>
  <c r="K19" i="6" s="1"/>
  <c r="I263" i="6"/>
  <c r="I18" i="6"/>
  <c r="K18" i="6" s="1"/>
  <c r="K249" i="6"/>
  <c r="I237" i="6"/>
  <c r="K237" i="6"/>
  <c r="J209" i="6"/>
  <c r="K209" i="6" s="1"/>
  <c r="K211" i="6" s="1"/>
  <c r="K165" i="6"/>
  <c r="K143" i="6"/>
  <c r="K120" i="6"/>
  <c r="K122" i="6" s="1"/>
  <c r="K152" i="5"/>
  <c r="I152" i="5"/>
  <c r="I139" i="5"/>
  <c r="K139" i="5" s="1"/>
  <c r="I155" i="5"/>
  <c r="K155" i="5" s="1"/>
  <c r="I153" i="5"/>
  <c r="K153" i="5" s="1"/>
  <c r="I134" i="5"/>
  <c r="K134" i="5" s="1"/>
  <c r="I141" i="5"/>
  <c r="K141" i="5" s="1"/>
  <c r="I148" i="5"/>
  <c r="K148" i="5" s="1"/>
  <c r="I131" i="5"/>
  <c r="K131" i="5" s="1"/>
  <c r="K135" i="5"/>
  <c r="I135" i="5"/>
  <c r="K154" i="5"/>
  <c r="I154" i="5"/>
  <c r="I405" i="5"/>
  <c r="I187" i="5" s="1"/>
  <c r="K211" i="5"/>
  <c r="K167" i="5" s="1"/>
  <c r="I167" i="5"/>
  <c r="K226" i="5"/>
  <c r="K168" i="5" s="1"/>
  <c r="I178" i="5"/>
  <c r="K328" i="5"/>
  <c r="K178" i="5" s="1"/>
  <c r="K84" i="5"/>
  <c r="I24" i="4"/>
  <c r="K24" i="4" s="1"/>
  <c r="K364" i="4"/>
  <c r="K353" i="4"/>
  <c r="I23" i="4" s="1"/>
  <c r="K23" i="4" s="1"/>
  <c r="K340" i="4"/>
  <c r="K341" i="4" s="1"/>
  <c r="K326" i="4"/>
  <c r="I327" i="4" s="1"/>
  <c r="K314" i="4"/>
  <c r="K315" i="4" s="1"/>
  <c r="I255" i="7"/>
  <c r="K294" i="7" s="1"/>
  <c r="I118" i="7" s="1"/>
  <c r="I14" i="7" s="1"/>
  <c r="I177" i="5"/>
  <c r="I180" i="9"/>
  <c r="K202" i="9" s="1"/>
  <c r="I257" i="5"/>
  <c r="I171" i="5" s="1"/>
  <c r="I340" i="5"/>
  <c r="K340" i="5" s="1"/>
  <c r="K179" i="5" s="1"/>
  <c r="I264" i="3"/>
  <c r="K264" i="3" s="1"/>
  <c r="I265" i="3" s="1"/>
  <c r="K265" i="3" s="1"/>
  <c r="I266" i="3" s="1"/>
  <c r="I172" i="3" s="1"/>
  <c r="K172" i="3" s="1"/>
  <c r="I349" i="5"/>
  <c r="K349" i="5" s="1"/>
  <c r="I350" i="5" s="1"/>
  <c r="K350" i="5" s="1"/>
  <c r="I351" i="5" s="1"/>
  <c r="I180" i="5" s="1"/>
  <c r="K423" i="4"/>
  <c r="K439" i="2"/>
  <c r="K378" i="2" s="1"/>
  <c r="K360" i="2"/>
  <c r="I360" i="2"/>
  <c r="K314" i="2"/>
  <c r="I315" i="2" s="1"/>
  <c r="K315" i="2" s="1"/>
  <c r="K436" i="3"/>
  <c r="K18" i="3" s="1"/>
  <c r="I324" i="2"/>
  <c r="K324" i="2" s="1"/>
  <c r="I362" i="2"/>
  <c r="K362" i="2" s="1"/>
  <c r="I325" i="2"/>
  <c r="K325" i="2" s="1"/>
  <c r="I352" i="2"/>
  <c r="K352" i="2" s="1"/>
  <c r="K353" i="2" s="1"/>
  <c r="I354" i="2" s="1"/>
  <c r="K354" i="2" s="1"/>
  <c r="K143" i="3"/>
  <c r="I12" i="3" s="1"/>
  <c r="K12" i="3" s="1"/>
  <c r="I361" i="2"/>
  <c r="K361" i="2" s="1"/>
  <c r="K156" i="3"/>
  <c r="I13" i="3" s="1"/>
  <c r="K13" i="3" s="1"/>
  <c r="K19" i="5"/>
  <c r="K314" i="7"/>
  <c r="K15" i="7" s="1"/>
  <c r="J286" i="4"/>
  <c r="K286" i="4" s="1"/>
  <c r="J284" i="4"/>
  <c r="K284" i="4" s="1"/>
  <c r="K263" i="4"/>
  <c r="K243" i="4"/>
  <c r="J196" i="4"/>
  <c r="K196" i="4" s="1"/>
  <c r="K198" i="4" s="1"/>
  <c r="K173" i="4"/>
  <c r="K152" i="4"/>
  <c r="K154" i="4" s="1"/>
  <c r="K129" i="4"/>
  <c r="J85" i="4"/>
  <c r="K85" i="4" s="1"/>
  <c r="K87" i="4" s="1"/>
  <c r="J82" i="4"/>
  <c r="K82" i="4" s="1"/>
  <c r="K43" i="4"/>
  <c r="I404" i="3"/>
  <c r="K404" i="3" s="1"/>
  <c r="I338" i="3"/>
  <c r="I255" i="3"/>
  <c r="I171" i="3" s="1"/>
  <c r="K171" i="3" s="1"/>
  <c r="K412" i="3"/>
  <c r="J59" i="3"/>
  <c r="K59" i="3" s="1"/>
  <c r="K61" i="3" s="1"/>
  <c r="K63" i="3" s="1"/>
  <c r="K83" i="3"/>
  <c r="K85" i="3" s="1"/>
  <c r="K58" i="3"/>
  <c r="K369" i="3"/>
  <c r="K294" i="3"/>
  <c r="I295" i="3" s="1"/>
  <c r="I175" i="3" s="1"/>
  <c r="I180" i="3"/>
  <c r="K180" i="3" s="1"/>
  <c r="I377" i="2"/>
  <c r="K428" i="2"/>
  <c r="K377" i="2" s="1"/>
  <c r="I26" i="2"/>
  <c r="K26" i="2" s="1"/>
  <c r="K454" i="2"/>
  <c r="I373" i="2" s="1"/>
  <c r="I376" i="2"/>
  <c r="K304" i="3"/>
  <c r="I185" i="3"/>
  <c r="K185" i="3" s="1"/>
  <c r="K340" i="2"/>
  <c r="I341" i="2" s="1"/>
  <c r="K276" i="7"/>
  <c r="K123" i="7" s="1"/>
  <c r="I123" i="7"/>
  <c r="J34" i="5"/>
  <c r="K34" i="5" s="1"/>
  <c r="K36" i="5" s="1"/>
  <c r="J33" i="3"/>
  <c r="K33" i="3" s="1"/>
  <c r="K35" i="3" s="1"/>
  <c r="K37" i="3" s="1"/>
  <c r="K191" i="5"/>
  <c r="K449" i="5"/>
  <c r="K190" i="5" s="1"/>
  <c r="K18" i="5" s="1"/>
  <c r="K202" i="3"/>
  <c r="I219" i="3"/>
  <c r="I205" i="3"/>
  <c r="K205" i="3" s="1"/>
  <c r="I206" i="3" s="1"/>
  <c r="K206" i="3" s="1"/>
  <c r="K207" i="3" s="1"/>
  <c r="I208" i="3" s="1"/>
  <c r="I217" i="3"/>
  <c r="K217" i="3" s="1"/>
  <c r="K105" i="3"/>
  <c r="J103" i="3"/>
  <c r="K103" i="3" s="1"/>
  <c r="J102" i="3"/>
  <c r="K102" i="3" s="1"/>
  <c r="I110" i="9"/>
  <c r="K149" i="9"/>
  <c r="K110" i="9" s="1"/>
  <c r="K154" i="2"/>
  <c r="K231" i="7"/>
  <c r="K119" i="7" s="1"/>
  <c r="I119" i="7"/>
  <c r="J103" i="5"/>
  <c r="K103" i="5" s="1"/>
  <c r="J104" i="5"/>
  <c r="K104" i="5" s="1"/>
  <c r="K119" i="5" s="1"/>
  <c r="K120" i="5" s="1"/>
  <c r="J106" i="5"/>
  <c r="I124" i="7"/>
  <c r="K287" i="7"/>
  <c r="K124" i="7" s="1"/>
  <c r="J217" i="2"/>
  <c r="K217" i="2" s="1"/>
  <c r="K219" i="2" s="1"/>
  <c r="J192" i="2"/>
  <c r="K192" i="2" s="1"/>
  <c r="J195" i="2"/>
  <c r="K195" i="2" s="1"/>
  <c r="J193" i="2"/>
  <c r="K193" i="2" s="1"/>
  <c r="K181" i="5"/>
  <c r="K191" i="9"/>
  <c r="I114" i="9"/>
  <c r="I117" i="7"/>
  <c r="J57" i="5"/>
  <c r="K57" i="5" s="1"/>
  <c r="J56" i="5"/>
  <c r="K56" i="5" s="1"/>
  <c r="J59" i="5"/>
  <c r="K59" i="5" s="1"/>
  <c r="K221" i="4"/>
  <c r="K387" i="5"/>
  <c r="K185" i="5" s="1"/>
  <c r="I185" i="5"/>
  <c r="J82" i="2"/>
  <c r="K82" i="2" s="1"/>
  <c r="J84" i="2"/>
  <c r="K84" i="2" s="1"/>
  <c r="J81" i="2"/>
  <c r="K81" i="2" s="1"/>
  <c r="K106" i="5"/>
  <c r="I307" i="3"/>
  <c r="I308" i="3" s="1"/>
  <c r="K308" i="3" s="1"/>
  <c r="K309" i="3" s="1"/>
  <c r="I310" i="3" s="1"/>
  <c r="I114" i="7"/>
  <c r="I172" i="5"/>
  <c r="K268" i="5"/>
  <c r="K378" i="3"/>
  <c r="I184" i="3"/>
  <c r="K184" i="3" s="1"/>
  <c r="K33" i="7"/>
  <c r="K43" i="2"/>
  <c r="J125" i="2"/>
  <c r="K125" i="2" s="1"/>
  <c r="K127" i="2" s="1"/>
  <c r="G235" i="5"/>
  <c r="I308" i="5"/>
  <c r="I294" i="5"/>
  <c r="K294" i="5" s="1"/>
  <c r="I295" i="5" s="1"/>
  <c r="K295" i="5" s="1"/>
  <c r="K296" i="5" s="1"/>
  <c r="I297" i="5" s="1"/>
  <c r="I306" i="5"/>
  <c r="K306" i="5" s="1"/>
  <c r="K291" i="5"/>
  <c r="K413" i="5"/>
  <c r="I188" i="5"/>
  <c r="I304" i="5"/>
  <c r="I305" i="5" s="1"/>
  <c r="K305" i="5" s="1"/>
  <c r="K101" i="6"/>
  <c r="I116" i="7"/>
  <c r="J287" i="2"/>
  <c r="K287" i="2" s="1"/>
  <c r="K289" i="2" s="1"/>
  <c r="K125" i="7"/>
  <c r="I120" i="7"/>
  <c r="K246" i="7"/>
  <c r="K120" i="7" s="1"/>
  <c r="J31" i="2"/>
  <c r="J32" i="2" s="1"/>
  <c r="I491" i="2"/>
  <c r="K295" i="3"/>
  <c r="K379" i="2"/>
  <c r="K144" i="7"/>
  <c r="K111" i="7" s="1"/>
  <c r="I111" i="7"/>
  <c r="J51" i="7"/>
  <c r="K51" i="7" s="1"/>
  <c r="K53" i="7" s="1"/>
  <c r="K159" i="7"/>
  <c r="K112" i="7" s="1"/>
  <c r="I112" i="7"/>
  <c r="J27" i="9"/>
  <c r="K27" i="9" s="1"/>
  <c r="K29" i="9" s="1"/>
  <c r="K31" i="9" s="1"/>
  <c r="K26" i="8"/>
  <c r="K64" i="2"/>
  <c r="K392" i="2"/>
  <c r="K374" i="2" s="1"/>
  <c r="I374" i="2"/>
  <c r="K168" i="7"/>
  <c r="G169" i="7"/>
  <c r="K169" i="7" s="1"/>
  <c r="K241" i="2"/>
  <c r="K243" i="2" s="1"/>
  <c r="I23" i="6" l="1"/>
  <c r="K23" i="6" s="1"/>
  <c r="K100" i="7"/>
  <c r="I11" i="7" s="1"/>
  <c r="K11" i="7" s="1"/>
  <c r="K85" i="9"/>
  <c r="I10" i="9" s="1"/>
  <c r="K10" i="9" s="1"/>
  <c r="K98" i="9"/>
  <c r="I99" i="9" s="1"/>
  <c r="K99" i="9" s="1"/>
  <c r="I169" i="3"/>
  <c r="K169" i="3" s="1"/>
  <c r="K234" i="3"/>
  <c r="D15" i="11"/>
  <c r="D21" i="11" s="1"/>
  <c r="D25" i="11"/>
  <c r="D28" i="11" s="1"/>
  <c r="I26" i="4"/>
  <c r="K26" i="4" s="1"/>
  <c r="K143" i="5"/>
  <c r="I12" i="5" s="1"/>
  <c r="K12" i="5" s="1"/>
  <c r="G318" i="3"/>
  <c r="K317" i="3"/>
  <c r="I309" i="5"/>
  <c r="I310" i="5" s="1"/>
  <c r="K310" i="5" s="1"/>
  <c r="I192" i="7"/>
  <c r="I115" i="7" s="1"/>
  <c r="K87" i="7"/>
  <c r="K88" i="7" s="1"/>
  <c r="J287" i="4"/>
  <c r="K287" i="4" s="1"/>
  <c r="K289" i="4" s="1"/>
  <c r="K420" i="5"/>
  <c r="I182" i="5" s="1"/>
  <c r="I17" i="5" s="1"/>
  <c r="K156" i="5"/>
  <c r="I13" i="5" s="1"/>
  <c r="K13" i="5" s="1"/>
  <c r="I21" i="6"/>
  <c r="K21" i="6" s="1"/>
  <c r="K16" i="6" s="1"/>
  <c r="I286" i="6"/>
  <c r="K288" i="6"/>
  <c r="K213" i="6"/>
  <c r="K86" i="5"/>
  <c r="K405" i="5"/>
  <c r="K187" i="5" s="1"/>
  <c r="K351" i="5"/>
  <c r="K180" i="5" s="1"/>
  <c r="K354" i="4"/>
  <c r="I354" i="4"/>
  <c r="I341" i="4"/>
  <c r="I22" i="4"/>
  <c r="K22" i="4" s="1"/>
  <c r="K327" i="4"/>
  <c r="I21" i="4"/>
  <c r="K21" i="4" s="1"/>
  <c r="I20" i="4"/>
  <c r="K20" i="4" s="1"/>
  <c r="I315" i="4"/>
  <c r="I121" i="7"/>
  <c r="K255" i="7"/>
  <c r="K121" i="7" s="1"/>
  <c r="K257" i="5"/>
  <c r="K171" i="5" s="1"/>
  <c r="K180" i="9"/>
  <c r="K113" i="9" s="1"/>
  <c r="I113" i="9"/>
  <c r="I179" i="5"/>
  <c r="K266" i="3"/>
  <c r="I11" i="9"/>
  <c r="K11" i="9" s="1"/>
  <c r="K9" i="9" s="1"/>
  <c r="K363" i="2"/>
  <c r="K364" i="2" s="1"/>
  <c r="I20" i="2"/>
  <c r="K20" i="2" s="1"/>
  <c r="K326" i="2"/>
  <c r="I21" i="2" s="1"/>
  <c r="K21" i="2" s="1"/>
  <c r="I157" i="3"/>
  <c r="K157" i="3" s="1"/>
  <c r="I88" i="7"/>
  <c r="I144" i="5"/>
  <c r="K144" i="5"/>
  <c r="I86" i="9"/>
  <c r="K144" i="3"/>
  <c r="I144" i="3"/>
  <c r="I101" i="7"/>
  <c r="K101" i="7" s="1"/>
  <c r="I23" i="2"/>
  <c r="K23" i="2" s="1"/>
  <c r="K291" i="4"/>
  <c r="K265" i="4"/>
  <c r="K200" i="4"/>
  <c r="K175" i="4"/>
  <c r="K89" i="4"/>
  <c r="I187" i="3"/>
  <c r="K187" i="3" s="1"/>
  <c r="K182" i="3" s="1"/>
  <c r="K17" i="3" s="1"/>
  <c r="K420" i="3"/>
  <c r="I182" i="3" s="1"/>
  <c r="I17" i="3" s="1"/>
  <c r="I179" i="3"/>
  <c r="K179" i="3" s="1"/>
  <c r="K338" i="3"/>
  <c r="K255" i="3"/>
  <c r="K421" i="3"/>
  <c r="K455" i="2"/>
  <c r="K373" i="2" s="1"/>
  <c r="I220" i="3"/>
  <c r="I221" i="3" s="1"/>
  <c r="K221" i="3" s="1"/>
  <c r="K222" i="3" s="1"/>
  <c r="K277" i="3" s="1"/>
  <c r="I166" i="3" s="1"/>
  <c r="I15" i="3" s="1"/>
  <c r="K341" i="2"/>
  <c r="I22" i="2"/>
  <c r="K22" i="2" s="1"/>
  <c r="K38" i="5"/>
  <c r="K208" i="3"/>
  <c r="I167" i="3"/>
  <c r="K55" i="7"/>
  <c r="K129" i="2"/>
  <c r="K221" i="2"/>
  <c r="K22" i="6"/>
  <c r="K175" i="3"/>
  <c r="K297" i="5"/>
  <c r="K175" i="5" s="1"/>
  <c r="I175" i="5"/>
  <c r="J196" i="2"/>
  <c r="K196" i="2" s="1"/>
  <c r="K198" i="2" s="1"/>
  <c r="G170" i="7"/>
  <c r="I13" i="9"/>
  <c r="I108" i="9"/>
  <c r="J107" i="5"/>
  <c r="K107" i="5" s="1"/>
  <c r="K109" i="5" s="1"/>
  <c r="J106" i="3"/>
  <c r="K106" i="3" s="1"/>
  <c r="K108" i="3" s="1"/>
  <c r="K291" i="2"/>
  <c r="K114" i="9"/>
  <c r="J85" i="2"/>
  <c r="K85" i="2" s="1"/>
  <c r="K87" i="2" s="1"/>
  <c r="K188" i="5"/>
  <c r="K172" i="5"/>
  <c r="J60" i="5"/>
  <c r="K60" i="5" s="1"/>
  <c r="K62" i="5" s="1"/>
  <c r="K310" i="3"/>
  <c r="I176" i="3"/>
  <c r="K25" i="4"/>
  <c r="K235" i="5"/>
  <c r="G236" i="5"/>
  <c r="K311" i="5"/>
  <c r="K380" i="2"/>
  <c r="K11" i="3"/>
  <c r="K11" i="5" l="1"/>
  <c r="I318" i="3"/>
  <c r="J131" i="4"/>
  <c r="K131" i="4" s="1"/>
  <c r="J103" i="6"/>
  <c r="K103" i="6" s="1"/>
  <c r="J109" i="4"/>
  <c r="K109" i="4" s="1"/>
  <c r="J57" i="7"/>
  <c r="K57" i="7" s="1"/>
  <c r="J40" i="5"/>
  <c r="K40" i="5" s="1"/>
  <c r="J39" i="3"/>
  <c r="K39" i="3" s="1"/>
  <c r="J35" i="7"/>
  <c r="K35" i="7" s="1"/>
  <c r="J113" i="5"/>
  <c r="K113" i="5" s="1"/>
  <c r="J91" i="4"/>
  <c r="K91" i="4" s="1"/>
  <c r="J42" i="6"/>
  <c r="K42" i="6" s="1"/>
  <c r="J66" i="4"/>
  <c r="K66" i="4" s="1"/>
  <c r="J55" i="9"/>
  <c r="K55" i="9" s="1"/>
  <c r="J33" i="9"/>
  <c r="K33" i="9" s="1"/>
  <c r="J156" i="2"/>
  <c r="K156" i="2" s="1"/>
  <c r="J112" i="3"/>
  <c r="K112" i="3" s="1"/>
  <c r="J267" i="4"/>
  <c r="K267" i="4" s="1"/>
  <c r="J293" i="4"/>
  <c r="K293" i="4" s="1"/>
  <c r="J28" i="8"/>
  <c r="K28" i="8" s="1"/>
  <c r="J156" i="4"/>
  <c r="K156" i="4" s="1"/>
  <c r="J63" i="6"/>
  <c r="K63" i="6" s="1"/>
  <c r="J267" i="2"/>
  <c r="K267" i="2" s="1"/>
  <c r="J45" i="2"/>
  <c r="K45" i="2" s="1"/>
  <c r="J223" i="2"/>
  <c r="K223" i="2" s="1"/>
  <c r="J245" i="2"/>
  <c r="K245" i="2" s="1"/>
  <c r="J215" i="6"/>
  <c r="K215" i="6" s="1"/>
  <c r="J189" i="6"/>
  <c r="K189" i="6" s="1"/>
  <c r="J202" i="2"/>
  <c r="J66" i="5"/>
  <c r="J124" i="6"/>
  <c r="K124" i="6" s="1"/>
  <c r="J167" i="6"/>
  <c r="K167" i="6" s="1"/>
  <c r="J145" i="6"/>
  <c r="K145" i="6" s="1"/>
  <c r="J66" i="2"/>
  <c r="K66" i="2" s="1"/>
  <c r="J88" i="5"/>
  <c r="K88" i="5" s="1"/>
  <c r="J65" i="3"/>
  <c r="K65" i="3" s="1"/>
  <c r="J223" i="4"/>
  <c r="K223" i="4" s="1"/>
  <c r="J81" i="6"/>
  <c r="K81" i="6" s="1"/>
  <c r="J245" i="4"/>
  <c r="K245" i="4" s="1"/>
  <c r="J87" i="3"/>
  <c r="K87" i="3" s="1"/>
  <c r="J177" i="2"/>
  <c r="K177" i="2" s="1"/>
  <c r="J131" i="2"/>
  <c r="K131" i="2" s="1"/>
  <c r="J91" i="2"/>
  <c r="J177" i="4"/>
  <c r="K177" i="4" s="1"/>
  <c r="J45" i="4"/>
  <c r="K45" i="4" s="1"/>
  <c r="J202" i="4"/>
  <c r="K202" i="4" s="1"/>
  <c r="J293" i="2"/>
  <c r="K293" i="2" s="1"/>
  <c r="J109" i="2"/>
  <c r="K109" i="2" s="1"/>
  <c r="I10" i="7"/>
  <c r="K10" i="7" s="1"/>
  <c r="K9" i="7" s="1"/>
  <c r="J38" i="3"/>
  <c r="K38" i="3" s="1"/>
  <c r="J39" i="5"/>
  <c r="K39" i="5" s="1"/>
  <c r="J244" i="2"/>
  <c r="J266" i="2"/>
  <c r="K266" i="2" s="1"/>
  <c r="J111" i="3"/>
  <c r="J34" i="7"/>
  <c r="K34" i="7" s="1"/>
  <c r="J56" i="7"/>
  <c r="K56" i="7" s="1"/>
  <c r="J65" i="2"/>
  <c r="K65" i="2" s="1"/>
  <c r="J176" i="2"/>
  <c r="K176" i="2" s="1"/>
  <c r="J32" i="9"/>
  <c r="K32" i="9" s="1"/>
  <c r="J266" i="4"/>
  <c r="K266" i="4" s="1"/>
  <c r="J108" i="2"/>
  <c r="K108" i="2" s="1"/>
  <c r="J188" i="6"/>
  <c r="J176" i="4"/>
  <c r="J65" i="5"/>
  <c r="J27" i="8"/>
  <c r="K27" i="8" s="1"/>
  <c r="J41" i="6"/>
  <c r="J102" i="6"/>
  <c r="K102" i="6" s="1"/>
  <c r="J155" i="2"/>
  <c r="K155" i="2" s="1"/>
  <c r="J244" i="4"/>
  <c r="K244" i="4" s="1"/>
  <c r="J44" i="2"/>
  <c r="K44" i="2" s="1"/>
  <c r="J214" i="6"/>
  <c r="J155" i="4"/>
  <c r="J62" i="6"/>
  <c r="K62" i="6" s="1"/>
  <c r="J90" i="4"/>
  <c r="K90" i="4" s="1"/>
  <c r="J292" i="2"/>
  <c r="K292" i="2" s="1"/>
  <c r="J130" i="2"/>
  <c r="K130" i="2" s="1"/>
  <c r="J166" i="6"/>
  <c r="K166" i="6" s="1"/>
  <c r="J87" i="5"/>
  <c r="K87" i="5" s="1"/>
  <c r="J222" i="4"/>
  <c r="J64" i="3"/>
  <c r="K64" i="3" s="1"/>
  <c r="J80" i="6"/>
  <c r="J90" i="2"/>
  <c r="J112" i="5"/>
  <c r="J201" i="2"/>
  <c r="J123" i="6"/>
  <c r="J292" i="4"/>
  <c r="J65" i="4"/>
  <c r="K65" i="4" s="1"/>
  <c r="D30" i="11"/>
  <c r="D32" i="11" s="1"/>
  <c r="J54" i="9"/>
  <c r="K54" i="9" s="1"/>
  <c r="J44" i="4"/>
  <c r="J201" i="4"/>
  <c r="J86" i="3"/>
  <c r="K86" i="3" s="1"/>
  <c r="J130" i="4"/>
  <c r="J144" i="6"/>
  <c r="J108" i="4"/>
  <c r="K108" i="4" s="1"/>
  <c r="J222" i="2"/>
  <c r="K222" i="2" s="1"/>
  <c r="K103" i="7"/>
  <c r="I157" i="5"/>
  <c r="K157" i="5" s="1"/>
  <c r="K159" i="5" s="1"/>
  <c r="I177" i="3"/>
  <c r="K86" i="9"/>
  <c r="K101" i="9" s="1"/>
  <c r="K295" i="7"/>
  <c r="K118" i="7" s="1"/>
  <c r="K14" i="7" s="1"/>
  <c r="K111" i="3"/>
  <c r="K110" i="3"/>
  <c r="K421" i="5"/>
  <c r="K182" i="5" s="1"/>
  <c r="K17" i="5" s="1"/>
  <c r="K366" i="4"/>
  <c r="K19" i="4"/>
  <c r="K177" i="3"/>
  <c r="K203" i="9"/>
  <c r="K108" i="9" s="1"/>
  <c r="K116" i="9"/>
  <c r="I364" i="2"/>
  <c r="I24" i="2"/>
  <c r="K24" i="2" s="1"/>
  <c r="K19" i="2" s="1"/>
  <c r="I327" i="2"/>
  <c r="K327" i="2" s="1"/>
  <c r="K366" i="2" s="1"/>
  <c r="K159" i="3"/>
  <c r="K457" i="2"/>
  <c r="K25" i="2" s="1"/>
  <c r="I223" i="3"/>
  <c r="K223" i="3" s="1"/>
  <c r="K278" i="3" s="1"/>
  <c r="K65" i="5"/>
  <c r="K64" i="5"/>
  <c r="K66" i="5"/>
  <c r="K111" i="5"/>
  <c r="K112" i="5"/>
  <c r="K89" i="2"/>
  <c r="K91" i="2"/>
  <c r="K200" i="2"/>
  <c r="K201" i="2"/>
  <c r="K202" i="2"/>
  <c r="K167" i="3"/>
  <c r="K176" i="3"/>
  <c r="I312" i="5"/>
  <c r="I174" i="5"/>
  <c r="I16" i="5" s="1"/>
  <c r="I236" i="5"/>
  <c r="K170" i="7"/>
  <c r="G171" i="7"/>
  <c r="K318" i="3" l="1"/>
  <c r="K358" i="3" s="1"/>
  <c r="K357" i="3"/>
  <c r="I174" i="3" s="1"/>
  <c r="I16" i="3" s="1"/>
  <c r="K133" i="2"/>
  <c r="K139" i="2" s="1"/>
  <c r="J93" i="2"/>
  <c r="K65" i="6"/>
  <c r="K71" i="6" s="1"/>
  <c r="I8" i="6" s="1"/>
  <c r="K8" i="6" s="1"/>
  <c r="K80" i="6"/>
  <c r="J178" i="4"/>
  <c r="K178" i="4" s="1"/>
  <c r="J82" i="6"/>
  <c r="K82" i="6" s="1"/>
  <c r="J190" i="6"/>
  <c r="K190" i="6" s="1"/>
  <c r="J157" i="2"/>
  <c r="J67" i="5"/>
  <c r="J132" i="2"/>
  <c r="K132" i="2" s="1"/>
  <c r="J132" i="4"/>
  <c r="K132" i="4" s="1"/>
  <c r="J36" i="7"/>
  <c r="J224" i="2"/>
  <c r="J88" i="3"/>
  <c r="J58" i="7"/>
  <c r="J56" i="9"/>
  <c r="K56" i="9" s="1"/>
  <c r="K57" i="9" s="1"/>
  <c r="K63" i="9" s="1"/>
  <c r="K64" i="9" s="1"/>
  <c r="J46" i="4"/>
  <c r="K46" i="4" s="1"/>
  <c r="J146" i="6"/>
  <c r="K146" i="6" s="1"/>
  <c r="J92" i="2"/>
  <c r="K92" i="2" s="1"/>
  <c r="J92" i="4"/>
  <c r="J246" i="4"/>
  <c r="K246" i="4" s="1"/>
  <c r="K247" i="4" s="1"/>
  <c r="K254" i="4" s="1"/>
  <c r="J104" i="6"/>
  <c r="J246" i="2"/>
  <c r="K246" i="2" s="1"/>
  <c r="J46" i="2"/>
  <c r="J40" i="3"/>
  <c r="K40" i="3" s="1"/>
  <c r="K41" i="3" s="1"/>
  <c r="K48" i="3" s="1"/>
  <c r="J216" i="6"/>
  <c r="K216" i="6" s="1"/>
  <c r="J66" i="3"/>
  <c r="J294" i="4"/>
  <c r="K294" i="4" s="1"/>
  <c r="J110" i="4"/>
  <c r="K110" i="4" s="1"/>
  <c r="K111" i="4" s="1"/>
  <c r="K118" i="4" s="1"/>
  <c r="J64" i="6"/>
  <c r="K64" i="6" s="1"/>
  <c r="J178" i="2"/>
  <c r="K178" i="2" s="1"/>
  <c r="K179" i="2" s="1"/>
  <c r="K185" i="2" s="1"/>
  <c r="J203" i="2"/>
  <c r="J41" i="5"/>
  <c r="J113" i="3"/>
  <c r="K113" i="3" s="1"/>
  <c r="K114" i="3" s="1"/>
  <c r="K120" i="3" s="1"/>
  <c r="J29" i="8"/>
  <c r="K29" i="8" s="1"/>
  <c r="J67" i="4"/>
  <c r="K67" i="4" s="1"/>
  <c r="K68" i="4" s="1"/>
  <c r="K74" i="4" s="1"/>
  <c r="J110" i="2"/>
  <c r="J268" i="2"/>
  <c r="K268" i="2" s="1"/>
  <c r="K269" i="2" s="1"/>
  <c r="K276" i="2" s="1"/>
  <c r="J89" i="5"/>
  <c r="J43" i="6"/>
  <c r="K43" i="6" s="1"/>
  <c r="J114" i="5"/>
  <c r="J268" i="4"/>
  <c r="J168" i="6"/>
  <c r="K168" i="6" s="1"/>
  <c r="J157" i="4"/>
  <c r="K157" i="4" s="1"/>
  <c r="J34" i="9"/>
  <c r="J294" i="2"/>
  <c r="J67" i="2"/>
  <c r="K67" i="2" s="1"/>
  <c r="K68" i="2" s="1"/>
  <c r="K74" i="2" s="1"/>
  <c r="J224" i="4"/>
  <c r="K224" i="4" s="1"/>
  <c r="J125" i="6"/>
  <c r="K125" i="6" s="1"/>
  <c r="J203" i="4"/>
  <c r="K203" i="4" s="1"/>
  <c r="K155" i="4"/>
  <c r="K158" i="4" s="1"/>
  <c r="K164" i="4" s="1"/>
  <c r="K165" i="4" s="1"/>
  <c r="I12" i="4" s="1"/>
  <c r="K12" i="4" s="1"/>
  <c r="K90" i="2"/>
  <c r="K93" i="2" s="1"/>
  <c r="K99" i="2" s="1"/>
  <c r="I9" i="2" s="1"/>
  <c r="K9" i="2" s="1"/>
  <c r="J169" i="6"/>
  <c r="K222" i="4"/>
  <c r="K214" i="6"/>
  <c r="K217" i="6" s="1"/>
  <c r="K224" i="6" s="1"/>
  <c r="J217" i="6"/>
  <c r="K176" i="4"/>
  <c r="J179" i="4"/>
  <c r="K30" i="8"/>
  <c r="K36" i="8" s="1"/>
  <c r="J57" i="9"/>
  <c r="J30" i="8"/>
  <c r="K144" i="6"/>
  <c r="K147" i="6" s="1"/>
  <c r="K154" i="6" s="1"/>
  <c r="J147" i="6"/>
  <c r="K292" i="4"/>
  <c r="K295" i="4" s="1"/>
  <c r="K302" i="4" s="1"/>
  <c r="K303" i="4" s="1"/>
  <c r="J295" i="4"/>
  <c r="J191" i="6"/>
  <c r="K188" i="6"/>
  <c r="K191" i="6" s="1"/>
  <c r="K198" i="6" s="1"/>
  <c r="K44" i="4"/>
  <c r="J47" i="4"/>
  <c r="K130" i="4"/>
  <c r="J133" i="4"/>
  <c r="K123" i="6"/>
  <c r="J111" i="4"/>
  <c r="D33" i="11"/>
  <c r="K244" i="2"/>
  <c r="K247" i="2" s="1"/>
  <c r="K254" i="2" s="1"/>
  <c r="K41" i="6"/>
  <c r="J68" i="2"/>
  <c r="K169" i="6"/>
  <c r="K176" i="6" s="1"/>
  <c r="J269" i="2"/>
  <c r="J133" i="2"/>
  <c r="J247" i="4"/>
  <c r="J68" i="4"/>
  <c r="K201" i="4"/>
  <c r="K204" i="4" s="1"/>
  <c r="K210" i="4" s="1"/>
  <c r="K211" i="4" s="1"/>
  <c r="J204" i="4"/>
  <c r="K72" i="6"/>
  <c r="K119" i="4"/>
  <c r="I10" i="4"/>
  <c r="K10" i="4" s="1"/>
  <c r="K174" i="3"/>
  <c r="K16" i="3" s="1"/>
  <c r="K13" i="9"/>
  <c r="K205" i="9"/>
  <c r="K12" i="9" s="1"/>
  <c r="K423" i="3"/>
  <c r="I18" i="4"/>
  <c r="K18" i="4" s="1"/>
  <c r="I14" i="4"/>
  <c r="K14" i="4" s="1"/>
  <c r="I168" i="3"/>
  <c r="K168" i="3" s="1"/>
  <c r="K166" i="3" s="1"/>
  <c r="K312" i="5"/>
  <c r="I176" i="5"/>
  <c r="I8" i="2"/>
  <c r="K8" i="2" s="1"/>
  <c r="K75" i="2"/>
  <c r="I11" i="2"/>
  <c r="K11" i="2" s="1"/>
  <c r="K140" i="2"/>
  <c r="I169" i="5"/>
  <c r="K236" i="5"/>
  <c r="K279" i="5"/>
  <c r="I166" i="5" s="1"/>
  <c r="I15" i="5" s="1"/>
  <c r="I171" i="7"/>
  <c r="G179" i="7"/>
  <c r="I10" i="3" l="1"/>
  <c r="K10" i="3" s="1"/>
  <c r="K121" i="3"/>
  <c r="J114" i="3"/>
  <c r="I17" i="2"/>
  <c r="K17" i="2" s="1"/>
  <c r="K277" i="2"/>
  <c r="K49" i="3"/>
  <c r="I7" i="3"/>
  <c r="K7" i="3" s="1"/>
  <c r="K255" i="2"/>
  <c r="I16" i="2"/>
  <c r="K16" i="2" s="1"/>
  <c r="J47" i="2"/>
  <c r="K46" i="2"/>
  <c r="K47" i="2" s="1"/>
  <c r="K53" i="2" s="1"/>
  <c r="K157" i="2"/>
  <c r="K158" i="2" s="1"/>
  <c r="K164" i="2" s="1"/>
  <c r="J158" i="2"/>
  <c r="J225" i="4"/>
  <c r="K89" i="5"/>
  <c r="K90" i="5" s="1"/>
  <c r="K96" i="5" s="1"/>
  <c r="J90" i="5"/>
  <c r="I13" i="2"/>
  <c r="K13" i="2" s="1"/>
  <c r="K186" i="2"/>
  <c r="K58" i="7"/>
  <c r="K59" i="7" s="1"/>
  <c r="K65" i="7" s="1"/>
  <c r="J59" i="7"/>
  <c r="K225" i="6"/>
  <c r="I15" i="6"/>
  <c r="K15" i="6" s="1"/>
  <c r="K41" i="5"/>
  <c r="K42" i="5" s="1"/>
  <c r="K49" i="5" s="1"/>
  <c r="J42" i="5"/>
  <c r="K126" i="6"/>
  <c r="K132" i="6" s="1"/>
  <c r="I7" i="8"/>
  <c r="K7" i="8" s="1"/>
  <c r="K6" i="8" s="1"/>
  <c r="K37" i="8"/>
  <c r="K41" i="8" s="1"/>
  <c r="I69" i="8" s="1"/>
  <c r="K69" i="8" s="1"/>
  <c r="K70" i="8" s="1"/>
  <c r="K11" i="8" s="1"/>
  <c r="K14" i="8" s="1"/>
  <c r="K15" i="8" s="1"/>
  <c r="K294" i="2"/>
  <c r="K295" i="2" s="1"/>
  <c r="K302" i="2" s="1"/>
  <c r="J295" i="2"/>
  <c r="K104" i="6"/>
  <c r="K105" i="6" s="1"/>
  <c r="K111" i="6" s="1"/>
  <c r="J105" i="6"/>
  <c r="J89" i="3"/>
  <c r="K88" i="3"/>
  <c r="K89" i="3" s="1"/>
  <c r="K95" i="3" s="1"/>
  <c r="K47" i="4"/>
  <c r="K53" i="4" s="1"/>
  <c r="K199" i="6"/>
  <c r="I14" i="6"/>
  <c r="K14" i="6" s="1"/>
  <c r="J126" i="6"/>
  <c r="K34" i="9"/>
  <c r="K35" i="9" s="1"/>
  <c r="K42" i="9" s="1"/>
  <c r="J35" i="9"/>
  <c r="K110" i="2"/>
  <c r="K111" i="2" s="1"/>
  <c r="K118" i="2" s="1"/>
  <c r="J111" i="2"/>
  <c r="I16" i="4"/>
  <c r="K16" i="4" s="1"/>
  <c r="K255" i="4"/>
  <c r="K224" i="2"/>
  <c r="K225" i="2" s="1"/>
  <c r="K232" i="2" s="1"/>
  <c r="J225" i="2"/>
  <c r="I8" i="4"/>
  <c r="K8" i="4" s="1"/>
  <c r="K75" i="4"/>
  <c r="J93" i="4"/>
  <c r="K92" i="4"/>
  <c r="K93" i="4" s="1"/>
  <c r="K99" i="4" s="1"/>
  <c r="J37" i="7"/>
  <c r="K36" i="7"/>
  <c r="K37" i="7" s="1"/>
  <c r="K44" i="7" s="1"/>
  <c r="J83" i="6"/>
  <c r="J115" i="5"/>
  <c r="K114" i="5"/>
  <c r="K115" i="5" s="1"/>
  <c r="K121" i="5" s="1"/>
  <c r="K122" i="5" s="1"/>
  <c r="K177" i="6"/>
  <c r="I13" i="6"/>
  <c r="K13" i="6" s="1"/>
  <c r="K203" i="2"/>
  <c r="K204" i="2" s="1"/>
  <c r="K210" i="2" s="1"/>
  <c r="J204" i="2"/>
  <c r="K225" i="4"/>
  <c r="K232" i="4" s="1"/>
  <c r="I8" i="9"/>
  <c r="J179" i="2"/>
  <c r="J247" i="2"/>
  <c r="K179" i="4"/>
  <c r="K185" i="4" s="1"/>
  <c r="J158" i="4"/>
  <c r="K66" i="3"/>
  <c r="K67" i="3" s="1"/>
  <c r="K74" i="3" s="1"/>
  <c r="J67" i="3"/>
  <c r="K133" i="4"/>
  <c r="K139" i="4" s="1"/>
  <c r="K83" i="6"/>
  <c r="K90" i="6" s="1"/>
  <c r="K67" i="5"/>
  <c r="K68" i="5" s="1"/>
  <c r="K75" i="5" s="1"/>
  <c r="J68" i="5"/>
  <c r="J41" i="3"/>
  <c r="J44" i="6"/>
  <c r="K44" i="6"/>
  <c r="K50" i="6" s="1"/>
  <c r="J65" i="6"/>
  <c r="I12" i="6"/>
  <c r="K12" i="6" s="1"/>
  <c r="K155" i="6"/>
  <c r="J269" i="4"/>
  <c r="K268" i="4"/>
  <c r="K269" i="4" s="1"/>
  <c r="K276" i="4" s="1"/>
  <c r="K100" i="2"/>
  <c r="I10" i="5"/>
  <c r="K10" i="5" s="1"/>
  <c r="K15" i="3"/>
  <c r="K14" i="3" s="1"/>
  <c r="K190" i="3"/>
  <c r="K176" i="5"/>
  <c r="K359" i="5"/>
  <c r="K174" i="5" s="1"/>
  <c r="K16" i="5" s="1"/>
  <c r="G192" i="7"/>
  <c r="K179" i="7"/>
  <c r="K114" i="7" s="1"/>
  <c r="K171" i="7"/>
  <c r="K113" i="7" s="1"/>
  <c r="I113" i="7"/>
  <c r="K213" i="7"/>
  <c r="I110" i="7" s="1"/>
  <c r="I13" i="7" s="1"/>
  <c r="K8" i="9"/>
  <c r="K169" i="5"/>
  <c r="K280" i="5"/>
  <c r="K76" i="5"/>
  <c r="I8" i="5"/>
  <c r="K8" i="5" s="1"/>
  <c r="K66" i="7" l="1"/>
  <c r="I8" i="7"/>
  <c r="K8" i="7" s="1"/>
  <c r="K100" i="4"/>
  <c r="I9" i="4"/>
  <c r="K9" i="4" s="1"/>
  <c r="K54" i="4"/>
  <c r="I7" i="4"/>
  <c r="K7" i="4" s="1"/>
  <c r="I7" i="6"/>
  <c r="K7" i="6" s="1"/>
  <c r="K6" i="6" s="1"/>
  <c r="K51" i="6"/>
  <c r="I13" i="4"/>
  <c r="K13" i="4" s="1"/>
  <c r="K186" i="4"/>
  <c r="I9" i="3"/>
  <c r="K9" i="3" s="1"/>
  <c r="K96" i="3"/>
  <c r="I11" i="6"/>
  <c r="K11" i="6" s="1"/>
  <c r="K133" i="6"/>
  <c r="K227" i="6" s="1"/>
  <c r="K373" i="6" s="1"/>
  <c r="K277" i="4"/>
  <c r="K305" i="4" s="1"/>
  <c r="K451" i="4" s="1"/>
  <c r="I456" i="4" s="1"/>
  <c r="K456" i="4" s="1"/>
  <c r="K457" i="4" s="1"/>
  <c r="K460" i="4" s="1"/>
  <c r="K467" i="4" s="1"/>
  <c r="I17" i="4"/>
  <c r="K17" i="4" s="1"/>
  <c r="I10" i="2"/>
  <c r="K10" i="2" s="1"/>
  <c r="K119" i="2"/>
  <c r="K75" i="3"/>
  <c r="I8" i="3"/>
  <c r="K8" i="3" s="1"/>
  <c r="K6" i="3" s="1"/>
  <c r="K73" i="8"/>
  <c r="K81" i="8" s="1"/>
  <c r="K50" i="5"/>
  <c r="I7" i="5"/>
  <c r="K7" i="5" s="1"/>
  <c r="K6" i="5" s="1"/>
  <c r="K97" i="5"/>
  <c r="I9" i="5"/>
  <c r="K9" i="5" s="1"/>
  <c r="I7" i="2"/>
  <c r="K7" i="2" s="1"/>
  <c r="K54" i="2"/>
  <c r="K305" i="2" s="1"/>
  <c r="K459" i="2" s="1"/>
  <c r="K471" i="2" s="1"/>
  <c r="I477" i="2" s="1"/>
  <c r="K477" i="2" s="1"/>
  <c r="K478" i="2" s="1"/>
  <c r="K28" i="2" s="1"/>
  <c r="K43" i="9"/>
  <c r="I7" i="9"/>
  <c r="I10" i="6"/>
  <c r="K10" i="6" s="1"/>
  <c r="K112" i="6"/>
  <c r="K140" i="4"/>
  <c r="I11" i="4"/>
  <c r="K11" i="4" s="1"/>
  <c r="K233" i="4"/>
  <c r="I15" i="4"/>
  <c r="K15" i="4" s="1"/>
  <c r="K211" i="2"/>
  <c r="I14" i="2"/>
  <c r="K14" i="2" s="1"/>
  <c r="I9" i="6"/>
  <c r="K9" i="6" s="1"/>
  <c r="K91" i="6"/>
  <c r="K45" i="7"/>
  <c r="I7" i="7"/>
  <c r="K7" i="7" s="1"/>
  <c r="K6" i="7" s="1"/>
  <c r="K233" i="2"/>
  <c r="I15" i="2"/>
  <c r="K15" i="2" s="1"/>
  <c r="I18" i="2"/>
  <c r="K18" i="2" s="1"/>
  <c r="K303" i="2"/>
  <c r="I12" i="2"/>
  <c r="K12" i="2" s="1"/>
  <c r="K165" i="2"/>
  <c r="G203" i="7"/>
  <c r="K192" i="7"/>
  <c r="K115" i="7" s="1"/>
  <c r="K452" i="5"/>
  <c r="K166" i="5"/>
  <c r="K124" i="5" l="1"/>
  <c r="K471" i="5" s="1"/>
  <c r="I478" i="5" s="1"/>
  <c r="K478" i="5" s="1"/>
  <c r="I22" i="5" s="1"/>
  <c r="K22" i="5" s="1"/>
  <c r="K82" i="8"/>
  <c r="K79" i="8"/>
  <c r="I232" i="9"/>
  <c r="K232" i="9" s="1"/>
  <c r="I16" i="9" s="1"/>
  <c r="K16" i="9" s="1"/>
  <c r="I378" i="6"/>
  <c r="K378" i="6" s="1"/>
  <c r="K379" i="6" s="1"/>
  <c r="K25" i="6" s="1"/>
  <c r="K26" i="6" s="1"/>
  <c r="K28" i="6" s="1"/>
  <c r="K29" i="6" s="1"/>
  <c r="K6" i="4"/>
  <c r="K468" i="4"/>
  <c r="K466" i="4"/>
  <c r="K469" i="4"/>
  <c r="K124" i="3"/>
  <c r="K439" i="3" s="1"/>
  <c r="I446" i="3" s="1"/>
  <c r="K446" i="3" s="1"/>
  <c r="I21" i="3" s="1"/>
  <c r="K21" i="3" s="1"/>
  <c r="K7" i="9"/>
  <c r="K6" i="9" s="1"/>
  <c r="K66" i="9"/>
  <c r="K226" i="9" s="1"/>
  <c r="I233" i="9" s="1"/>
  <c r="K233" i="9" s="1"/>
  <c r="I17" i="9" s="1"/>
  <c r="K17" i="9" s="1"/>
  <c r="K80" i="8"/>
  <c r="K6" i="2"/>
  <c r="K29" i="2" s="1"/>
  <c r="K31" i="2" s="1"/>
  <c r="K32" i="2" s="1"/>
  <c r="K68" i="7"/>
  <c r="K28" i="4"/>
  <c r="K29" i="4" s="1"/>
  <c r="K31" i="4" s="1"/>
  <c r="K32" i="4" s="1"/>
  <c r="G208" i="7"/>
  <c r="K208" i="7" s="1"/>
  <c r="K203" i="7"/>
  <c r="K116" i="7" s="1"/>
  <c r="K234" i="9"/>
  <c r="K15" i="5"/>
  <c r="K14" i="5" s="1"/>
  <c r="K193" i="5"/>
  <c r="K481" i="2"/>
  <c r="K83" i="8" l="1"/>
  <c r="K470" i="4"/>
  <c r="K477" i="5"/>
  <c r="K479" i="5" s="1"/>
  <c r="K482" i="5" s="1"/>
  <c r="K382" i="6"/>
  <c r="K117" i="7"/>
  <c r="K214" i="7"/>
  <c r="K15" i="9"/>
  <c r="K18" i="9" s="1"/>
  <c r="K237" i="9"/>
  <c r="K487" i="2"/>
  <c r="K489" i="2"/>
  <c r="K490" i="2"/>
  <c r="I445" i="3"/>
  <c r="K445" i="3" s="1"/>
  <c r="K488" i="2"/>
  <c r="I21" i="5" l="1"/>
  <c r="K21" i="5" s="1"/>
  <c r="K20" i="5" s="1"/>
  <c r="K23" i="5" s="1"/>
  <c r="K25" i="5" s="1"/>
  <c r="K390" i="6"/>
  <c r="K391" i="6"/>
  <c r="K388" i="6"/>
  <c r="I323" i="7"/>
  <c r="K323" i="7" s="1"/>
  <c r="K389" i="6"/>
  <c r="K491" i="2"/>
  <c r="K298" i="7"/>
  <c r="K317" i="7" s="1"/>
  <c r="K110" i="7"/>
  <c r="K19" i="9"/>
  <c r="H19" i="1"/>
  <c r="I20" i="3"/>
  <c r="K20" i="3" s="1"/>
  <c r="K19" i="3" s="1"/>
  <c r="K22" i="3" s="1"/>
  <c r="K447" i="3"/>
  <c r="K450" i="3" s="1"/>
  <c r="K392" i="6" l="1"/>
  <c r="K24" i="5"/>
  <c r="H17" i="1"/>
  <c r="I17" i="1" s="1"/>
  <c r="I17" i="7"/>
  <c r="K17" i="7" s="1"/>
  <c r="I324" i="7"/>
  <c r="K324" i="7" s="1"/>
  <c r="I18" i="7" s="1"/>
  <c r="K18" i="7" s="1"/>
  <c r="K13" i="7"/>
  <c r="K12" i="7" s="1"/>
  <c r="K126" i="7"/>
  <c r="I19" i="1"/>
  <c r="G19" i="1"/>
  <c r="K23" i="3"/>
  <c r="H16" i="1"/>
  <c r="K24" i="3"/>
  <c r="K325" i="7" l="1"/>
  <c r="K328" i="7" s="1"/>
  <c r="K16" i="7"/>
  <c r="K19" i="7"/>
  <c r="H18" i="1" s="1"/>
  <c r="H20" i="1" s="1"/>
  <c r="G17" i="1"/>
  <c r="G16" i="1"/>
  <c r="I16" i="1"/>
  <c r="K21" i="7" l="1"/>
  <c r="K20" i="7"/>
  <c r="G18" i="1"/>
  <c r="I18" i="1"/>
  <c r="I20" i="1" s="1"/>
  <c r="H12" i="1" s="1"/>
</calcChain>
</file>

<file path=xl/sharedStrings.xml><?xml version="1.0" encoding="utf-8"?>
<sst xmlns="http://schemas.openxmlformats.org/spreadsheetml/2006/main" count="6611" uniqueCount="1685">
  <si>
    <t>1. RESUMO</t>
  </si>
  <si>
    <t>OBJETO</t>
  </si>
  <si>
    <r>
      <rPr>
        <sz val="11"/>
        <color theme="1"/>
        <rFont val="Arial"/>
        <family val="2"/>
        <charset val="1"/>
      </rPr>
      <t>Contratação</t>
    </r>
    <r>
      <rPr>
        <sz val="11"/>
        <color rgb="FFFF0000"/>
        <rFont val="Arial"/>
        <family val="2"/>
        <charset val="1"/>
      </rPr>
      <t xml:space="preserve"> </t>
    </r>
    <r>
      <rPr>
        <sz val="11"/>
        <rFont val="Arial"/>
        <family val="2"/>
        <charset val="1"/>
      </rPr>
      <t>emergencial</t>
    </r>
    <r>
      <rPr>
        <sz val="11"/>
        <color theme="1"/>
        <rFont val="Arial"/>
        <family val="2"/>
        <charset val="1"/>
      </rPr>
      <t xml:space="preserve"> de empresa para a prestação de serviços de coleta domiciliar, urbana e rural, coleta conteinerizada, coleta seletiva de resíduos recicláveis, coleta de óleo saturado de cozinha e respectivos transportes até o destino final</t>
    </r>
  </si>
  <si>
    <t>DISPENSA DE LICITAÇÃO Nº 03/2026</t>
  </si>
  <si>
    <t>DATA: _____/10/2026</t>
  </si>
  <si>
    <t>Discriminação dos Serviços (dados referentes à contratação)</t>
  </si>
  <si>
    <t>A</t>
  </si>
  <si>
    <t>Contratante</t>
  </si>
  <si>
    <t>SANEP</t>
  </si>
  <si>
    <t>B</t>
  </si>
  <si>
    <t>Município/UF</t>
  </si>
  <si>
    <t>Pelotas/RS</t>
  </si>
  <si>
    <t>C</t>
  </si>
  <si>
    <t>Tipo de Serviço</t>
  </si>
  <si>
    <t>Serviço de Engenharia</t>
  </si>
  <si>
    <t>D</t>
  </si>
  <si>
    <t>Número de meses de execução contratual</t>
  </si>
  <si>
    <t>E</t>
  </si>
  <si>
    <t>Estimativa total de contratação para o período</t>
  </si>
  <si>
    <t>ITEM</t>
  </si>
  <si>
    <t>SERVIÇO</t>
  </si>
  <si>
    <t>QUANTIDADE MENSAL</t>
  </si>
  <si>
    <t>UNIDADE</t>
  </si>
  <si>
    <t>VALOR UNITÁRIO</t>
  </si>
  <si>
    <t>VALOR MENSAL ESTIMADO</t>
  </si>
  <si>
    <t>VALOR TOTAL ESTIMADO POR 
6 MESES</t>
  </si>
  <si>
    <t>Serviços de coleta e transporte de Resíduos Sólidos Domésticos da zona urbana e rural</t>
  </si>
  <si>
    <t>Tonelada</t>
  </si>
  <si>
    <t>Serviços de coleta conteinerizada, e de transporte de resíduos sólidos domésticos</t>
  </si>
  <si>
    <t>Contêiner</t>
  </si>
  <si>
    <t xml:space="preserve">Serviços de coleta seletiva e transporte de resíduos recicláveis </t>
  </si>
  <si>
    <t>Equipe</t>
  </si>
  <si>
    <t>Serviços de coleta e transporte de óleo saturado de cozinha.</t>
  </si>
  <si>
    <t>Serviço</t>
  </si>
  <si>
    <t>TOTAL</t>
  </si>
  <si>
    <t>2. COMPOSIÇÃO DE CUSTOS COM ADMINISTRAÇÃO LOCAL</t>
  </si>
  <si>
    <t>ORÇAMENTO SINTÉTICO</t>
  </si>
  <si>
    <t>DESCRIÇÃO DO ITEM</t>
  </si>
  <si>
    <t>QUANT.</t>
  </si>
  <si>
    <t>CUSTO UNITÁRIO MENSAL</t>
  </si>
  <si>
    <t>CUSTO TOTAL MENSAL</t>
  </si>
  <si>
    <t xml:space="preserve">2.1. </t>
  </si>
  <si>
    <t>MÃO DE OBRA INDIRETA</t>
  </si>
  <si>
    <t>2.1.1.</t>
  </si>
  <si>
    <t>Gerente Geral</t>
  </si>
  <si>
    <t>2.1.2.</t>
  </si>
  <si>
    <t>Encarregado (diurno)</t>
  </si>
  <si>
    <t>2.1.3.</t>
  </si>
  <si>
    <t>Encarregado (noturno)</t>
  </si>
  <si>
    <t>2.1.4.</t>
  </si>
  <si>
    <t>Auxiliar Administrativo</t>
  </si>
  <si>
    <t>2.1.5.</t>
  </si>
  <si>
    <t>Mecânico (diurno)</t>
  </si>
  <si>
    <t>2.1.6.</t>
  </si>
  <si>
    <t>Mecânico (noturno)</t>
  </si>
  <si>
    <t>2.1.7.</t>
  </si>
  <si>
    <t>Auxiliar de Mecânico (diurno)</t>
  </si>
  <si>
    <t>2.1.8.</t>
  </si>
  <si>
    <t>Auxiliar de Mecânico (noturno)</t>
  </si>
  <si>
    <t>2.1.9.</t>
  </si>
  <si>
    <t>Auxiliar de Serviços Gerais</t>
  </si>
  <si>
    <t>2.1.10.</t>
  </si>
  <si>
    <t>Lavador de Veículos</t>
  </si>
  <si>
    <t>2.1.11.</t>
  </si>
  <si>
    <t>Vigia (diurno)</t>
  </si>
  <si>
    <t>2.1.12.</t>
  </si>
  <si>
    <t>Vigia (noturno)</t>
  </si>
  <si>
    <t>2.2.</t>
  </si>
  <si>
    <t>UNIFORMES E EPIs</t>
  </si>
  <si>
    <t>2.2.1.</t>
  </si>
  <si>
    <t>Uniformes e EPIs para Gerente e Auxiliar Administrativo</t>
  </si>
  <si>
    <t>2.2.2.</t>
  </si>
  <si>
    <t>Uniformes e EPIs para Encarregado</t>
  </si>
  <si>
    <t>2.2.3.</t>
  </si>
  <si>
    <t>Uniformes e EPIs para Mecânico e Auxiliar de Mecânico</t>
  </si>
  <si>
    <t>2.2.4.</t>
  </si>
  <si>
    <t xml:space="preserve">Uniformes e EPIs para Auxiliar de Serviços Gerais e Lavador de Veículos </t>
  </si>
  <si>
    <t>2.2.5.</t>
  </si>
  <si>
    <t>Uniformes e EPIs para Vigia</t>
  </si>
  <si>
    <t>2.3.</t>
  </si>
  <si>
    <t>VEÍCULOS E EQUIPAMENTOS</t>
  </si>
  <si>
    <t>2.3.1.</t>
  </si>
  <si>
    <t>Veículo tipo popular</t>
  </si>
  <si>
    <t>2.4.</t>
  </si>
  <si>
    <t>DESPESAS ADMINISTRATIVAS</t>
  </si>
  <si>
    <t>2.5.</t>
  </si>
  <si>
    <t>BDI</t>
  </si>
  <si>
    <t>DESPESAS MENSAIS TOTAIS COM ADMINISTRAÇÃO LOCAL</t>
  </si>
  <si>
    <t>DISTRIBUIÇÃO DOS CUSTOS COM ADMINISTRAÇÃO LOCAL POR COLETA</t>
  </si>
  <si>
    <t>%</t>
  </si>
  <si>
    <t>R$/MÊS</t>
  </si>
  <si>
    <t>Coleta de Resíduos Sólidos Domésticos</t>
  </si>
  <si>
    <t>A proporcionalidade utilizada para distribuição dos custos com administração local por tipo de coleta foi calculado com base no histórico de custos do ano de 2025.</t>
  </si>
  <si>
    <t>2.1. DETALHAMENTO MÃO DE OBRA INDIRETA</t>
  </si>
  <si>
    <t>2.1.1. Gerente Geral</t>
  </si>
  <si>
    <t>I</t>
  </si>
  <si>
    <t>Grupo I - Composição da Remuneração</t>
  </si>
  <si>
    <t>Valor mensal/Posto</t>
  </si>
  <si>
    <t>I.A</t>
  </si>
  <si>
    <t>Salário-base mensal</t>
  </si>
  <si>
    <t>TOTAL GRUPO I</t>
  </si>
  <si>
    <t>II</t>
  </si>
  <si>
    <t>Grupo II - Encargos Sociais</t>
  </si>
  <si>
    <t>II.A</t>
  </si>
  <si>
    <t>Obrigações Sociais</t>
  </si>
  <si>
    <t>II.B</t>
  </si>
  <si>
    <t>Tempo não trabalhado (reposição de profissional ausente)</t>
  </si>
  <si>
    <t>II.C</t>
  </si>
  <si>
    <t>Provisão para rescisão</t>
  </si>
  <si>
    <t>II.D</t>
  </si>
  <si>
    <t>Reincidências</t>
  </si>
  <si>
    <t>TOTAL GRUPO II</t>
  </si>
  <si>
    <t>III</t>
  </si>
  <si>
    <t>Grupo III - Demais Custos Relativos à Norma Coletiva ou Disposições Legais</t>
  </si>
  <si>
    <t>Média/Mês</t>
  </si>
  <si>
    <t>Custo un.</t>
  </si>
  <si>
    <t>Desc. (%)</t>
  </si>
  <si>
    <t>III.A</t>
  </si>
  <si>
    <t>Auxílio-alimentação (Desconto: cláusula 19ª CCT SEEAC-Pel)</t>
  </si>
  <si>
    <t>III.B</t>
  </si>
  <si>
    <t>Vale Transporte (4 Passagens/dia; Desconto: Lei 7.418/1985)</t>
  </si>
  <si>
    <t>III.C</t>
  </si>
  <si>
    <t>Plano de Benefício Familiar</t>
  </si>
  <si>
    <t>TOTAL GRUPO III</t>
  </si>
  <si>
    <t>TOTAL MENSAL POR GERENTE GERAL (GRUPO I+II+III)</t>
  </si>
  <si>
    <t>TOTAL MENSAL DO EFETIVO</t>
  </si>
  <si>
    <t>posto</t>
  </si>
  <si>
    <t>2.1.2. Encarregado (diurno)</t>
  </si>
  <si>
    <t>Quantidade</t>
  </si>
  <si>
    <t>Unidade</t>
  </si>
  <si>
    <t>h</t>
  </si>
  <si>
    <t>I.A.1</t>
  </si>
  <si>
    <t>Hora extra 100% (feriados)</t>
  </si>
  <si>
    <t>I.A.2</t>
  </si>
  <si>
    <t>Descanso Semanal Remunerado (DSR) - hora extra</t>
  </si>
  <si>
    <t>I.B</t>
  </si>
  <si>
    <t>Adicional de Insalubridade</t>
  </si>
  <si>
    <t>TOTAL MENSAL POR ENCARREGADO - DIURNO (GRUPO I+II+III)</t>
  </si>
  <si>
    <t>2.1.3. Encarregado (noturno)</t>
  </si>
  <si>
    <t>Adicional Noturno</t>
  </si>
  <si>
    <t>h. trab.</t>
  </si>
  <si>
    <t>h. contab.</t>
  </si>
  <si>
    <t>I.B.1</t>
  </si>
  <si>
    <t>I.B.2</t>
  </si>
  <si>
    <t>Hora extra noturna 100% (feriado)</t>
  </si>
  <si>
    <t>I.B.3</t>
  </si>
  <si>
    <t>Hora extra noturna 100% contabilizada</t>
  </si>
  <si>
    <t>I.B.4</t>
  </si>
  <si>
    <t>I.C</t>
  </si>
  <si>
    <t>TOTAL MENSAL POR ENCARREGADO - NOTURNO (GRUPO I+II+III)</t>
  </si>
  <si>
    <t>2.1.4. Auxiliar Administrativo</t>
  </si>
  <si>
    <t>Vale Transporte (4 Passagens/dia; Desc: cláusula 21ª CCT)</t>
  </si>
  <si>
    <t>III.D</t>
  </si>
  <si>
    <t>Assiduidade (cláusula 19ª CCT SEEAC-PEL)</t>
  </si>
  <si>
    <t>TOTAL MENSAL POR AUXILIAR ADMINISTRATIVO (GRUPO I+II+III)</t>
  </si>
  <si>
    <t>2.1.5. Mecânico (diurno)</t>
  </si>
  <si>
    <t>Auxílio-alimentação</t>
  </si>
  <si>
    <t>TOTAL MENSAL POR MECÂNICO (GRUPO I+II+III)</t>
  </si>
  <si>
    <t>2.1.6. Mecânico (noturno)</t>
  </si>
  <si>
    <t xml:space="preserve">Descanso Semanal Remunerado (DSR) </t>
  </si>
  <si>
    <t>Vale Transporte (4 passagens diárias)</t>
  </si>
  <si>
    <t>2.1.7. Auxiliar de Mecânico (diurno)</t>
  </si>
  <si>
    <t>TOTAL MENSAL POR AUXILIAR DE MECÂNICO (GRUPO I+II+III)</t>
  </si>
  <si>
    <t>2.1.8. Auxiliar de Mecânico (noturno)</t>
  </si>
  <si>
    <t>2.1.9. Auxiliar de Serviços Gerais</t>
  </si>
  <si>
    <t>TOTAL MENSAL POR AUXILIAR DE SERVIÇOS GERAIS (GRUPO I+II+III)</t>
  </si>
  <si>
    <t>2.1.10. Lavador de Veículos</t>
  </si>
  <si>
    <t>TOTAL MENSAL POR LAVADOR DE VEÍCULOS (GRUPO I+II+III)</t>
  </si>
  <si>
    <t>2.1.11. Vigia (diurno) - Escala 12 x 36</t>
  </si>
  <si>
    <t>TOTAL MENSAL POR VIGIA (GRUPO I+II+III)</t>
  </si>
  <si>
    <t>2.1.12. Vigia (noturno) - Escala 12 x 36</t>
  </si>
  <si>
    <t>CUSTO MENSAL  COM MÃO DE OBRA INDIRETA</t>
  </si>
  <si>
    <t>2.2. DETALHAMENTO UNIFORMES E EQUIPAMENTOS DE PROTEÇÃO INDIVIDUAL - MÃO DE OBRA INDIRETA</t>
  </si>
  <si>
    <t>2.2.1. Uniformes e EPIs para Gerente e Auxiliar Administrativo</t>
  </si>
  <si>
    <t>Descrição</t>
  </si>
  <si>
    <t>Quant.
anual</t>
  </si>
  <si>
    <t>Preço médio un.</t>
  </si>
  <si>
    <t>Valor mensal unitário</t>
  </si>
  <si>
    <t>Valor mensal total</t>
  </si>
  <si>
    <t>Camiseta manga curta</t>
  </si>
  <si>
    <t>Jaqueta</t>
  </si>
  <si>
    <t>CUSTO MENSAL TOTAL/POSTO</t>
  </si>
  <si>
    <t>CUSTO MENSAL TOTAL</t>
  </si>
  <si>
    <t>2.2.2. Uniformes e EPIs para Encarregado</t>
  </si>
  <si>
    <t>Calça</t>
  </si>
  <si>
    <t>Jaqueta com refletivo</t>
  </si>
  <si>
    <t>Botina de segurança</t>
  </si>
  <si>
    <t xml:space="preserve">Luva de segurança </t>
  </si>
  <si>
    <t>Conjunto impermeável (calça + jaqueta) c/ refletivo</t>
  </si>
  <si>
    <t xml:space="preserve">Colete refletivo </t>
  </si>
  <si>
    <t>2.2.3. Uniformes e EPIs para Mecânico e Auxiliar de Mecânico</t>
  </si>
  <si>
    <t>Macacão manga curta</t>
  </si>
  <si>
    <t>Macacão manga longa</t>
  </si>
  <si>
    <t>Creme de proteção para as mãos</t>
  </si>
  <si>
    <t>Óculos de segurança com proteção lateral</t>
  </si>
  <si>
    <t>Luva multitato</t>
  </si>
  <si>
    <t>Capa de chuva</t>
  </si>
  <si>
    <t>2.2.4. Uniformes e EPIs para Auxiliar de Serviços Gerais e Lavador de Veículos</t>
  </si>
  <si>
    <t>Luva de látex</t>
  </si>
  <si>
    <t>Avental impermeável</t>
  </si>
  <si>
    <t>2.2.5. Uniformes e EPIs para Vigia</t>
  </si>
  <si>
    <t>Botina ou coturno de segurança</t>
  </si>
  <si>
    <t>Colete Refletivo</t>
  </si>
  <si>
    <t>CUSTO MENSAL TOTAL/VIGIA</t>
  </si>
  <si>
    <t>CUSTO MENSAL  COM UNIFORMES E EPIs</t>
  </si>
  <si>
    <t>2.3. VEÍCULOS E EQUIPAMENTOS</t>
  </si>
  <si>
    <t>Resumo Custos com Veículos e Equipamentos</t>
  </si>
  <si>
    <t>Item</t>
  </si>
  <si>
    <t>Custo mensal unitário</t>
  </si>
  <si>
    <t>Custo mensal total</t>
  </si>
  <si>
    <t>Veículo Tipo Carro Popular</t>
  </si>
  <si>
    <t>2.3.1.1.</t>
  </si>
  <si>
    <t>Depreciação</t>
  </si>
  <si>
    <t>2.3.1.2.</t>
  </si>
  <si>
    <t>Remuneração do Capital</t>
  </si>
  <si>
    <t>2.3.1.3.</t>
  </si>
  <si>
    <t>Impostos, Seguros e Outros</t>
  </si>
  <si>
    <t>2.3.1.4.</t>
  </si>
  <si>
    <t>Consumos</t>
  </si>
  <si>
    <t>2.3.1.5.</t>
  </si>
  <si>
    <t>Pneus</t>
  </si>
  <si>
    <t>2.3.1.6.</t>
  </si>
  <si>
    <t>Manutenção</t>
  </si>
  <si>
    <t>CUSTO MENSAL ESTIMADO</t>
  </si>
  <si>
    <t>2.3.1. Veículo Tipo Carro Popular</t>
  </si>
  <si>
    <t>2.3.1.1. Depreciação</t>
  </si>
  <si>
    <t>Custo unitário</t>
  </si>
  <si>
    <t>Custo total</t>
  </si>
  <si>
    <t>Custo de aquisição do veículo</t>
  </si>
  <si>
    <t>unidade</t>
  </si>
  <si>
    <t>Vida útil do veículo</t>
  </si>
  <si>
    <t>anos</t>
  </si>
  <si>
    <t>Idade do veículo</t>
  </si>
  <si>
    <t>Depreciação do veículo</t>
  </si>
  <si>
    <t>Depreciação mensal do veículo</t>
  </si>
  <si>
    <t>mês</t>
  </si>
  <si>
    <t>Total Depreciação mensal da frota</t>
  </si>
  <si>
    <t>2.3.1.2. Remuneração do Capital</t>
  </si>
  <si>
    <t>Custo do veículo</t>
  </si>
  <si>
    <t>Taxa de juros anual nominal (Selic)</t>
  </si>
  <si>
    <r>
      <rPr>
        <sz val="11"/>
        <color theme="1"/>
        <rFont val="Calibri"/>
        <family val="2"/>
        <charset val="1"/>
      </rPr>
      <t>Valor do veículo proposto (V</t>
    </r>
    <r>
      <rPr>
        <vertAlign val="subscript"/>
        <sz val="11"/>
        <color theme="1"/>
        <rFont val="Calibri"/>
        <family val="2"/>
        <charset val="1"/>
      </rPr>
      <t>0</t>
    </r>
    <r>
      <rPr>
        <sz val="11"/>
        <color theme="1"/>
        <rFont val="Calibri"/>
        <family val="2"/>
        <charset val="1"/>
      </rPr>
      <t>)</t>
    </r>
  </si>
  <si>
    <t>Investimento médio total do veículo</t>
  </si>
  <si>
    <t>Remuneração mensal de capital do veículo</t>
  </si>
  <si>
    <t>Total remuneração de capital mensal da frota</t>
  </si>
  <si>
    <t>Base de cálculo do Investimento Médio por veículo: 
Investimento Médio = (Valor inicial (V0) - Valor Residual) x [(vida útil do veículo + 1)/(2xVida útil do veículo)] + Valor Residual
Base de cálculo da Remuneração de Capital mensal por veículo: 
Remuneração de Capital Mensal =  (Investimento Médio x Taxa de Juros)/12</t>
  </si>
  <si>
    <t>2.3.1.3. Impostos, Seguros e Outros</t>
  </si>
  <si>
    <t>Custo total mensal</t>
  </si>
  <si>
    <t>Vistoria (1º Emplacamento)</t>
  </si>
  <si>
    <t>Impostos e seguros mensais por veículo</t>
  </si>
  <si>
    <t>Impostos e seguros mensais totais da frota</t>
  </si>
  <si>
    <t>2.3.1.4. Consumos</t>
  </si>
  <si>
    <t>Custo Total</t>
  </si>
  <si>
    <t>Quilometragem mensal estimada/veículo</t>
  </si>
  <si>
    <t>km/mês</t>
  </si>
  <si>
    <t>Total de Veículos</t>
  </si>
  <si>
    <t>Estimativa de consumo (gasolina)</t>
  </si>
  <si>
    <t>km/l</t>
  </si>
  <si>
    <t>Valor do combustível (gasolina)</t>
  </si>
  <si>
    <t>litro</t>
  </si>
  <si>
    <t>Custo mensal com combustível por veículo</t>
  </si>
  <si>
    <t>km</t>
  </si>
  <si>
    <t xml:space="preserve">Custo mensal total com combustível </t>
  </si>
  <si>
    <t>Consumo mensal com óleo de motor por veículo</t>
  </si>
  <si>
    <t>l/1.000 km</t>
  </si>
  <si>
    <t>Valor do óleo de motor</t>
  </si>
  <si>
    <t>Custo mensal com óleo de motor por veículo</t>
  </si>
  <si>
    <t>l/mês</t>
  </si>
  <si>
    <t>Custo mensal total com óleo de motor</t>
  </si>
  <si>
    <t>Custo mensal total com consumos da frota</t>
  </si>
  <si>
    <t>Estimativa de consumo de combustível baseado na média de km/litro de veículos leves com motor 1.0 da categoria médio apresentada na Tabela ano 2025 (17º Ciclo) do Programa Brasileiro de Etiquetagem Veicular - PBEV do INMETRO.
Valor baseado no Preço Médio de Revenda da gasolina comum no município de Pelotas, setembro/2026, conforme Tabela da ANP.</t>
  </si>
  <si>
    <t>2.3.1.5. Pneus</t>
  </si>
  <si>
    <r>
      <rPr>
        <sz val="11"/>
        <color theme="1"/>
        <rFont val="Calibri"/>
        <family val="2"/>
        <charset val="1"/>
      </rPr>
      <t xml:space="preserve">Custo do jogo de pneus </t>
    </r>
    <r>
      <rPr>
        <sz val="11"/>
        <rFont val="Calibri"/>
        <family val="2"/>
        <charset val="1"/>
      </rPr>
      <t>185/65R15</t>
    </r>
  </si>
  <si>
    <t>Durabilidade média pneu novo</t>
  </si>
  <si>
    <t xml:space="preserve">Custo jogo completo </t>
  </si>
  <si>
    <t>km/jogo</t>
  </si>
  <si>
    <t>Custo mensal com pneus por veículo</t>
  </si>
  <si>
    <t>Custo mensal total com pneus da frota</t>
  </si>
  <si>
    <t>2.3.1.6. Manutenção e Reparos</t>
  </si>
  <si>
    <t>Total de veículos</t>
  </si>
  <si>
    <t>Estimativa de revisão periódica</t>
  </si>
  <si>
    <t>Custo estimado revisão periódica</t>
  </si>
  <si>
    <t>serviço</t>
  </si>
  <si>
    <t>Custo mensal de revisão periódica/veículo</t>
  </si>
  <si>
    <t>Estimativa de geometria e balanceamento</t>
  </si>
  <si>
    <t>Custo estimado de geometria e balanceamento</t>
  </si>
  <si>
    <t>Custo mensal de geometria e balanceamento/veículo</t>
  </si>
  <si>
    <t>Custo mensal total com manutenção por veículo</t>
  </si>
  <si>
    <t>Custo mensal total com manutenção da frota</t>
  </si>
  <si>
    <t>Custo Mensal por Veículo Tipo Carro Popular</t>
  </si>
  <si>
    <t>Custo Mensal Total da Frota</t>
  </si>
  <si>
    <t>CUSTO MENSAL COM VEÍCULOS E EQUIPAMENTOS</t>
  </si>
  <si>
    <t>CUSTO TOTAL MENSAL COM DESPESAS OPERACIONAIS</t>
  </si>
  <si>
    <t>2.4. DESPESAS ADMINISTRATIVAS</t>
  </si>
  <si>
    <t>Custo Total mensal</t>
  </si>
  <si>
    <t>Aluguel de instalações físicas e pontos de apoio</t>
  </si>
  <si>
    <t>Água, energia elétrica, internet e telefonia</t>
  </si>
  <si>
    <t>Materiais de escritório, softwares e licenças</t>
  </si>
  <si>
    <t>CUSTO MENSAL COM DESPESAS ADMINISTRATIVAS</t>
  </si>
  <si>
    <t>CUSTO TOTAL MENSAL COM DESPESAS OPERACIONAIS E ADMINISTRATIVAS</t>
  </si>
  <si>
    <t>2.5. BDI</t>
  </si>
  <si>
    <t>Custo Unitário</t>
  </si>
  <si>
    <t>Total</t>
  </si>
  <si>
    <t>CUSTO MENSAL COM BDI</t>
  </si>
  <si>
    <t>CUSTO TOTAL MENSAL COM ADMINISTRAÇÃO LOCAL</t>
  </si>
  <si>
    <t>PROPORCIONALIDADE CUSTOS COM ADMINISTRAÇÃO LOCAL</t>
  </si>
  <si>
    <t>Tipo de Coleta</t>
  </si>
  <si>
    <t>Média Custo Mensal (2025)</t>
  </si>
  <si>
    <t>Custo Total mensal com Adm. Local</t>
  </si>
  <si>
    <t>Coleta Resíduos Sólidos Domésticos</t>
  </si>
  <si>
    <t>Coleta Conteinerizada</t>
  </si>
  <si>
    <t>Coleta Seletiva</t>
  </si>
  <si>
    <t>Coleta de Óleos</t>
  </si>
  <si>
    <t xml:space="preserve">3. COMPOSIÇÃO DE CUSTOS COM COLETA DE RESÍDUOS SÓLIDOS DOMÉSTICOS </t>
  </si>
  <si>
    <t xml:space="preserve">3.1. </t>
  </si>
  <si>
    <t>MÃO DE OBRA DIRETA</t>
  </si>
  <si>
    <t>3.1.1.</t>
  </si>
  <si>
    <t>Coletor (diurno)</t>
  </si>
  <si>
    <t>3.1.2.</t>
  </si>
  <si>
    <t>Coletor (noturno)</t>
  </si>
  <si>
    <t>3.1.3.</t>
  </si>
  <si>
    <t>Motorista (diurno)</t>
  </si>
  <si>
    <t>3.1.4.</t>
  </si>
  <si>
    <t>Motorista (noturno)</t>
  </si>
  <si>
    <t>3.2.</t>
  </si>
  <si>
    <t>3.2.1.</t>
  </si>
  <si>
    <t>Uniformes e EPIs para coletores</t>
  </si>
  <si>
    <t>3.2.2.</t>
  </si>
  <si>
    <t>Uniformes e EPIs para motoristas</t>
  </si>
  <si>
    <t>3.3.</t>
  </si>
  <si>
    <t>3.3.1.</t>
  </si>
  <si>
    <t>Veículo coletor compactador 18 m³</t>
  </si>
  <si>
    <t>3.3.2.</t>
  </si>
  <si>
    <t>Veículo coletor compactador 15 m³</t>
  </si>
  <si>
    <t>3.3.3.</t>
  </si>
  <si>
    <t>Veículo tipo caminhonete cabine simples</t>
  </si>
  <si>
    <t>3.4.</t>
  </si>
  <si>
    <t>FERRAMENTAS E MATERIAIS DE CONSUMO</t>
  </si>
  <si>
    <t>3.5.</t>
  </si>
  <si>
    <t>3.5.1</t>
  </si>
  <si>
    <t>Despesas com administração local</t>
  </si>
  <si>
    <t>3.5.2</t>
  </si>
  <si>
    <t>TOTAL ESTIMADO MENSAL</t>
  </si>
  <si>
    <t>TOTAL ESTIMADO (6 meses)</t>
  </si>
  <si>
    <t>TOTAL ESTIMADO MENSAL POR TONELADA</t>
  </si>
  <si>
    <t>TONELADA</t>
  </si>
  <si>
    <t>3.1. DETALHAMENTO MÃO DE OBRA DIRETA</t>
  </si>
  <si>
    <t>3.1.1. Coletor (diurno)</t>
  </si>
  <si>
    <t>I.D</t>
  </si>
  <si>
    <t>Assiduidade</t>
  </si>
  <si>
    <t>TOTAL MENSAL POR COLETOR DIURNO (GRUPO I+II+III)</t>
  </si>
  <si>
    <t>3.1.2. Coletor (noturno)</t>
  </si>
  <si>
    <t>TOTAL MENSAL POR COLETOR NOTURNO (GRUPO I+II+III)</t>
  </si>
  <si>
    <t>3.1.3. Motorista (diurno)</t>
  </si>
  <si>
    <t>Abono</t>
  </si>
  <si>
    <t>TOTAL MENSAL POR MOTORISTA DIURNO (GRUPO I+II+III)</t>
  </si>
  <si>
    <t>3.1.4. Motorista (noturno)</t>
  </si>
  <si>
    <t>Hora extra noturna 100% (feriados)</t>
  </si>
  <si>
    <t>TOTAL MENSAL POR MOTORISTA NOTURNO (GRUPO I+II+III)</t>
  </si>
  <si>
    <t>CUSTO MENSAL COM MÃO DE OBRA</t>
  </si>
  <si>
    <t>3.2. DETALHAMENTO UNIFORMES E EQUIPAMENTOS DE PROTEÇÃO INDIVIDUAL - MÃO DE OBRA DIRETA</t>
  </si>
  <si>
    <t>3.2.1. Uniformes e EPIs para Coletor</t>
  </si>
  <si>
    <t>Quant. semestral</t>
  </si>
  <si>
    <t>Camiseta manga curta com refletivo</t>
  </si>
  <si>
    <t>Camiseta manga longa com refletivo</t>
  </si>
  <si>
    <t>Calça com refletivo</t>
  </si>
  <si>
    <t>Bermuda com refletivo</t>
  </si>
  <si>
    <t>Meia de algodão com cano alto (jogador de futebol)</t>
  </si>
  <si>
    <t>Boné tipo árabe</t>
  </si>
  <si>
    <t>Tênis de segurança</t>
  </si>
  <si>
    <t>Óculos de proteção solar</t>
  </si>
  <si>
    <t>Protetor solar com repelente, FPS 30 (frasco 120 ml)</t>
  </si>
  <si>
    <t>CUSTO MENSAL TOTAL POR POSTO</t>
  </si>
  <si>
    <t>3.2.2. Uniformes e EPIs para Motorista</t>
  </si>
  <si>
    <t>Colete refletivo</t>
  </si>
  <si>
    <t>CUSTO MENSAL TOTAL DO EFETIVO</t>
  </si>
  <si>
    <t>CUSTO MENSAL COM UNIFORMES E EPIs</t>
  </si>
  <si>
    <t>3.3. VEÍCULOS E EQUIPAMENTOS</t>
  </si>
  <si>
    <t>Veículo Coletor compactador 18m³</t>
  </si>
  <si>
    <t>3.3.1.1.</t>
  </si>
  <si>
    <t>3.3.1.2.</t>
  </si>
  <si>
    <t>3.3.1.3.</t>
  </si>
  <si>
    <t>3.3.1.4.</t>
  </si>
  <si>
    <t>Consumo de Combustível</t>
  </si>
  <si>
    <t>3.3.1.5.</t>
  </si>
  <si>
    <t>Óleos e Lubrificantes</t>
  </si>
  <si>
    <t>3.3.1.6.</t>
  </si>
  <si>
    <t>3.3.1.7.</t>
  </si>
  <si>
    <t>Veículo Coletor Compactador 15 m³</t>
  </si>
  <si>
    <t>3.3.2.1.</t>
  </si>
  <si>
    <t>3.3.2.2.</t>
  </si>
  <si>
    <t>3.3.2.3.</t>
  </si>
  <si>
    <t>3.3.2.4.</t>
  </si>
  <si>
    <t>3.3.2.5.</t>
  </si>
  <si>
    <t>3.3.2.6.</t>
  </si>
  <si>
    <t>3.3.2.7.</t>
  </si>
  <si>
    <t>Veículo Tipo Caminhonete Cabine Simples</t>
  </si>
  <si>
    <t>3.3.3.1.</t>
  </si>
  <si>
    <t>3.3.3.2.</t>
  </si>
  <si>
    <t>3.3.3.3.</t>
  </si>
  <si>
    <t>3.3.3.4.</t>
  </si>
  <si>
    <t>3.3.3.5.</t>
  </si>
  <si>
    <t>3.3.3.6.</t>
  </si>
  <si>
    <t>3.3.3.7.</t>
  </si>
  <si>
    <t>3.3.1. Veículo Coletor Compactador 18 m³</t>
  </si>
  <si>
    <t>3.3.1.1. Depreciação</t>
  </si>
  <si>
    <t>Custo de aquisição do chassis (Truck 6x2 - PBT 24 T)</t>
  </si>
  <si>
    <t>Vida útil do chassis</t>
  </si>
  <si>
    <t>Depreciação do chassis</t>
  </si>
  <si>
    <t>Depreciação mensal veículos coletores</t>
  </si>
  <si>
    <t>Custo de aquisição do compactador (18 m³)</t>
  </si>
  <si>
    <t>Vida útil do compactador</t>
  </si>
  <si>
    <t>Idade do compactador</t>
  </si>
  <si>
    <t>Depreciação do compactador</t>
  </si>
  <si>
    <t>Depreciação mensal do compactador</t>
  </si>
  <si>
    <t>Total depreciação mensal por veículo</t>
  </si>
  <si>
    <t>Total depreciação mensal da frota</t>
  </si>
  <si>
    <t>3.3.1.2. Remuneração do Capital</t>
  </si>
  <si>
    <t>Custo do chassis (Truck 6x2 - PBT 24 T)</t>
  </si>
  <si>
    <t>Investimento médio total do chassis</t>
  </si>
  <si>
    <t>Remuneração mensal de capital do chassis</t>
  </si>
  <si>
    <t>Custo do compactador (18 m³)</t>
  </si>
  <si>
    <t>Investimento médio total do compactador</t>
  </si>
  <si>
    <t>Remuneração mensal de capital do compactador</t>
  </si>
  <si>
    <t>Total remuneração de capital mensal por veículo</t>
  </si>
  <si>
    <r>
      <rPr>
        <sz val="10"/>
        <color theme="1"/>
        <rFont val="Calibri"/>
        <family val="2"/>
        <charset val="1"/>
      </rPr>
      <t>Base de cálculo do Investimento Médio por veículo:  Investimento Médio = (Valor inicial (V</t>
    </r>
    <r>
      <rPr>
        <vertAlign val="subscript"/>
        <sz val="10"/>
        <color theme="1"/>
        <rFont val="Calibri"/>
        <family val="2"/>
        <charset val="1"/>
      </rPr>
      <t>0</t>
    </r>
    <r>
      <rPr>
        <sz val="10"/>
        <color theme="1"/>
        <rFont val="Calibri"/>
        <family val="2"/>
        <charset val="1"/>
      </rPr>
      <t>) - Valor Residual) x [(vida útil do veículo + 1)/(2xVida útil do veículo)] + Valor Residual
Base de cálculo da Remuneração de Capital mensal por veículo:  Remuneração de Capital Mensal =  (Investimento Médio x Taxa de Juros)/12</t>
    </r>
  </si>
  <si>
    <t>3.3.1.3. Impostos, Seguros e Outros</t>
  </si>
  <si>
    <t>IPVA (anual)</t>
  </si>
  <si>
    <t>Licenciamento (anual)</t>
  </si>
  <si>
    <t>Seguro contra terceiros (anual)</t>
  </si>
  <si>
    <t>Rastreamento e monitoramento veicular (mensal)</t>
  </si>
  <si>
    <t>3.3.1.4. Consumo de combustível</t>
  </si>
  <si>
    <t>Estimativa de consumo de óleo diesel</t>
  </si>
  <si>
    <t>km/litro</t>
  </si>
  <si>
    <t>Preço do combustível - óleo diesel</t>
  </si>
  <si>
    <t>Custo mensal com combustível/veículo</t>
  </si>
  <si>
    <t>litro/mês</t>
  </si>
  <si>
    <t>Custo mensal total com combustível da frota</t>
  </si>
  <si>
    <t>Preço do combustível baseado no Preço Médio de Revenda no município de Pelotas, setembro/2026, conforme Tabela da ANP.</t>
  </si>
  <si>
    <t>3.3.1.5. Óleos e Lubrificantes</t>
  </si>
  <si>
    <t>Custo de óleo do motor/1.000 km rodados</t>
  </si>
  <si>
    <t>l/1.000km</t>
  </si>
  <si>
    <t>Custo mensal com óleo de motor</t>
  </si>
  <si>
    <t>Custo de óleo da transmissão/1.000 km rodados</t>
  </si>
  <si>
    <t>Custo mensal com óleo de transmissão</t>
  </si>
  <si>
    <t>Custo de óleo hidráulico/1.000 km rodados</t>
  </si>
  <si>
    <t>Custo mensal com óleo hidráulico</t>
  </si>
  <si>
    <t>Custo de graxa/1.000 km rodados</t>
  </si>
  <si>
    <t>kg/1.000km</t>
  </si>
  <si>
    <t>Custo mensal com graxa</t>
  </si>
  <si>
    <t>Custo mensal total com óleos e lubrificantes da frota</t>
  </si>
  <si>
    <t>3.3.1.6. Pneus</t>
  </si>
  <si>
    <r>
      <rPr>
        <sz val="11"/>
        <color theme="1"/>
        <rFont val="Calibri"/>
        <family val="2"/>
        <charset val="1"/>
      </rPr>
      <t xml:space="preserve">Custo do jogo de pneus </t>
    </r>
    <r>
      <rPr>
        <sz val="11"/>
        <rFont val="Calibri"/>
        <family val="2"/>
        <charset val="1"/>
      </rPr>
      <t>275/80 R22.5</t>
    </r>
  </si>
  <si>
    <t>Número de Recapagens por pneu</t>
  </si>
  <si>
    <t>Custo de recapagem</t>
  </si>
  <si>
    <t>Durabilidade média por recapagem</t>
  </si>
  <si>
    <t>Custo jg. compl. + 2 recap./ km rodado</t>
  </si>
  <si>
    <t>3.3.1.7. Manutenção</t>
  </si>
  <si>
    <t>Custo de manutenção mensal por veículo</t>
  </si>
  <si>
    <t>Custo de manutenção mensal da frota</t>
  </si>
  <si>
    <t xml:space="preserve">Custo unitário de manutenção baseado no custo de manutenção por km rodado em contratos de coleta de resíduos sólidos urbanos informados no Licitacon em 2016 (R$ 0,74/km), conforme apresentado na Orientação Técnica de Serviços de Coleta de Resíduos Sólidos Domiciliares – Projeto, Contratação e Fiscalização – TCE/RS – 2ª Edição, 2019. 
O valor foi corrigido pelo IPCA (inflação acumulada de 59,98% de jan/2017 a ago/2026). </t>
  </si>
  <si>
    <t xml:space="preserve">Custo Mensal por Veículo Coletor Compactador 18 m³ </t>
  </si>
  <si>
    <t>3.3.2. Veículo Coletor Compactador 15 m³</t>
  </si>
  <si>
    <t>3.3.2.1. Depreciação</t>
  </si>
  <si>
    <t>Custo de aquisição do chassis (Toco 4x2 - PBT 17 T)</t>
  </si>
  <si>
    <t>Custo de aquisição do compactador (15 m³)</t>
  </si>
  <si>
    <t>3.3.2.2. Remuneração do Capital</t>
  </si>
  <si>
    <t>Custo do chassis (Toco 4x2 - PBT 17 T)</t>
  </si>
  <si>
    <t>Custo do compactador (15 m³)</t>
  </si>
  <si>
    <t>3.3.2.3. Impostos, Seguros e Outros</t>
  </si>
  <si>
    <t>3.3.2.4. Consumo de combustível</t>
  </si>
  <si>
    <t>3.3.2.5. Óleos e Lubrificantes</t>
  </si>
  <si>
    <t>3.3.2.6. Pneus</t>
  </si>
  <si>
    <t>3.3.2.7. Manutenção</t>
  </si>
  <si>
    <t xml:space="preserve">Custo Mensal por Veículo Coletor Compactador 15 m³ </t>
  </si>
  <si>
    <t>3.3.3. Caminhonete Cabine Simples (Apoio/Manutenção)</t>
  </si>
  <si>
    <t>3.3.3.1. Depreciação</t>
  </si>
  <si>
    <t>3.3.3.2. Remuneração do Capital</t>
  </si>
  <si>
    <t>3.3.3.3. Impostos, Seguros e Outros</t>
  </si>
  <si>
    <t>3.3.3.4. Consumo de combustível</t>
  </si>
  <si>
    <t>Estimativa de consumo de gasolina</t>
  </si>
  <si>
    <t>Preço do combustível (gasolina)</t>
  </si>
  <si>
    <t>3.3.3.5. Óleos e Lubrificantes</t>
  </si>
  <si>
    <t>3.3.3.6. Pneus</t>
  </si>
  <si>
    <r>
      <rPr>
        <sz val="11"/>
        <color theme="1"/>
        <rFont val="Calibri"/>
        <family val="2"/>
        <charset val="1"/>
      </rPr>
      <t xml:space="preserve">Custo do jogo de pneus </t>
    </r>
    <r>
      <rPr>
        <sz val="11"/>
        <rFont val="Calibri"/>
        <family val="2"/>
        <charset val="1"/>
      </rPr>
      <t>205/60 R15</t>
    </r>
  </si>
  <si>
    <t>Custo jogo completo</t>
  </si>
  <si>
    <t>3.3.3.7. Manutenção</t>
  </si>
  <si>
    <t>Custo Mensal por Veículo tipo Caminhonete</t>
  </si>
  <si>
    <t>3.4. FERRAMENTAS E MATERIAIS DE CONSUMO</t>
  </si>
  <si>
    <t>Durabilidade (meses)</t>
  </si>
  <si>
    <t>3.4.1.</t>
  </si>
  <si>
    <t>Squeeze térmico em inox (1 L)</t>
  </si>
  <si>
    <t>3.4.2.</t>
  </si>
  <si>
    <t>Publicidade (adesivagem caminhões)</t>
  </si>
  <si>
    <t>3.4.3.</t>
  </si>
  <si>
    <t>Publicidade (adesivagem caminhonete)</t>
  </si>
  <si>
    <t>3.4.4.</t>
  </si>
  <si>
    <t>Bombona com torneira (10 L)</t>
  </si>
  <si>
    <t>3.4.5.</t>
  </si>
  <si>
    <t>Frasco com válvula pump (500 ml)</t>
  </si>
  <si>
    <t>3.4.6.</t>
  </si>
  <si>
    <t>Sabonete líquido bactericida (5 litros)</t>
  </si>
  <si>
    <t>3.4.7.</t>
  </si>
  <si>
    <t>Papel toalha (pacote 1000 folhas)</t>
  </si>
  <si>
    <t>3.4.8.</t>
  </si>
  <si>
    <t>Álcool gel 70% (5 litros)</t>
  </si>
  <si>
    <t>CUSTO MENSAL COM FERRAMENTAS E MATERIAIS DE CONSUMO</t>
  </si>
  <si>
    <t>3.5. DESPESAS ADMINISTRATIVAS</t>
  </si>
  <si>
    <t>Custo</t>
  </si>
  <si>
    <t>3.5.1.</t>
  </si>
  <si>
    <t>Custos Administração local</t>
  </si>
  <si>
    <t>3.5.2.</t>
  </si>
  <si>
    <t>CUSTO TOTAL MENSAL  COM DESPESAS ADMINISTRATIVAS</t>
  </si>
  <si>
    <t>CUSTO TOTAL MENSAL COM COLETA RSD</t>
  </si>
  <si>
    <t>2. COMPOSIÇÃO DE CUSTOS COM ADMINISTRAÇÃO LOCAL – COLETA CONTEINERIZADA</t>
  </si>
  <si>
    <t>Mecânico</t>
  </si>
  <si>
    <t>Mecânico (Noturno)</t>
  </si>
  <si>
    <t>Auxiliar de Mecânico</t>
  </si>
  <si>
    <t>Auxiliar de Mecânico (Noturno)</t>
  </si>
  <si>
    <t>TOTAL MENSAL DO EFETIVO (1 POSTO)</t>
  </si>
  <si>
    <t>2.1.2. Encarregado (Diurno)</t>
  </si>
  <si>
    <t>2.1.3. Encarregado (Noturno)</t>
  </si>
  <si>
    <t>2.1.5. Mecânico</t>
  </si>
  <si>
    <t>2.1.6. Mecânico (Noturno)</t>
  </si>
  <si>
    <t>2.1.7. Auxiliar de Mecânico</t>
  </si>
  <si>
    <t>2.1.8. Auxiliar de Mecânico (Noturno)</t>
  </si>
  <si>
    <t>Auxílio-alimentação (cláusula 20ª CCT SEEAC-PEL)</t>
  </si>
  <si>
    <t>TOTAL MENSAL DO EFETIVO (2 POSTOS)</t>
  </si>
  <si>
    <t>CUSTO MENSAL TOTAL COM MÃO DE OBRA INDIRETA</t>
  </si>
  <si>
    <t>CUSTO MENSAL TOTAL (2 postos)</t>
  </si>
  <si>
    <t xml:space="preserve">2.2.2. Uniformes e EPIs para Encarregado </t>
  </si>
  <si>
    <t>CUSTO MENSAL TOTAL (4 postos)</t>
  </si>
  <si>
    <t>CUSTO MENSAL TOTAL COM UNIFORMES E EPIs</t>
  </si>
  <si>
    <t>Valor Residual</t>
  </si>
  <si>
    <t>Depreciação para veículo tipo popular</t>
  </si>
  <si>
    <t>Depreciação mensal por veículo</t>
  </si>
  <si>
    <t>Depreciação mensal total da frota</t>
  </si>
  <si>
    <r>
      <rPr>
        <sz val="11"/>
        <color rgb="FF000000"/>
        <rFont val="Calibri"/>
        <charset val="1"/>
      </rPr>
      <t>Valor do veículo proposto (V</t>
    </r>
    <r>
      <rPr>
        <vertAlign val="subscript"/>
        <sz val="11"/>
        <color rgb="FF000000"/>
        <rFont val="Calibri"/>
        <charset val="1"/>
      </rPr>
      <t>0</t>
    </r>
    <r>
      <rPr>
        <sz val="11"/>
        <color rgb="FF000000"/>
        <rFont val="Calibri"/>
        <charset val="1"/>
      </rPr>
      <t>)</t>
    </r>
  </si>
  <si>
    <r>
      <rPr>
        <sz val="11"/>
        <color rgb="FF000000"/>
        <rFont val="Calibri"/>
        <charset val="1"/>
      </rPr>
      <t>Investimento médio por veículo</t>
    </r>
    <r>
      <rPr>
        <b/>
        <vertAlign val="superscript"/>
        <sz val="11"/>
        <color rgb="FF000000"/>
        <rFont val="Calibri"/>
        <charset val="1"/>
      </rPr>
      <t>(¹)</t>
    </r>
  </si>
  <si>
    <r>
      <rPr>
        <b/>
        <sz val="11"/>
        <color rgb="FF000000"/>
        <rFont val="Calibri"/>
        <charset val="1"/>
      </rPr>
      <t>Remuneração de capital mensal por veículo</t>
    </r>
    <r>
      <rPr>
        <b/>
        <vertAlign val="superscript"/>
        <sz val="11"/>
        <color rgb="FF000000"/>
        <rFont val="Calibri"/>
        <charset val="1"/>
      </rPr>
      <t>(²)</t>
    </r>
  </si>
  <si>
    <t>Remuneração de capital mensal total da frota</t>
  </si>
  <si>
    <t>(¹) Base de cálculo do Investimento Médio por veículo: 
Investimento Médio = (Valor inicial (V0) - Valor Residual) x [(vida útil do veículo + 1)/(2xVida útil do veículo)] + Valor Residual
(²) Base de cálculo da Remuneração de Capital mensal por veículo: 
Remuneração de Capital Mensal =  (Investimento Médio x Taxa de Juros)/12</t>
  </si>
  <si>
    <r>
      <rPr>
        <sz val="11"/>
        <color rgb="FF000000"/>
        <rFont val="Calibri"/>
        <charset val="1"/>
      </rPr>
      <t>Estimativa de consumo (gasolina)</t>
    </r>
    <r>
      <rPr>
        <b/>
        <sz val="11"/>
        <color rgb="FF000000"/>
        <rFont val="Calibri"/>
        <charset val="1"/>
      </rPr>
      <t>(³)</t>
    </r>
  </si>
  <si>
    <r>
      <rPr>
        <sz val="11"/>
        <color rgb="FF000000"/>
        <rFont val="Calibri"/>
        <charset val="1"/>
      </rPr>
      <t>Valor do combustível (gasolina)</t>
    </r>
    <r>
      <rPr>
        <b/>
        <vertAlign val="superscript"/>
        <sz val="11"/>
        <color rgb="FF000000"/>
        <rFont val="Calibri"/>
        <charset val="1"/>
      </rPr>
      <t>(4)</t>
    </r>
  </si>
  <si>
    <t>(³) Referente à média de km/litro de veículos leves com motor 1.0 da categoria médio apresentada na Tabela ano 2025 (17º Ciclo) do Programa Brasileiro de Etiquetagem Veicular - PBEV do INMETRO.
(4) Valor baseado no Preço Médio de Revenda da gasolina comum no município de Pelotas, setembro/2026, conforme Tabela da ANP.</t>
  </si>
  <si>
    <t>Custo do jogo de pneus 185/65R15</t>
  </si>
  <si>
    <t>Estimativa de reposição de jogo</t>
  </si>
  <si>
    <t>Necessidade de jogo por mês/veículo</t>
  </si>
  <si>
    <t>CUSTO MENSAL TOTAL COM VEÍCULOS E EQUIPAMENTOS</t>
  </si>
  <si>
    <t>CUSTO MENSAL TOTAL COM DESPESAS ADMINISTRATIVAS</t>
  </si>
  <si>
    <t>CUSTO MENSAL TOTAL COM ADMINISTRAÇÃO LOCAL ANTES DO BDI (1+2+3+4)</t>
  </si>
  <si>
    <t>CUSTO MENSAL TOTAL COM BDI</t>
  </si>
  <si>
    <t>CUSTO MENSAL TOTAL COM ADMINISTRAÇÃO LOCAL DEPOIS DO BDI</t>
  </si>
  <si>
    <t>4. COMPOSIÇÃO DE CUSTOS COM COLETA CONTEINERIZADA</t>
  </si>
  <si>
    <t xml:space="preserve">4.1. </t>
  </si>
  <si>
    <t>4.1.1.</t>
  </si>
  <si>
    <t>4.1.2.</t>
  </si>
  <si>
    <t>4.1.3.</t>
  </si>
  <si>
    <t>4.1.4.</t>
  </si>
  <si>
    <t>4.2.</t>
  </si>
  <si>
    <t>4.2.1</t>
  </si>
  <si>
    <t>4.2.2</t>
  </si>
  <si>
    <t>4.3.</t>
  </si>
  <si>
    <t>4.3.1.</t>
  </si>
  <si>
    <t>4.3.2.</t>
  </si>
  <si>
    <t>Veículo tipo lava contêiner</t>
  </si>
  <si>
    <t>4.3.3.</t>
  </si>
  <si>
    <t>4.3.4.</t>
  </si>
  <si>
    <t>Equipamento tipo contêiner PEAD</t>
  </si>
  <si>
    <t>4.4.</t>
  </si>
  <si>
    <t>4.5.</t>
  </si>
  <si>
    <t>DESPESAS ADMINISTRATIVAS E BDI</t>
  </si>
  <si>
    <t>4.5.1.</t>
  </si>
  <si>
    <t>Despesas com Administração Local</t>
  </si>
  <si>
    <t>4.5.2.</t>
  </si>
  <si>
    <t>TOTAL ESTIMADO MENSAL POR CONTAINER</t>
  </si>
  <si>
    <t>4.1. DETALHAMENTO MÃO DE OBRA DIRETA</t>
  </si>
  <si>
    <t>4.1.1. Coletor (diurno)</t>
  </si>
  <si>
    <t>4.1.2. Coletor (noturno)</t>
  </si>
  <si>
    <t>4.1.3. Motorista (diurno)</t>
  </si>
  <si>
    <t>4.1.4. Motorista (noturno)</t>
  </si>
  <si>
    <t>CUSTO MENSAL  COM MÃO DE OBRA</t>
  </si>
  <si>
    <t>4.2. DETALHAMENTO UNIFORMES E EQUIPAMENTOS DE PROTEÇÃO INDIVIDUAL - MÃO DE OBRA DIRETA</t>
  </si>
  <si>
    <t>4.2.1. Uniformes e EPIs para Coletor</t>
  </si>
  <si>
    <t>4.2.2. Uniformes e EPIs para Motorista</t>
  </si>
  <si>
    <t>4.3. VEÍCULOS E EQUIPAMENTOS</t>
  </si>
  <si>
    <t>4.3.1.1.</t>
  </si>
  <si>
    <t>4.3.1.2.</t>
  </si>
  <si>
    <t>4.3.1.3.</t>
  </si>
  <si>
    <t>4.3.1.4.</t>
  </si>
  <si>
    <t>4.3.1.5.</t>
  </si>
  <si>
    <t>4.3.1.6.</t>
  </si>
  <si>
    <t>4.3.1.7.</t>
  </si>
  <si>
    <t>Veículo Tipo Lava Contêiner</t>
  </si>
  <si>
    <t>4.3.2.1.</t>
  </si>
  <si>
    <t>4.3.2.2.</t>
  </si>
  <si>
    <t>4.3.2.3.</t>
  </si>
  <si>
    <t>4.3.2.4.</t>
  </si>
  <si>
    <t>4.3.2.5.</t>
  </si>
  <si>
    <t>4.3.2.6.</t>
  </si>
  <si>
    <t>4.3.2.7.</t>
  </si>
  <si>
    <t>4.3.3.1.</t>
  </si>
  <si>
    <t>4.3.3.2.</t>
  </si>
  <si>
    <t>4.3.3.3.</t>
  </si>
  <si>
    <t>4.3.3.4.</t>
  </si>
  <si>
    <t>4.3.3.5.</t>
  </si>
  <si>
    <t>4.3.3.6.</t>
  </si>
  <si>
    <t>4.3.3.7.</t>
  </si>
  <si>
    <t>Equipamento tipo contêiner PEAD - 1.000 Litros</t>
  </si>
  <si>
    <t>4.3.4.1.</t>
  </si>
  <si>
    <t>4.3.4.2.</t>
  </si>
  <si>
    <t>4.3.2. Veículo Coletor Compactador 15 m³</t>
  </si>
  <si>
    <t>4.3.2.1. Depreciação</t>
  </si>
  <si>
    <t>4.3.2.2. Remuneração do Capital</t>
  </si>
  <si>
    <t>4.3.2.3. Impostos, Seguros e Outros</t>
  </si>
  <si>
    <t>4.3.2.4. Consumo de combustível</t>
  </si>
  <si>
    <r>
      <rPr>
        <sz val="11"/>
        <color theme="1"/>
        <rFont val="Calibri"/>
        <family val="2"/>
        <charset val="1"/>
      </rPr>
      <t xml:space="preserve">Preço do combustível - óleo diesel </t>
    </r>
    <r>
      <rPr>
        <vertAlign val="superscript"/>
        <sz val="11"/>
        <color theme="1"/>
        <rFont val="Calibri"/>
        <family val="2"/>
        <charset val="1"/>
      </rPr>
      <t>1</t>
    </r>
  </si>
  <si>
    <t>4.3.2.5. Óleos e Lubrificantes</t>
  </si>
  <si>
    <t>4.3.2.6. Pneus</t>
  </si>
  <si>
    <t>4.3.2.7. Manutenção</t>
  </si>
  <si>
    <t>4.3.3. Veículo Tipo Lava Contêiner</t>
  </si>
  <si>
    <t>4.3.3.1. Depreciação</t>
  </si>
  <si>
    <t>Custo de aquisição do chassis (Toco 4x2 - PBT 13 T)</t>
  </si>
  <si>
    <t>Custo de aquisição do lava contêiner</t>
  </si>
  <si>
    <t>Vida útil do lava contêiner</t>
  </si>
  <si>
    <t>Idade do lava contêiner</t>
  </si>
  <si>
    <t>Depreciação do lava contêiner</t>
  </si>
  <si>
    <t>Depreciação mensal do lava contêiner</t>
  </si>
  <si>
    <t>4.3.3.2. Remuneração do Capital</t>
  </si>
  <si>
    <t>Custo do chassis (Toco 4x2 - PBT 13 T)</t>
  </si>
  <si>
    <t>Custo do lava contêiner</t>
  </si>
  <si>
    <t>Investimento médio total do lava contêiner</t>
  </si>
  <si>
    <t>Remuneração mensal de capital do lava contêiner</t>
  </si>
  <si>
    <t>4.3.3.3. Impostos, Seguros e Outros</t>
  </si>
  <si>
    <t>4.3.3.4. Consumo de combustível</t>
  </si>
  <si>
    <t>4.3.3.5. Óleos e Lubrificantes</t>
  </si>
  <si>
    <t>4.3.6.6. Pneus</t>
  </si>
  <si>
    <t>4.3.3.7. Manutenção</t>
  </si>
  <si>
    <t>Custo Mensal por Veículo Tipo Lava Contêiner</t>
  </si>
  <si>
    <t>4.3.4. Caminhonete Cabine Simples (Lava Calçadas/Rescaldo)</t>
  </si>
  <si>
    <t>4.3.4.1. Depreciação</t>
  </si>
  <si>
    <t>4.3.4.2. Remuneração do Capital</t>
  </si>
  <si>
    <t>4.3.4.3. Impostos, Seguros e Outros</t>
  </si>
  <si>
    <t>4.3.4.4. Consumo de combustível</t>
  </si>
  <si>
    <t>Preço do combustível - (gasolina)</t>
  </si>
  <si>
    <t>4.3.4.5. Óleos e Lubrificantes</t>
  </si>
  <si>
    <t>4.3.4.6. Pneus</t>
  </si>
  <si>
    <t>4.3.4.7. Manutenção</t>
  </si>
  <si>
    <t>4.3.5. Equipamento Tipo Contêiner PEAD - 1.000 litros</t>
  </si>
  <si>
    <t>4.3.5.1. Depreciação</t>
  </si>
  <si>
    <t>Custo de aquisição do contêiner</t>
  </si>
  <si>
    <t>Vida útil do equipamento</t>
  </si>
  <si>
    <t>Idade do equipamento</t>
  </si>
  <si>
    <t>Depreciação do equipamento</t>
  </si>
  <si>
    <t>Depreciação mensal do equipamento</t>
  </si>
  <si>
    <t>Total depreciação mensal equipamento</t>
  </si>
  <si>
    <t>4.3.5.2. Remuneração do Capital</t>
  </si>
  <si>
    <t>Custo do contêiner</t>
  </si>
  <si>
    <r>
      <rPr>
        <sz val="11"/>
        <color theme="1"/>
        <rFont val="Calibri"/>
        <family val="2"/>
        <charset val="1"/>
      </rPr>
      <t>Valor do contêiner proposto (V</t>
    </r>
    <r>
      <rPr>
        <vertAlign val="subscript"/>
        <sz val="11"/>
        <color theme="1"/>
        <rFont val="Calibri"/>
        <family val="2"/>
        <charset val="1"/>
      </rPr>
      <t>0</t>
    </r>
    <r>
      <rPr>
        <sz val="11"/>
        <color theme="1"/>
        <rFont val="Calibri"/>
        <family val="2"/>
        <charset val="1"/>
      </rPr>
      <t>)</t>
    </r>
  </si>
  <si>
    <t>Investimento médio total do equipamento</t>
  </si>
  <si>
    <t>Remuneração mensal de capital/equipamento</t>
  </si>
  <si>
    <t>Total remuneração de capital mensal equipamento</t>
  </si>
  <si>
    <t>4.3.5.3. Manutenção e Substituição</t>
  </si>
  <si>
    <t>Custo Mensal por Equipamento Tipo Contêiner</t>
  </si>
  <si>
    <t>Custo Mensal Total para equipamentos</t>
  </si>
  <si>
    <t>4.4. FERRAMENTAS E MATERIAIS DE CONSUMO</t>
  </si>
  <si>
    <t>4.4.1.</t>
  </si>
  <si>
    <t>4.4.2.</t>
  </si>
  <si>
    <t>4.4.3.</t>
  </si>
  <si>
    <t>4.4.4.</t>
  </si>
  <si>
    <t>Publicidade (adesivagem contêineres)</t>
  </si>
  <si>
    <t>4.4.5.</t>
  </si>
  <si>
    <t>4.4.6.</t>
  </si>
  <si>
    <t>4.4.7.</t>
  </si>
  <si>
    <t>4.4.8.</t>
  </si>
  <si>
    <t>4.4.9.</t>
  </si>
  <si>
    <t>CUSTO MENSAL COM DESPESAS OPERACIONAIS</t>
  </si>
  <si>
    <t>4.5. DESPESAS ADMINISTRATIVAS</t>
  </si>
  <si>
    <t>CUSTO TOTAL MENSAL COM COLETA CONTEINERIZADA</t>
  </si>
  <si>
    <t>2. COMPOSIÇÃO DE CUSTOS COM ADMINISTRAÇÃO LOCAL – COLETA SELETIVA</t>
  </si>
  <si>
    <t>2.1.3. Auxiliar Administrativo</t>
  </si>
  <si>
    <t>2.1.4. Mecânico</t>
  </si>
  <si>
    <t>2.1.5. Auxiliar de Mecânico</t>
  </si>
  <si>
    <t>2.1.6. Auxiliar de Serviços Gerais</t>
  </si>
  <si>
    <t>2.1.7. Lavador de Veículos</t>
  </si>
  <si>
    <t>2.1.8. Vigia (diurno) - Escala 12 x 36</t>
  </si>
  <si>
    <t>2.1.9. Vigia (noturno) - Escala 12 x 36</t>
  </si>
  <si>
    <t>CUSTO MENSAL TOTAL (1 posto)</t>
  </si>
  <si>
    <t>5. COMPOSIÇÃO DE CUSTOS COM COLETA SELETIVA DE RESÍDUOS RECICLÁVEIS</t>
  </si>
  <si>
    <t xml:space="preserve">5.1. </t>
  </si>
  <si>
    <t>5.1.1.</t>
  </si>
  <si>
    <t>5.1.2.</t>
  </si>
  <si>
    <t>5.2.</t>
  </si>
  <si>
    <t>5.2.1</t>
  </si>
  <si>
    <t>5.2.2</t>
  </si>
  <si>
    <t>5.3.</t>
  </si>
  <si>
    <t>5.3.1.</t>
  </si>
  <si>
    <t>Veículo coletor compactador 8 m³</t>
  </si>
  <si>
    <t>5.3.2.</t>
  </si>
  <si>
    <t>Veículo tipo caminhão baú</t>
  </si>
  <si>
    <t>5.4.</t>
  </si>
  <si>
    <t>5.5.</t>
  </si>
  <si>
    <t>5.5.1.</t>
  </si>
  <si>
    <t>5.5.2.</t>
  </si>
  <si>
    <t>TOTAL ESTIMADO ANUAL (6 meses)</t>
  </si>
  <si>
    <t>VALOR ESTIMADO MENSAL  POR EQUIPE</t>
  </si>
  <si>
    <t>EQUIPE</t>
  </si>
  <si>
    <t>5.1. DETALHAMENTO MÃO DE OBRA DIRETA</t>
  </si>
  <si>
    <t>5.1.1. Coletor (diurno)</t>
  </si>
  <si>
    <t>5.1.2. Motorista (diurno)</t>
  </si>
  <si>
    <t>5.2. DETALHAMENTO UNIFORMES E EQUIPAMENTOS DE PROTEÇÃO INDIVIDUAL - MÃO DE OBRA DIRETA</t>
  </si>
  <si>
    <t>5.2.1. Uniformes e EPIs para Coletor</t>
  </si>
  <si>
    <t>5.2.2. Uniformes e EPIs para Motorista</t>
  </si>
  <si>
    <t>5.3. VEÍCULOS E EQUIPAMENTOS</t>
  </si>
  <si>
    <t>Veículo Coletor Compactador 8 m³</t>
  </si>
  <si>
    <t>5.3.1.1.</t>
  </si>
  <si>
    <t>5.3.1.2.</t>
  </si>
  <si>
    <t>5.3.1.3.</t>
  </si>
  <si>
    <t>5.3.1.4.</t>
  </si>
  <si>
    <t>5.3.1.5.</t>
  </si>
  <si>
    <t>5.3.1.6.</t>
  </si>
  <si>
    <t>5.3.1.7.</t>
  </si>
  <si>
    <t>Veículo Tipo Caminhão Baú</t>
  </si>
  <si>
    <t>5.3.2.1.</t>
  </si>
  <si>
    <t>5.3.2.2.</t>
  </si>
  <si>
    <t>5.3.2.3.</t>
  </si>
  <si>
    <t>5.3.2.4.</t>
  </si>
  <si>
    <t>5.3.2.5.</t>
  </si>
  <si>
    <t>5.3.2.6.</t>
  </si>
  <si>
    <t>5.3.2.7.</t>
  </si>
  <si>
    <t>5.3.1. Veículo Coletor Compactador 8 m³</t>
  </si>
  <si>
    <t>5.3.1.1. Depreciação</t>
  </si>
  <si>
    <t>Custo de aquisição do compactador (8 m³)</t>
  </si>
  <si>
    <t>5.3.1.2. Remuneração do Capital</t>
  </si>
  <si>
    <r>
      <rPr>
        <sz val="11"/>
        <color theme="1"/>
        <rFont val="Calibri"/>
        <family val="2"/>
        <charset val="1"/>
      </rPr>
      <t>Investimento médio total do chassis</t>
    </r>
    <r>
      <rPr>
        <b/>
        <vertAlign val="superscript"/>
        <sz val="11"/>
        <color theme="1"/>
        <rFont val="Calibri"/>
        <family val="2"/>
        <charset val="1"/>
      </rPr>
      <t>(¹)</t>
    </r>
  </si>
  <si>
    <r>
      <rPr>
        <b/>
        <sz val="11"/>
        <color theme="1"/>
        <rFont val="Calibri"/>
        <family val="2"/>
        <charset val="1"/>
      </rPr>
      <t>Remuneração mensal de capital do chassis</t>
    </r>
    <r>
      <rPr>
        <b/>
        <vertAlign val="superscript"/>
        <sz val="11"/>
        <color theme="1"/>
        <rFont val="Calibri"/>
        <family val="2"/>
        <charset val="1"/>
      </rPr>
      <t>(²)</t>
    </r>
  </si>
  <si>
    <t>Custo do compactador (8 m³)</t>
  </si>
  <si>
    <r>
      <rPr>
        <sz val="11"/>
        <color theme="1"/>
        <rFont val="Calibri"/>
        <family val="2"/>
        <charset val="1"/>
      </rPr>
      <t>Investimento médio total do compactador</t>
    </r>
    <r>
      <rPr>
        <b/>
        <vertAlign val="superscript"/>
        <sz val="11"/>
        <color theme="1"/>
        <rFont val="Calibri"/>
        <family val="2"/>
        <charset val="1"/>
      </rPr>
      <t>(¹)</t>
    </r>
  </si>
  <si>
    <r>
      <rPr>
        <b/>
        <sz val="11"/>
        <color theme="1"/>
        <rFont val="Calibri"/>
        <family val="2"/>
        <charset val="1"/>
      </rPr>
      <t>Remuneração mensal de capital do compactador</t>
    </r>
    <r>
      <rPr>
        <b/>
        <vertAlign val="superscript"/>
        <sz val="11"/>
        <color theme="1"/>
        <rFont val="Calibri"/>
        <family val="2"/>
        <charset val="1"/>
      </rPr>
      <t>(²)</t>
    </r>
  </si>
  <si>
    <t>5.3.1.3. Impostos, Seguros e Outros</t>
  </si>
  <si>
    <t>5.3.1.4. Consumo de combustível</t>
  </si>
  <si>
    <t>5.3.1.5. Óleos e Lubrificantes</t>
  </si>
  <si>
    <t>5.3.1.6. Pneus</t>
  </si>
  <si>
    <t>5.3.1.7. Manutenção</t>
  </si>
  <si>
    <t xml:space="preserve">Custo de manutenção mensal </t>
  </si>
  <si>
    <t xml:space="preserve">Custo Mensal por Veículo Coletor Compactador 8 m³ </t>
  </si>
  <si>
    <t>5.3.2. Veículo Tipo Caminhão Baú</t>
  </si>
  <si>
    <t>5.3.2.1. Depreciação</t>
  </si>
  <si>
    <t>Depreciação mensal caminhão basculante</t>
  </si>
  <si>
    <t>Custo de aquisição do baú</t>
  </si>
  <si>
    <t>Vida útil do baú</t>
  </si>
  <si>
    <t>Idade do baú</t>
  </si>
  <si>
    <t>Depreciação do baú</t>
  </si>
  <si>
    <t>Depreciação mensal do baú</t>
  </si>
  <si>
    <t>5.3.2.2. Remuneração do Capital</t>
  </si>
  <si>
    <t>Custo do bau</t>
  </si>
  <si>
    <r>
      <rPr>
        <sz val="11"/>
        <color theme="1"/>
        <rFont val="Calibri"/>
        <family val="2"/>
        <charset val="1"/>
      </rPr>
      <t>Valor do baú proposto (V</t>
    </r>
    <r>
      <rPr>
        <vertAlign val="subscript"/>
        <sz val="11"/>
        <color theme="1"/>
        <rFont val="Calibri"/>
        <family val="2"/>
        <charset val="1"/>
      </rPr>
      <t>0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</si>
  <si>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Calibri"/>
        <family val="2"/>
        <charset val="1"/>
      </rPr>
      <t>Investimento médio total do baú</t>
    </r>
    <r>
      <rPr>
        <b/>
        <vertAlign val="superscript"/>
        <sz val="11"/>
        <color theme="1"/>
        <rFont val="Calibri"/>
        <family val="2"/>
        <charset val="1"/>
      </rPr>
      <t>(¹)</t>
    </r>
  </si>
  <si>
    <r>
      <rPr>
        <b/>
        <sz val="11"/>
        <color theme="1"/>
        <rFont val="Calibri"/>
        <family val="2"/>
        <charset val="1"/>
      </rPr>
      <t>Remuneração mensal de capital do baú</t>
    </r>
    <r>
      <rPr>
        <b/>
        <vertAlign val="superscript"/>
        <sz val="11"/>
        <color theme="1"/>
        <rFont val="Calibri"/>
        <family val="2"/>
        <charset val="1"/>
      </rPr>
      <t>(²)</t>
    </r>
  </si>
  <si>
    <t>5.3.2.3. Impostos, Seguros e Outros</t>
  </si>
  <si>
    <t>5.3.2.4. Consumo de combustível</t>
  </si>
  <si>
    <t>5.3.2.5. Óleos e Lubrificantes</t>
  </si>
  <si>
    <t>5.3.2.6. Pneus</t>
  </si>
  <si>
    <r>
      <rPr>
        <sz val="11"/>
        <color theme="1"/>
        <rFont val="Calibri"/>
        <family val="2"/>
        <charset val="1"/>
      </rPr>
      <t xml:space="preserve">Custo do jogo de pneus </t>
    </r>
    <r>
      <rPr>
        <sz val="11"/>
        <rFont val="Calibri"/>
        <family val="2"/>
        <charset val="1"/>
      </rPr>
      <t>235/75 R17.5</t>
    </r>
  </si>
  <si>
    <t>5.3.2.7. Manutenção</t>
  </si>
  <si>
    <t>Custo Mensal por Veículo Tipo Caminhão Baú</t>
  </si>
  <si>
    <t>5.4. FERRAMENTAS E MATERIAIS DE CONSUMO</t>
  </si>
  <si>
    <t>5.4.1.</t>
  </si>
  <si>
    <t>5.4.2.</t>
  </si>
  <si>
    <t>5.4.3.</t>
  </si>
  <si>
    <t>5.4.4.</t>
  </si>
  <si>
    <t>5.4.5.</t>
  </si>
  <si>
    <t>5.4.6.</t>
  </si>
  <si>
    <t>5.4.7.</t>
  </si>
  <si>
    <t>5.4.8.</t>
  </si>
  <si>
    <t>Recipiente contentor de lixo 200 litros</t>
  </si>
  <si>
    <t>5.4.9.</t>
  </si>
  <si>
    <t>Bag para coleta (pacote 100 unidade)</t>
  </si>
  <si>
    <t>5.4.10.</t>
  </si>
  <si>
    <t>Balança móvel</t>
  </si>
  <si>
    <t>CUSTO MENSAL COM FERRAMENTAS E EQUIPAMENTOS</t>
  </si>
  <si>
    <t>5.5. DESPESAS ADMINISTRATIVAS</t>
  </si>
  <si>
    <t>CUSTO TOTAL MENSAL COM COLETA SELETIVA</t>
  </si>
  <si>
    <t>2. COMPOSIÇÃO DE CUSTOS COM ADMINISTRAÇÃO LOCAL – COLETA DE ÓLEO</t>
  </si>
  <si>
    <t>Uniformes e EPIs para Gerente</t>
  </si>
  <si>
    <t>Coleta Óleo</t>
  </si>
  <si>
    <t>2.2.1. Uniformes e EPIs para Gerente</t>
  </si>
  <si>
    <t>6. COMPOSIÇÃO DE CUSTOS COM COLETA SELETIVA DE ÓLEO</t>
  </si>
  <si>
    <t xml:space="preserve">6.1. </t>
  </si>
  <si>
    <t>6.1.1.</t>
  </si>
  <si>
    <t>6.1.2.</t>
  </si>
  <si>
    <t>6.2.</t>
  </si>
  <si>
    <t>6.2.1.</t>
  </si>
  <si>
    <t>6.2.2.</t>
  </si>
  <si>
    <t>6.3.</t>
  </si>
  <si>
    <t>6.3.1.</t>
  </si>
  <si>
    <t>Veículo tipo caminhão com carroceria aberta</t>
  </si>
  <si>
    <t>6.4.</t>
  </si>
  <si>
    <t>6.5.</t>
  </si>
  <si>
    <t>6.5.1.</t>
  </si>
  <si>
    <t>6.5.2.</t>
  </si>
  <si>
    <t>6.1. DETALHAMENTO MÃO DE OBRA DIRETA</t>
  </si>
  <si>
    <t>6.1.1. Coletor (diurno)</t>
  </si>
  <si>
    <t>6.1.2. Motorista (diurno)</t>
  </si>
  <si>
    <t>6.2. DETALHAMENTO UNIFORMES E EQUIPAMENTOS DE PROTEÇÃO INDIVIDUAL - MÃO DE OBRA DIRETA</t>
  </si>
  <si>
    <t>6.2.1. Uniformes e EPIs para Coletor</t>
  </si>
  <si>
    <t>6.2.2. Uniformes e EPIs para Motorista</t>
  </si>
  <si>
    <t>6.3. VEÍCULOS E EQUIPAMENTOS</t>
  </si>
  <si>
    <t>Veículo Tipo Caminhão com Carroceria Aberta</t>
  </si>
  <si>
    <t>6.3.1.1.</t>
  </si>
  <si>
    <t>6.3.1.2.</t>
  </si>
  <si>
    <t>6.3.1.3.</t>
  </si>
  <si>
    <t>6.3.1.4.</t>
  </si>
  <si>
    <t>6.3.1.5.</t>
  </si>
  <si>
    <t>6.3.1.6.</t>
  </si>
  <si>
    <t>6.3.1.7.</t>
  </si>
  <si>
    <t>6.3.2. Veículo Tipo Caminhão com Carroceria Aberta</t>
  </si>
  <si>
    <t>6.3.2.1. Depreciação</t>
  </si>
  <si>
    <t>Depreciação mensal caminhão carroceria aberta</t>
  </si>
  <si>
    <t>Custo de aquisição da carroceria carga seca + bomba + Reservatório</t>
  </si>
  <si>
    <t>Vida útil da carroceria carga seca + bomba + Reservatório</t>
  </si>
  <si>
    <t>Idade da carroceria carga seca + bomba + Reservatório</t>
  </si>
  <si>
    <t>Depreciação da carroceria carga seca + bomba + Reservatório</t>
  </si>
  <si>
    <t>Depreciação mensal da carroceria carga seca + bomba + Reservatório</t>
  </si>
  <si>
    <t>6.3.2.2. Remuneração do Capital</t>
  </si>
  <si>
    <t>Custo da carroceria carga seca + bomba + Reservatório</t>
  </si>
  <si>
    <r>
      <rPr>
        <sz val="11"/>
        <color theme="1"/>
        <rFont val="Calibri"/>
        <family val="2"/>
        <charset val="1"/>
      </rPr>
      <t>Valor da carroceria carga seca + bomba + Reservatório (V</t>
    </r>
    <r>
      <rPr>
        <vertAlign val="subscript"/>
        <sz val="11"/>
        <color theme="1"/>
        <rFont val="Calibri"/>
        <family val="2"/>
        <charset val="1"/>
      </rPr>
      <t>0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</si>
  <si>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Calibri"/>
        <family val="2"/>
        <charset val="1"/>
      </rPr>
      <t>Investimento médio total da carroceria carga seca + bomba + Reservatório</t>
    </r>
    <r>
      <rPr>
        <b/>
        <vertAlign val="superscript"/>
        <sz val="11"/>
        <color theme="1"/>
        <rFont val="Calibri"/>
        <family val="2"/>
        <charset val="1"/>
      </rPr>
      <t>(¹)</t>
    </r>
  </si>
  <si>
    <r>
      <rPr>
        <b/>
        <sz val="11"/>
        <color theme="1"/>
        <rFont val="Calibri"/>
        <family val="2"/>
        <charset val="1"/>
      </rPr>
      <t>Remuneração mensal de capital da carroceria carga seca + bomba + Reservatório</t>
    </r>
    <r>
      <rPr>
        <b/>
        <vertAlign val="superscript"/>
        <sz val="11"/>
        <color theme="1"/>
        <rFont val="Calibri"/>
        <family val="2"/>
        <charset val="1"/>
      </rPr>
      <t>(²)</t>
    </r>
  </si>
  <si>
    <t>6.3.3.3. Impostos, Seguros e Outros</t>
  </si>
  <si>
    <t>Vistoria (1º emplacamento)</t>
  </si>
  <si>
    <t>6.3.3.4. Consumo de combustível</t>
  </si>
  <si>
    <t>6.3.4.5. Óleos e Lubrificantes</t>
  </si>
  <si>
    <t>6.3.4.6. Pneus</t>
  </si>
  <si>
    <r>
      <rPr>
        <sz val="11"/>
        <color theme="1"/>
        <rFont val="Calibri"/>
        <family val="2"/>
        <charset val="1"/>
      </rPr>
      <t xml:space="preserve">Custo do jogo de pneus </t>
    </r>
    <r>
      <rPr>
        <sz val="11"/>
        <rFont val="Calibri"/>
        <family val="2"/>
        <charset val="1"/>
      </rPr>
      <t>215/75 R17.5</t>
    </r>
  </si>
  <si>
    <t>6.3.4.7. Manutenção</t>
  </si>
  <si>
    <t>Custo de manutenção - Caminhão com carroceria aberta</t>
  </si>
  <si>
    <t>Custo Mensal por Veículo Tipo Caminhão com Carroceria Aberta</t>
  </si>
  <si>
    <t>CUSTO MENSAL  COM VEÍCULOS E EQUIPAMENTOS</t>
  </si>
  <si>
    <t>6.4. FERRAMENTAS E MATERIAIS DE CONSUMO</t>
  </si>
  <si>
    <t>6.4.1.</t>
  </si>
  <si>
    <t>6.4.2.</t>
  </si>
  <si>
    <t>Publicidade (adesivagem portas)</t>
  </si>
  <si>
    <t>6.4.3.</t>
  </si>
  <si>
    <t>6.4.4.</t>
  </si>
  <si>
    <t>6.4.5.</t>
  </si>
  <si>
    <t>6.4.6.</t>
  </si>
  <si>
    <t>6.4.7.</t>
  </si>
  <si>
    <t>6.4.8.</t>
  </si>
  <si>
    <t>Carrinho metálico para carga</t>
  </si>
  <si>
    <t>6.4.9.</t>
  </si>
  <si>
    <t>Estopa (pacote 400 g)</t>
  </si>
  <si>
    <t>6.4.10.</t>
  </si>
  <si>
    <t>Vassoura</t>
  </si>
  <si>
    <t>6.4.11.</t>
  </si>
  <si>
    <t>Pá de lixo</t>
  </si>
  <si>
    <t>6.4.12.</t>
  </si>
  <si>
    <t>Serragem (kg)</t>
  </si>
  <si>
    <t>6.5. DESPESAS ADMINISTRATIVAS</t>
  </si>
  <si>
    <t>CUSTO TOTAL MENSAL COM COLETA DE ÓLEO</t>
  </si>
  <si>
    <t>7. DADOS COMPLEMENTARES PARA COMPOSIÇÃO DOS CUSTOS REFERENTE À MÃO DE OBRA</t>
  </si>
  <si>
    <t>COLETOR DE LIXO DOMICILIAR</t>
  </si>
  <si>
    <t>Classificação Brasileira de Ocupações (CBO)</t>
  </si>
  <si>
    <t>5142-05</t>
  </si>
  <si>
    <t>Sindicato representativo da categoria profissional</t>
  </si>
  <si>
    <t>SEEAC-PEL</t>
  </si>
  <si>
    <t>Ano/Mês do Acordo, Convenção ou Sentença Normativa em Dissídio Coletivo</t>
  </si>
  <si>
    <t>Número de Registro no MTE</t>
  </si>
  <si>
    <t xml:space="preserve">RS000061/2026 </t>
  </si>
  <si>
    <t>Data-base da Categoria</t>
  </si>
  <si>
    <t>Salário normativo vigente da categoria profissional (44h/semana)</t>
  </si>
  <si>
    <t xml:space="preserve">Incidência de Insalubridade </t>
  </si>
  <si>
    <t>Valor mínimo para Vale-Alimentação/dia de efetivo trabalho</t>
  </si>
  <si>
    <t>MOTORISTA DE CAMINHÃO COLETOR</t>
  </si>
  <si>
    <t>7825-10</t>
  </si>
  <si>
    <t>STTRP</t>
  </si>
  <si>
    <t>RS003048/2026</t>
  </si>
  <si>
    <t>Incidência de Insalubridade (Conforme NR 15, Anexo 14, Portaria 3214 - M.T.E)</t>
  </si>
  <si>
    <t>Adicional Noturno (cláusula 12ª CCT STTRP)</t>
  </si>
  <si>
    <r>
      <rPr>
        <sz val="11"/>
        <color rgb="FF000000"/>
        <rFont val="Calibri"/>
        <charset val="1"/>
      </rPr>
      <t>Valor mínimo para Vale-Alimentação/dia de efetivo trabalho (CCT SEEAC-PEL)</t>
    </r>
    <r>
      <rPr>
        <vertAlign val="superscript"/>
        <sz val="11"/>
        <color rgb="FF000000"/>
        <rFont val="Calibri"/>
        <charset val="1"/>
      </rPr>
      <t>(1)</t>
    </r>
  </si>
  <si>
    <t>Abono (Cláusula 5ª da CCT)</t>
  </si>
  <si>
    <t>MECÂNICO</t>
  </si>
  <si>
    <t>9144-05</t>
  </si>
  <si>
    <t>STIMMMEP</t>
  </si>
  <si>
    <t>RS003202/2025</t>
  </si>
  <si>
    <t>Salário normativo vigente da categoria profissional (44h/semana)(2)</t>
  </si>
  <si>
    <t>Incidência de Insalubridade (Conforme NR 15, Anexo 14, Portaria 1214 - M.T.E)</t>
  </si>
  <si>
    <t>AUXILIAR DE MECÂNICO</t>
  </si>
  <si>
    <t>AUXILIAR ADMINISTRATIVO</t>
  </si>
  <si>
    <t>4110-05</t>
  </si>
  <si>
    <t xml:space="preserve">Valor mínimo para Vale-Alimentação/dia de efetivo trabalho </t>
  </si>
  <si>
    <t>F</t>
  </si>
  <si>
    <t>AUXILIAR DE SERVIÇOS GERAIS</t>
  </si>
  <si>
    <t>G</t>
  </si>
  <si>
    <t>LAVADOR DE VEÍCULOS</t>
  </si>
  <si>
    <t>5199-35</t>
  </si>
  <si>
    <t>Incidência de Insalubridade</t>
  </si>
  <si>
    <t xml:space="preserve">Plano de Benefício Familiar </t>
  </si>
  <si>
    <t>H</t>
  </si>
  <si>
    <t>VIGIA</t>
  </si>
  <si>
    <t>5174-20</t>
  </si>
  <si>
    <t>ENCARREGADO</t>
  </si>
  <si>
    <t>-</t>
  </si>
  <si>
    <t>Salário normativo vigente da categoria profissional (44h/semana)(3)</t>
  </si>
  <si>
    <t>J</t>
  </si>
  <si>
    <t>GERENTE GERAL</t>
  </si>
  <si>
    <t>Salário normativo vigente da categoria profissional (44h/semana)(4)</t>
  </si>
  <si>
    <t>Notas Explicativas</t>
  </si>
  <si>
    <t>(1) Para os cargos de motorista, mecânico, auxiliar de mecânico, encarregado e gerente geral, para os quais a convenção coletiva do sindicato representativo da categoria é omisso quanto ao valor para vale-alimentação ou cuja categoria não possui sindicato, adotou-se como referência o valor acordado na CCT do SEEAC-PEL. Essa escolha visa unificar todas as funções sob um mesmo modelo de regras convencionais, utilizando o sindicato mais alinhado à atividade principal da contratação (coleta de resíduos sólidos). Assim, busca-se promover a homogeneização da coletividade e fortalecer o vínculo de solidariedade entre os trabalhadores. O mesmo critério foi utilizado para o Plano de Benefício Familiar. Disponível em: &lt;https://convencoes.bond.com.br/cct/seeac-pel-rs-cct-2026&gt;. Acesso em: 14 jul. 2026.</t>
  </si>
  <si>
    <t>(2) Convenção Coletiva de Trabalho 2025/2027. Optou-se por essa CCT, pois embora não abranja, especificamente, Pelotas/RS, engloba muitas outras cidades do Rio Grande do Sul. "Fica estabelecido, com as ressalvas abaixo, para todos os trabalhadores abrangidos pelo presente acordo o salário normativo a partir de 01.05.2025, no valor de R$ 2.127,20 (dois mil, cento e vinte e sete reais e vinte centavos) mensais. A título de incentivo ao ingresso de trabalhadores na área de reparação de veículos, fica instituído um salário normativo de ingresso de R$1.896,36 (hum mil, oitocentos e noventa e seis reais e trinta e seis centavos) mensais ou R$ 8,61 (oito reais e sessenta e um centavos) por hora de trabalho. Este piso é aplicável somente ao trabalhador que, mesmo na soma de períodos descontínuos de trabalho em empresas e atividades ligadas à reparação de veículos, não comprove experiência de período superior a 06 (seis) meses, sendo esta comprovação feita exclusivamente mediante anotação da CTPS. Completados os 06 (seis) meses, passa, o trabalhador, a receber o piso previsto no “caput” desta cláusula. Conforme exposto, escolheu-se essa CCT para determinar os salários de Mecânico e Auxiliar de Mecânico. Disponível em: &lt;https://www.ftmrs.org.br/convencoes/reparacao-de-veiculos&gt;. Acesso em: 14 jul. 2026.</t>
  </si>
  <si>
    <t>(3) Para determinar o salário-base do cargo de encarregado, tomou-se como referência a remuneração atualmente praticada para profissionais que desempenham as mesmas funções. Descrição oficial, funções, competências, salários e mercado de trabalho para Supervisor de transportes (CBO 510105) em 2026 — Dados da Tabela CBO/MTE e CAGED. Disponível em: &lt;https://www.salario.com.br/ocupacao/cargos/cbo-510105-cargos/&gt;. Acesso em: 28 set. 2026.</t>
  </si>
  <si>
    <t>(4) Para determinar o salário do Gerente Geral, considerou-se a remuneração média apresentada para a ocupação de Gerente Administrativo (142105), no Estado do Rio Grande do Sul, disponível no Painel "As ocupações e o Mercado de Trabalho Assalariado Formal" do Ministério do Trabalho e Emprego - MTE. Disponível em: &lt;app.powerbi.com/view?r=eyJrIjoiY2QxYWM4YWEtYTllOS00NDA4LTgzZGItMWM5MWY2MGI2OTZkIiwidCI6IjNlYzkyOTY5LTVhNTEtNGYxOC04YWM5LWVmOThmYmFmYTk3OCJ9&gt;. Acesso em: 28 set. 2026.</t>
  </si>
  <si>
    <t>8. COMPOSIÇÃO DOS ENCARGOS SOCIAIS</t>
  </si>
  <si>
    <t>GRUPO A - OBRIGAÇÕES SOCIAIS</t>
  </si>
  <si>
    <t>Incidência</t>
  </si>
  <si>
    <t>A1</t>
  </si>
  <si>
    <t>INSS (art. 22, inc. I, da Lei 8.212/91)</t>
  </si>
  <si>
    <t>A2</t>
  </si>
  <si>
    <t>SESI ou SESC (art. 30, da Lei 8.036/90 e art. 1º da Lei 8.154/90)</t>
  </si>
  <si>
    <t>A3</t>
  </si>
  <si>
    <t>SENAI ou SENAC (art. 30, Decreto-Lei 2.318/86)</t>
  </si>
  <si>
    <t>A4</t>
  </si>
  <si>
    <t>INCRA (art. 1º , inc. I do Decreto-Lei 1.146/70)</t>
  </si>
  <si>
    <t>A5</t>
  </si>
  <si>
    <t>SEBRAE (Lei 8.029/90, alterada pela Lei 8.154/1990)</t>
  </si>
  <si>
    <t>A6</t>
  </si>
  <si>
    <t>Salário Educação (Art. 3°, inc. I, do Decreto 87.043/1982)</t>
  </si>
  <si>
    <t>A7</t>
  </si>
  <si>
    <t>Seguro Contra Acidentes de Trabalho (Art. 22, inc. II, Lei 8.212/91)</t>
  </si>
  <si>
    <t>A8</t>
  </si>
  <si>
    <t>FGTS (art. 15 da Lei 8.036/90 e art. 7º, inc. III, da CF/88)</t>
  </si>
  <si>
    <t>SOMA GRUPO A</t>
  </si>
  <si>
    <t>GRUPO B - TEMPO NÃO TRABALHADO</t>
  </si>
  <si>
    <t>B1</t>
  </si>
  <si>
    <t>Férias Gozadas + 1/3</t>
  </si>
  <si>
    <t>B2</t>
  </si>
  <si>
    <t>13º Salário</t>
  </si>
  <si>
    <t>B3</t>
  </si>
  <si>
    <t>Licença Paternidade</t>
  </si>
  <si>
    <t>B4</t>
  </si>
  <si>
    <t>Faltas justificadas</t>
  </si>
  <si>
    <t>B5</t>
  </si>
  <si>
    <t>Auxílio acidente de trabalho</t>
  </si>
  <si>
    <t>B6</t>
  </si>
  <si>
    <t>Auxílio doença</t>
  </si>
  <si>
    <t>SOMA GRUPO B</t>
  </si>
  <si>
    <t>GRUPO C - PROVISÃO PARA RESCISÃO</t>
  </si>
  <si>
    <t>C1</t>
  </si>
  <si>
    <t>Aviso prévio indenizado</t>
  </si>
  <si>
    <t>C2</t>
  </si>
  <si>
    <t xml:space="preserve">Férias indenizadas </t>
  </si>
  <si>
    <t>C3</t>
  </si>
  <si>
    <t>Férias indenizadas s/ aviso prévio indenizado</t>
  </si>
  <si>
    <t>C4</t>
  </si>
  <si>
    <t>Depósito rescisão sem justa causa</t>
  </si>
  <si>
    <t>C5</t>
  </si>
  <si>
    <t>Indenização adicional</t>
  </si>
  <si>
    <t>SOMA GRUPO C</t>
  </si>
  <si>
    <t>GRUPO D - REINCIDÊNCIAS</t>
  </si>
  <si>
    <t>D1</t>
  </si>
  <si>
    <t>Reincidência de Grupo A sobre Grupo B</t>
  </si>
  <si>
    <t>D2</t>
  </si>
  <si>
    <t>Reincidência de FGTS sobre aviso prévio indenizado</t>
  </si>
  <si>
    <t>SOMA GRUPO D</t>
  </si>
  <si>
    <t>SOMA (A+B+C+D)</t>
  </si>
  <si>
    <t>9. CAGED</t>
  </si>
  <si>
    <t>Rio Grande do Sul - Coleta de Resíduos Não-Perigosos - CNAE 38114</t>
  </si>
  <si>
    <t>Admissões</t>
  </si>
  <si>
    <t>Desligamentos</t>
  </si>
  <si>
    <t>Dispensados sem justa causa(¹)</t>
  </si>
  <si>
    <t>Indicadores</t>
  </si>
  <si>
    <t>Estoque recuperado início do Período 01-01-2025</t>
  </si>
  <si>
    <t>Estoque recuperado final do Período 31-12-2025</t>
  </si>
  <si>
    <t>Variação Emprego Absoluta de 01-01-2025 a 31-12-2025</t>
  </si>
  <si>
    <t>Estoque Médio</t>
  </si>
  <si>
    <t>% Demitidos sem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</si>
  <si>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</si>
  <si>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</si>
  <si>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</si>
  <si>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</si>
  <si>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</si>
  <si>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</si>
  <si>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</si>
  <si>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FGTS</t>
  </si>
  <si>
    <t>Multa FGTS</t>
  </si>
  <si>
    <t xml:space="preserve">(¹) Para o cálculo de percentual de demitidos sem justa causa, optou-se por realizar a proporção obtida entre o nº de dispensados sem justa causa/nº desligamentos totais dispostos na planilha modelo do TCE, que considera os dados do CAGED (2019), tendo em vista que os dados do Novo CAGED não discriminam o tipo de desligamento. Obteve-se a proporção de 58,69%, a qual foi utilizada para estimar o número de dispensados sem justa causa no ano de 2025. </t>
  </si>
  <si>
    <t>Referências</t>
  </si>
  <si>
    <r>
      <rPr>
        <sz val="10"/>
        <color rgb="FF000000"/>
        <rFont val="Calibri"/>
        <charset val="1"/>
      </rPr>
      <t xml:space="preserve">MINISTÉRIO DO TRABALHO E EMPREGO. </t>
    </r>
    <r>
      <rPr>
        <b/>
        <sz val="10"/>
        <color rgb="FF000000"/>
        <rFont val="Calibri"/>
        <charset val="1"/>
      </rPr>
      <t>Painel de Informações do Novo CAGED</t>
    </r>
    <r>
      <rPr>
        <sz val="10"/>
        <color rgb="FF000000"/>
        <rFont val="Calibri"/>
        <charset val="1"/>
      </rPr>
      <t>. Junho de 2026. Disponível em: &lt;https://app.powerbi.com/view?r=eyJrIjoiNWI5NWI0ODEtYmZiYy00Mjg3LTkzNWUtY2UyYjIwMDE1YWI2IiwidCI6IjNlYzkyOTY5LTVhNTEtNGYxOC04YWM5LWVmOThmYmFmYTk3OCJ9&amp;pageName=ReportSectionb52b07ec3b5f3ac6c749&gt;. Acesso em: 27 jun. 2026.
RIO GRANDE DO SUL. Tribunal de Contas do Estado. Orientação Técnica – Serviços de Coleta de Resíduos Sólidos Domiciliares. 2º ed. Porto Alegre: TCE-RS, 2019. Disponível em: &lt;https://tcers.tc.br/repo/orientacoes_gestores/Coleta-de-Residuos-S%C3%B3lidos.pdf&gt;. Acesso em: 27 jun. 2026.</t>
    </r>
  </si>
  <si>
    <t>10. COMPOSIÇÃO DO BDI - BENEFÍCIOS E DESPESAS INDIRETAS</t>
  </si>
  <si>
    <t>Administração Central (AC)(1)</t>
  </si>
  <si>
    <t>Seguros/Riscos/Garantias (SRG)</t>
  </si>
  <si>
    <t>Lucro (L)</t>
  </si>
  <si>
    <t>Despesas Financeiras (DF)(2)</t>
  </si>
  <si>
    <t>D.1</t>
  </si>
  <si>
    <t>i (Taxa Selic)</t>
  </si>
  <si>
    <t>D.2</t>
  </si>
  <si>
    <t>DU (nº de dias)(3)</t>
  </si>
  <si>
    <t>Tributos (T)(4)</t>
  </si>
  <si>
    <t>E.1</t>
  </si>
  <si>
    <t>ISS</t>
  </si>
  <si>
    <t>E.2</t>
  </si>
  <si>
    <t>PIS/PASEP</t>
  </si>
  <si>
    <t>E.3</t>
  </si>
  <si>
    <t>COFINS</t>
  </si>
  <si>
    <t>TOTAL BDI(5)</t>
  </si>
  <si>
    <t>(1) Os percentuais de Administração Central (AC), Seguros/Riscos/Garantias (SRG) e Lucro (L) foram baseados no estudo do TCE apresentado na Orientação Técnica de Serviços de Coleta de Resíduos Sólidos Domiciliares – Projeto, Contratação e Fiscalização – TCE/RS – 2ª Edição, 2019.</t>
  </si>
  <si>
    <t>(2) Base de cálculo para Despesas Financeiras: DF = (1 + i)DU/252 - 1</t>
  </si>
  <si>
    <t>(3) DU = média de dias úteis entre a data de pagamento prevista no contrato e a data final do período de adimplemento da parcela.</t>
  </si>
  <si>
    <t>(4) Tributos baseados no Lucro Presumido (regime de incidência cumulativa).</t>
  </si>
  <si>
    <r>
      <rPr>
        <sz val="10"/>
        <color rgb="FF000000"/>
        <rFont val="Calibri"/>
        <charset val="1"/>
      </rPr>
      <t>(5) Base de Cálculo do BDI:</t>
    </r>
    <r>
      <rPr>
        <b/>
        <sz val="10"/>
        <color rgb="FF000000"/>
        <rFont val="Calibri"/>
        <charset val="1"/>
      </rPr>
      <t xml:space="preserve"> BDI = {[(1+AC+SRG) x (1+L) x (1+DF)] / (1-T)} -1</t>
    </r>
  </si>
  <si>
    <t>11. COMPOSIÇÃO DE CUSTOS</t>
  </si>
  <si>
    <t>10.1. Custos com EPIs e Materiais de Consumo</t>
  </si>
  <si>
    <t>SEQ.</t>
  </si>
  <si>
    <t>DESCRIÇÃO</t>
  </si>
  <si>
    <t>FORNECEDOR</t>
  </si>
  <si>
    <t>CNPJ</t>
  </si>
  <si>
    <t>FONTE</t>
  </si>
  <si>
    <t>DATA DA COTAÇÃO</t>
  </si>
  <si>
    <t>VALOR UN.</t>
  </si>
  <si>
    <t>PREÇO MÉDIO UN.</t>
  </si>
  <si>
    <t>10.1.1</t>
  </si>
  <si>
    <t>Álcool gel 70%, embalagem 5 litros.</t>
  </si>
  <si>
    <t>SCHUZA COMERCIO DE DESCARTAVEIS, HIGIENE E LIMPEZA LTDA</t>
  </si>
  <si>
    <t>09.644.894/0001-27</t>
  </si>
  <si>
    <t>PE 43/2024
PM de Boa Vista do Sul</t>
  </si>
  <si>
    <t>TRIADE LOG COMERCIO E SERVIÇOS EIRELI</t>
  </si>
  <si>
    <t>21.589.563/0001-37</t>
  </si>
  <si>
    <t>Cotação própria</t>
  </si>
  <si>
    <t>ADEMIR ABRAO BRUSTOLIN</t>
  </si>
  <si>
    <t>32.121.534/0001-62</t>
  </si>
  <si>
    <t>PE 4/2025
PM de Estação</t>
  </si>
  <si>
    <t>10.1.2</t>
  </si>
  <si>
    <t>Avental impermeável de vinil ou PVC</t>
  </si>
  <si>
    <t>AD LICITAÇÕES LTDA</t>
  </si>
  <si>
    <t>56.900.847/0001-87</t>
  </si>
  <si>
    <t>PE 06/2025 
PM de Camaquã</t>
  </si>
  <si>
    <t>T&amp;T INDÚSTRIA, COMÉRCIO, IMPORTAÇÃO E EXPORTAÇÃO LTDA</t>
  </si>
  <si>
    <t>26.348.306/0001-27</t>
  </si>
  <si>
    <t>PE 85/2024
PM de Novo Hamburgo</t>
  </si>
  <si>
    <t>BLUSAFE EQUIPAMENTOS DE PROTEÇÃO INDIVIDUAL LTDA</t>
  </si>
  <si>
    <t>36.091.140/0001-60</t>
  </si>
  <si>
    <t>PE 25/2024
PM de Tapera</t>
  </si>
  <si>
    <t>10.1.3</t>
  </si>
  <si>
    <t>Bag para armazenamento de material pós coleta, tipo saco de lixo, com identificação por cor. (capacidade 100 litros, pacote com 100 unidades)</t>
  </si>
  <si>
    <t>pacote</t>
  </si>
  <si>
    <t>TOK LIMP DISTRIBUIDORA DE PRODUTOS DE LIMPEZA E AUTOMOTIVA LTDA</t>
  </si>
  <si>
    <t>20.476.201/0001-77</t>
  </si>
  <si>
    <t>KM COMERCIO ATACADISTA DE EMBALAGENS - EIRELI</t>
  </si>
  <si>
    <t>02.236.630/0001-95</t>
  </si>
  <si>
    <t>HD DISTRIBUIDORA DE PRODUTOS HIGIENICOS E DESCARTAVEIS LTDA</t>
  </si>
  <si>
    <t>03.868.183/0001-50</t>
  </si>
  <si>
    <t>10.1.4</t>
  </si>
  <si>
    <t>Bermuda de brim resistente, com refletivo.</t>
  </si>
  <si>
    <t>PETTER UNIFORMES EIRELI</t>
  </si>
  <si>
    <t>16.996.110/0001-95</t>
  </si>
  <si>
    <t>PE 77/2024 
PM de Capão da Canoa</t>
  </si>
  <si>
    <t>GALERIA DOS ESPORTES LTDA</t>
  </si>
  <si>
    <t>03.159.962/0001-86</t>
  </si>
  <si>
    <t>PE 65/2024 
PM de Panambi</t>
  </si>
  <si>
    <t>DU RIO UNIFORMES BRASIL</t>
  </si>
  <si>
    <t>43.950.473/0001-62</t>
  </si>
  <si>
    <t>10.1.5</t>
  </si>
  <si>
    <t>Bombona plástica com torneira, capacidade 10 litros.</t>
  </si>
  <si>
    <t>LUMILABOR PRODUTOS PARA LABORATÓRIO</t>
  </si>
  <si>
    <t>51.119.586/0001-49</t>
  </si>
  <si>
    <t>LINKLAB PRODUTOS CIENTIFICOS LTDA</t>
  </si>
  <si>
    <t>48.760.622/0001-44</t>
  </si>
  <si>
    <t>BCLAB PRODUTOS LABORATORIAIS</t>
  </si>
  <si>
    <t>39.409.828/0001-33</t>
  </si>
  <si>
    <t>10.1.6</t>
  </si>
  <si>
    <t>Boné tipo árabe, para auxílio na proteção contra radiação solar.</t>
  </si>
  <si>
    <t>EURO MAIS INDÚSTRIA, COMÉRCIO E CONSULTORIA LTDA</t>
  </si>
  <si>
    <t>44.998.858/0001-62</t>
  </si>
  <si>
    <t>BARÃOSEG LTDA</t>
  </si>
  <si>
    <t>53.763.552/0001-18</t>
  </si>
  <si>
    <t>PE 52/2024
PM de Osório</t>
  </si>
  <si>
    <t>EPIFORTTE - COMERCIO DE EQUIPAMENTOS DE PROTECAO INDIVIDUAL LTDA</t>
  </si>
  <si>
    <t>37.596.344/0001-15</t>
  </si>
  <si>
    <t>10.1.7</t>
  </si>
  <si>
    <t>Calça de brim ou sarja resistente, com refletivo.</t>
  </si>
  <si>
    <t>JB PONTES COMÉRCIO LTDA</t>
  </si>
  <si>
    <t>48.937.333/0001-78</t>
  </si>
  <si>
    <t>DANIEL RICARDO HAAS FIN</t>
  </si>
  <si>
    <t>49.578.502/0001-93</t>
  </si>
  <si>
    <t>PE 31/2024 
PM de Igrejinha</t>
  </si>
  <si>
    <t>PETTER UNIFORMES LTDA</t>
  </si>
  <si>
    <t>10.1.8</t>
  </si>
  <si>
    <t>Calça de brim ou sarja resistente.</t>
  </si>
  <si>
    <t>FACCINA DALTORA EQUIPAMENTOS DE SEGURANÇA LTDA</t>
  </si>
  <si>
    <t>04.584.756/0001-86</t>
  </si>
  <si>
    <t>PE 16/2024 
PM de Estação</t>
  </si>
  <si>
    <t>EXTINSOLDA MÁQUINAS E FERRAMENTAS LTDA</t>
  </si>
  <si>
    <t>90.150.376/0001-75</t>
  </si>
  <si>
    <t>PE 01/2025 
CONDESUS</t>
  </si>
  <si>
    <t>10.1.9</t>
  </si>
  <si>
    <t>Calçado de segurança tipo botina, com biqueira de aço ou composite, solado bidensidade antiderrapante, com absorção de energia na área do salto (calcanhar);</t>
  </si>
  <si>
    <t>par</t>
  </si>
  <si>
    <t>RP COMERCIAL LTDA</t>
  </si>
  <si>
    <t>20.604.417/0001-70</t>
  </si>
  <si>
    <t>PE 57/2024
PM de Arroio do Tigre</t>
  </si>
  <si>
    <t>LF COMERCIAL DE BENS LTDA</t>
  </si>
  <si>
    <t>91.845.735/0004-14</t>
  </si>
  <si>
    <t>ASTRO DISTRIBUIDORA LTDA</t>
  </si>
  <si>
    <t>18.597.685/0001-60</t>
  </si>
  <si>
    <t>10.1.10</t>
  </si>
  <si>
    <t>Camiseta de malha manga longa, com refletivo.</t>
  </si>
  <si>
    <t>BENVENUTTI UNIFORMES LTDA</t>
  </si>
  <si>
    <t>11.606.391/0001-09</t>
  </si>
  <si>
    <t>CONFECÇÃO MAPA LTDA</t>
  </si>
  <si>
    <t>30.185.499/0001-10</t>
  </si>
  <si>
    <t>ZEN UNIFORMES LTDA</t>
  </si>
  <si>
    <t>22.692.670/0001-59</t>
  </si>
  <si>
    <t>10.1.11</t>
  </si>
  <si>
    <t>Camiseta de malha, tecido 100% algodão, manga curta.</t>
  </si>
  <si>
    <t>QUALIJU MALHAS LTDA</t>
  </si>
  <si>
    <t>16.575.469/0001-99</t>
  </si>
  <si>
    <t>BRINDES TIC TAC LTDA</t>
  </si>
  <si>
    <t>33.583.462/0001-38</t>
  </si>
  <si>
    <t>PE 30/2024
PM de Capão do Leão</t>
  </si>
  <si>
    <t>MARIA ELIZABETH MOURA MORALES CONFECÇÕES EIRELI</t>
  </si>
  <si>
    <t>30.577.619/0001-24</t>
  </si>
  <si>
    <t>10.1.12</t>
  </si>
  <si>
    <t>Camiseta manga curta com faixa refletiva.</t>
  </si>
  <si>
    <t>RUBENS GANGUCU DE OLIVEIRA FILHO CONFECÇÕES</t>
  </si>
  <si>
    <t>34.993.230/0001-10</t>
  </si>
  <si>
    <t>COPAL INDUSTRIA E COMÉRCIO DE BENS LTDA</t>
  </si>
  <si>
    <t>89.580.310/0001-36</t>
  </si>
  <si>
    <t>10.1.13</t>
  </si>
  <si>
    <t>Capa de chuva em material PVC impermeável, fechamento em botões de pressão.</t>
  </si>
  <si>
    <t>PE 02/2025 
PM de Nova Ramada</t>
  </si>
  <si>
    <t>CITY CLEAN COM. EQUIPAMENTOS LTDA</t>
  </si>
  <si>
    <t>48.256.518/0001-17</t>
  </si>
  <si>
    <t>ALS UNIFORMES PROFISSIONAIS LTDA</t>
  </si>
  <si>
    <t>43.496.899/0001-98</t>
  </si>
  <si>
    <t>PE 19/2024 
PM de Aceguá</t>
  </si>
  <si>
    <t>10.1.14</t>
  </si>
  <si>
    <t>Carrinho metálico com roda de borracha pneumática para transporte de carga.</t>
  </si>
  <si>
    <t>FERRO FERRAMENTAS INDUSTRIAIS LTDA</t>
  </si>
  <si>
    <t>25.003.733/0001-00</t>
  </si>
  <si>
    <t>PALÁCIO DAS FERRAMENTAS LTDA</t>
  </si>
  <si>
    <t>68.422.419/0001-75</t>
  </si>
  <si>
    <t>SUPER-PRO COMÉRCIO DE EQUIPAMENTOS E FERRAMENTAS LTDA</t>
  </si>
  <si>
    <t>08.858.579/0015-35</t>
  </si>
  <si>
    <t>10.1.15</t>
  </si>
  <si>
    <t>PIZANI EQUIPAMENTOS DE SEGURANCA LTDA</t>
  </si>
  <si>
    <t>19.611.064/0001-57</t>
  </si>
  <si>
    <t>PE 33/2024
PM de Itati</t>
  </si>
  <si>
    <t>10.1.16</t>
  </si>
  <si>
    <t>Conjunto de jaqueta e calça para chuva confeccionada em tecido de nylon revestido de pvc,  com capuz e refletivo nas duas peças.</t>
  </si>
  <si>
    <t>conjunto</t>
  </si>
  <si>
    <t>VERTICE COM. DE ROUPAS E ACESSÓRIOS LTDA</t>
  </si>
  <si>
    <t>08.763.888/0001-26</t>
  </si>
  <si>
    <t>PE 257/2024
PM de Caxias do Sul</t>
  </si>
  <si>
    <t>LP EQUIPAMENTOS DE PROTECAO LTDA</t>
  </si>
  <si>
    <t>41.483.730/0001-78</t>
  </si>
  <si>
    <t>PE 13/2024
PM de Porto Vera Cruz</t>
  </si>
  <si>
    <t>REAL EPIS - COMERCIO DE EQUIPAM. DE SEGURAN. LTDA</t>
  </si>
  <si>
    <t>10.839.633/0001-41</t>
  </si>
  <si>
    <t>PE 01/2025 
PM DE PORTO LUCENA</t>
  </si>
  <si>
    <t>10.1.17</t>
  </si>
  <si>
    <t>Creme protetor para mãos, tipo para óleos e graxas, com atendimento às normas da ANVISA, tubo de 200g.</t>
  </si>
  <si>
    <t>PROJESUL COM. DE EQUIP. E ASSESSORIA EM MED. E SEG. DO TRABALHO LTDA</t>
  </si>
  <si>
    <t>05.763.618/0001-27</t>
  </si>
  <si>
    <t>PE 136/2024
FHGV</t>
  </si>
  <si>
    <t>KAEMA SINALIZAÇÃO E UNIFORMES</t>
  </si>
  <si>
    <t>36.158.958/0001-52</t>
  </si>
  <si>
    <t>SINGULAR COMERCIO DE EPI LTDA</t>
  </si>
  <si>
    <t>20.838.307/0001-73</t>
  </si>
  <si>
    <t>10.1.18</t>
  </si>
  <si>
    <t>Estopa para limpeza (400 g)</t>
  </si>
  <si>
    <t>MERCASERRA MATERIAIS PARA CONSTRUÇÃO LTDA</t>
  </si>
  <si>
    <t>06.099.646/0001-54</t>
  </si>
  <si>
    <t>PE 136/2024
CODECA</t>
  </si>
  <si>
    <t>G.M.I. DISTRIBUIDORA LTDA</t>
  </si>
  <si>
    <t>04.098.359/0001-02</t>
  </si>
  <si>
    <t>COMERCIAL ANTONIO CARVALHO LTDA</t>
  </si>
  <si>
    <t>02.559.428/0001-02</t>
  </si>
  <si>
    <t>10.1.19</t>
  </si>
  <si>
    <t>Frasco plástico com válvula tipo pump, com capacidade para 500 ml.</t>
  </si>
  <si>
    <t>KAPRICHO DISTRIBUIDORA LTDA</t>
  </si>
  <si>
    <t>27.403.752/0001-50</t>
  </si>
  <si>
    <t>PE 12/2025
PM de Boa Vista do Sul</t>
  </si>
  <si>
    <t>R. AKIMOTO COMERCIO DE EMBALAGENS E ESSENCIAS LTDA</t>
  </si>
  <si>
    <t>45.902.789/0001-04</t>
  </si>
  <si>
    <t>TRIADE LOG COMERCIO E SERVIÇOS EIRELI EPP</t>
  </si>
  <si>
    <t>10.1.20</t>
  </si>
  <si>
    <t>Jaqueta em tecido impermeável com forro interno</t>
  </si>
  <si>
    <t>THAYNA ZANGRANDE VENTURA GUERREIRO</t>
  </si>
  <si>
    <t>50.373.558/0001-90</t>
  </si>
  <si>
    <t>52.731.028 MANUELA DAGOSTIM FERNANDES DE MELLO</t>
  </si>
  <si>
    <t>52.731.028/0001-00</t>
  </si>
  <si>
    <t>PE 20/2024
PM de Arroio Grande</t>
  </si>
  <si>
    <t>10.1.21</t>
  </si>
  <si>
    <t>Jaqueta em tecido impermeável com forro interno, com refletivo</t>
  </si>
  <si>
    <t>FACCINA DALTORA EQUIPAMENTOS DE SEGURANCA LTDA</t>
  </si>
  <si>
    <t>ALELISE COMÉRCIO DE ARTIGOS DO VESTUÁRIO LTDA</t>
  </si>
  <si>
    <t>13.045.571/0001-94</t>
  </si>
  <si>
    <t>RPE 35/2024
PM de Santa Cruz do Sul</t>
  </si>
  <si>
    <t>PE 88/2024
PM de Alvorada</t>
  </si>
  <si>
    <t>10.1.22</t>
  </si>
  <si>
    <t>Luva de látex multiuso.</t>
  </si>
  <si>
    <t>MACHADO AUTO PARTS LTDA</t>
  </si>
  <si>
    <t>17.180.692/0001-08</t>
  </si>
  <si>
    <t>SAO LOURENCO COMERCIO DE PRODUTOS DE LIMPEZA LTDA</t>
  </si>
  <si>
    <t>09.110.229/0001-53</t>
  </si>
  <si>
    <t>DLE 20/2024
CM de Farroupilha</t>
  </si>
  <si>
    <t>10.1.23</t>
  </si>
  <si>
    <t>Luva de segurança tricotada em algodão e poliéster, punho elástico, banho em látex natural na palma, dedos e ponta dos dedos, anatômicas e flexíveis, alta resistência mecânica e ótima impermeabilidade na palma da mão.</t>
  </si>
  <si>
    <t>NORMATEC EQUIPAMENTOS DE SEGURANCA LTDA</t>
  </si>
  <si>
    <t>26.910.793/0001-70</t>
  </si>
  <si>
    <t>10.1.24</t>
  </si>
  <si>
    <t>Luva multitato revestida com PU, punho elástico.</t>
  </si>
  <si>
    <t>DIMENSIONAL BRASIL SOLUÇÕES LTDA</t>
  </si>
  <si>
    <t>06.913.480/0015-63</t>
  </si>
  <si>
    <t>PLENOBRAS DISTRIBUIDORA ELÉTRICA E HIDRÁULICA LTDA</t>
  </si>
  <si>
    <t>72.313.828/0001-00</t>
  </si>
  <si>
    <t>10.1.25</t>
  </si>
  <si>
    <t xml:space="preserve">Macacão operacional manga curta, material brim grosso (100% algodão), </t>
  </si>
  <si>
    <t>ARKUERO - COMERCIO DE FERRAMENTAS LTDA</t>
  </si>
  <si>
    <t>28.503.687/0001-05</t>
  </si>
  <si>
    <t>10.1.26</t>
  </si>
  <si>
    <t xml:space="preserve">Macacão operacional manga longa, material brim grosso (100% algodão), </t>
  </si>
  <si>
    <t>PE 01/2025 CONDESUS</t>
  </si>
  <si>
    <t>10.1.27</t>
  </si>
  <si>
    <t>Meia de algodão com cano alto, tipo jogador de futebol.</t>
  </si>
  <si>
    <t>B J DE QUADROS CONFECÇÃO DE UNIFORMES EIRELI</t>
  </si>
  <si>
    <t>27.423.588/0001-42</t>
  </si>
  <si>
    <t>PE 86/2024
PM de Parobé</t>
  </si>
  <si>
    <t>FF.COM ESPORTES LTDA</t>
  </si>
  <si>
    <t>05.328.923/0001-90</t>
  </si>
  <si>
    <t>CASA E VIDEO BRASIL S/A</t>
  </si>
  <si>
    <t>11.114.284/0001-63</t>
  </si>
  <si>
    <t>10.1.28</t>
  </si>
  <si>
    <t>Óculos de proteção contra radiação solar</t>
  </si>
  <si>
    <t>USE EPI EQUIPAMENTOS DE SEGURANÇA LTDA</t>
  </si>
  <si>
    <t>20.136.094/0001-38</t>
  </si>
  <si>
    <t>ALL SAFE SOLUCOES EM SEGURANCA DO TRABALHO LTDA</t>
  </si>
  <si>
    <t>28.005.188/0001-80</t>
  </si>
  <si>
    <t>PE 2/2024
COMUR-NH</t>
  </si>
  <si>
    <t>SUPER EPI EQUIPAMENTOS DE PROTEÇÃO INDIVIDUAL LTDA</t>
  </si>
  <si>
    <t>26.588.821/0002-65</t>
  </si>
  <si>
    <t>10.1.29</t>
  </si>
  <si>
    <t>Óculos de segurança, com proteção lateral, lentes com proteção antiembaçante e antirrisco, com regulagem ajustável.</t>
  </si>
  <si>
    <t>DESTRA BRASIL LTDA</t>
  </si>
  <si>
    <t>10.900.700/0001-96</t>
  </si>
  <si>
    <t>TAUFER COMERCIO DE EQUIPAMENTOS DE PROTECAO LTDA</t>
  </si>
  <si>
    <t>13.468.347/0001-05</t>
  </si>
  <si>
    <t>10.1.30</t>
  </si>
  <si>
    <t>Pá de lixo plástica com cabo.</t>
  </si>
  <si>
    <t>JALE DISTRIBUIDORA LTDA</t>
  </si>
  <si>
    <t>04.089.712/0001-80</t>
  </si>
  <si>
    <t>CENTERLAR COMERCIO DE UTILIDADES LTDA</t>
  </si>
  <si>
    <t>05.951.362/0036-01</t>
  </si>
  <si>
    <t>ART LIMP BRASIL LTDA</t>
  </si>
  <si>
    <t>13.186.075/0001-50</t>
  </si>
  <si>
    <t>10.1.31</t>
  </si>
  <si>
    <t>Papel toalha interfolha 20cmx21cm, pacote com 1.000 folhas.</t>
  </si>
  <si>
    <t>WE COMERCIO DE PRODUTOS E UTILIDADES DOMESTICAS EIRELI</t>
  </si>
  <si>
    <t>30.986.684/0001-03</t>
  </si>
  <si>
    <t>PE 23/2024
CODECA</t>
  </si>
  <si>
    <t>MEGALIMPO HIGIENE E LIMPEZA</t>
  </si>
  <si>
    <t>44.910.500/0001-36</t>
  </si>
  <si>
    <t>BHB PRODUTOS E EQUIPAMENTOS DE LIMPEZA LTDA</t>
  </si>
  <si>
    <t>52.767.645/0001-58</t>
  </si>
  <si>
    <t>10.1.32</t>
  </si>
  <si>
    <t>Protetor solar FPS 30, com repelente, embalagem de 120 ml.</t>
  </si>
  <si>
    <t>frasco</t>
  </si>
  <si>
    <t>INFRAEASY SOLUÇÕES LTDA</t>
  </si>
  <si>
    <t>14.553.228/0001-13</t>
  </si>
  <si>
    <t>EPI'S ONLINE COMERCIO LTDA</t>
  </si>
  <si>
    <t>22.712006/0001-24</t>
  </si>
  <si>
    <t>NEOBETEL EPI, EQUIPAMENTOS DE PROTEÇÃO INDIVIDUAL LTDA</t>
  </si>
  <si>
    <t>25.464.260/0001-49</t>
  </si>
  <si>
    <t>10.1.33</t>
  </si>
  <si>
    <t>Recipiente contentor de lixo, capacidade 200 litros, com tampa.</t>
  </si>
  <si>
    <t>COMERCIAL WADY LTDA</t>
  </si>
  <si>
    <t>51.254.493/0001-27</t>
  </si>
  <si>
    <t>PE 21/2024
 ESP-CPP. DE HORTOLANDIA</t>
  </si>
  <si>
    <t>FAZ VENDAS LTDA</t>
  </si>
  <si>
    <t>46.983.819/0001-17</t>
  </si>
  <si>
    <t>PE 09/2024
BATALHAO DE INFANTARIA - SC</t>
  </si>
  <si>
    <t>SANTA MARIA MATERIAIS PARA CONSTRUCAO LTDA</t>
  </si>
  <si>
    <t>49.848.880/0001-40</t>
  </si>
  <si>
    <t>PE 31/2024
ESP-PENIT."AEVP CRISTIANO DE OLIVEIRA" F.PAUL</t>
  </si>
  <si>
    <t>10.1.34</t>
  </si>
  <si>
    <t>Sabonete líquido bactericida, embalagem 5 litros.</t>
  </si>
  <si>
    <t>DM DISTRIBUIDORA DE DESCARTAVEIS LTDA</t>
  </si>
  <si>
    <t>44.449.147/0001-39</t>
  </si>
  <si>
    <t>ALPHA HIGIENE E LIMPEZA LTDA</t>
  </si>
  <si>
    <t>09.276.894/0001-11</t>
  </si>
  <si>
    <t>PE 18/2024
PM de Nova Prata</t>
  </si>
  <si>
    <t>JAB COMERCIO E DISTRIBUIÇÃO DE PRODUTOS LTDA</t>
  </si>
  <si>
    <t>41.507.227/0001-05</t>
  </si>
  <si>
    <t>10.1.35</t>
  </si>
  <si>
    <t>Saco de Ráfia</t>
  </si>
  <si>
    <t>CIRINO &amp; SAMARA COMÉRCIO DE MATERIAIS PARA CONSTRUÇÃO LTDA</t>
  </si>
  <si>
    <t> 03.340.442/0001-75</t>
  </si>
  <si>
    <t>D. DE S. MENDES LTDA</t>
  </si>
  <si>
    <t>21.178.037/0001-84</t>
  </si>
  <si>
    <t>CATIZANI LTDA</t>
  </si>
  <si>
    <t>47.288.891/0001-97</t>
  </si>
  <si>
    <t>10.1.36</t>
  </si>
  <si>
    <t>Sapato de segurança tipo tênis, com cadarço, com proteção  contra agentes abrasivos e escoriantes, com absorção de energia na área do salto (calcanhar), solado antiderrapante;</t>
  </si>
  <si>
    <t>HIGIENIZE COMERCIAL LTDA</t>
  </si>
  <si>
    <t>95.054.177/0001-87</t>
  </si>
  <si>
    <t>PATAVO DISTRIBUIDORA DE SUPRIMENTOS LTDA</t>
  </si>
  <si>
    <t>09.331.096/0001-45</t>
  </si>
  <si>
    <t>SALU DISTRIBUIDORA DE EPI E MRO</t>
  </si>
  <si>
    <t>08.927.259/0001-94</t>
  </si>
  <si>
    <t>10.1.37</t>
  </si>
  <si>
    <t>Serragem.</t>
  </si>
  <si>
    <t>kg</t>
  </si>
  <si>
    <t>OB2 ATIVIDADES DE INTERNET LTDA</t>
  </si>
  <si>
    <t>17.134.291/0001-03</t>
  </si>
  <si>
    <t>CARLOS ALBERTO ROESNER &amp; CIA LTDA</t>
  </si>
  <si>
    <t>83.287.755/0001-46</t>
  </si>
  <si>
    <t>M.RAE CENTER COMERCIO DE TINTAS, MADEIRAS E FERRAGENS LTDA</t>
  </si>
  <si>
    <t>04.506.308/0001-64</t>
  </si>
  <si>
    <t>10.1.38</t>
  </si>
  <si>
    <t>Squeeze térmico em material inox, capacidade 1 litro.</t>
  </si>
  <si>
    <t>HP QUIMICOS HIGIENE E EMBALAGENS LTDA</t>
  </si>
  <si>
    <t>11.371.238/0001-40</t>
  </si>
  <si>
    <t>BIA ARTS PERSONALIZADOS LTDA</t>
  </si>
  <si>
    <t>34.333.303/0001-48</t>
  </si>
  <si>
    <t>CONNECT DISTRIBUIDORA DE PRODUTOS ELETRONICOS E UTILIDADES EM GERAL LTDA</t>
  </si>
  <si>
    <t>49.983.884/0001-30</t>
  </si>
  <si>
    <t>10.1.39</t>
  </si>
  <si>
    <t>Vassoura de nylon com cabo.</t>
  </si>
  <si>
    <t>MEDLIMP PRODUTOS DE LIMPEZA DESCARTÁVEL LTDA</t>
  </si>
  <si>
    <t>05.341.252/0001-06</t>
  </si>
  <si>
    <t>10.1.40</t>
  </si>
  <si>
    <t>Balança móvel digital, capacidade mínima 30 kg, com haste/coluna.</t>
  </si>
  <si>
    <t>GURGELMIX MÁQUINAS E FERRAMENTAS S.A.</t>
  </si>
  <si>
    <t>29.302.348/0001-15</t>
  </si>
  <si>
    <t>BIOVERA EQUIPAMENTOS E SERVIÇOS LTDA</t>
  </si>
  <si>
    <t>06.936.105/0001-33</t>
  </si>
  <si>
    <t>ALCAMAR COMÉRCIO ELETRÔNICO LTDA</t>
  </si>
  <si>
    <t>28.289.078/0001-97</t>
  </si>
  <si>
    <t>10.2. Custos com veículos e equipamentos</t>
  </si>
  <si>
    <t>CAMINHÃO CHASSI</t>
  </si>
  <si>
    <t>10.2.1</t>
  </si>
  <si>
    <t>Caminhão tipo toco (4x2), PBT aproximado 10 T.</t>
  </si>
  <si>
    <t xml:space="preserve">SOBRE EIXO VEÍCULOS LTDA </t>
  </si>
  <si>
    <t>01.827.801/0001-98</t>
  </si>
  <si>
    <t>SAVAR VEÍCULOS LTDA</t>
  </si>
  <si>
    <t>92.889.070/0001-60</t>
  </si>
  <si>
    <t>TRANSRIO CAMINHOES, ONIBUS, MAQUINAS E MOTORES LTDA</t>
  </si>
  <si>
    <t>11.726.521/0005-70</t>
  </si>
  <si>
    <t>10.2.2</t>
  </si>
  <si>
    <t>Caminhão tipo toco (4x2), PBT aproximado 13 T.</t>
  </si>
  <si>
    <t>10.2.3</t>
  </si>
  <si>
    <t>Caminhão tipo toco (4x2), PBT aproximado 17 T.</t>
  </si>
  <si>
    <t>AUSTRAL CAMINHÕES LTDA</t>
  </si>
  <si>
    <t>18.330.569/0001-80</t>
  </si>
  <si>
    <t>10.2.4</t>
  </si>
  <si>
    <t>Caminhão tipo truck (6x2), PBT aproximado 24 T.</t>
  </si>
  <si>
    <t>CARROCERIAS (IMPLEMENTOS)</t>
  </si>
  <si>
    <t>10.2.5</t>
  </si>
  <si>
    <t>Compactador de lixo capacidade mínima 5m³.</t>
  </si>
  <si>
    <t>PLANALTO INDÚSTRIA MECÂNICA LTDA</t>
  </si>
  <si>
    <t>37.021.136/0001-98</t>
  </si>
  <si>
    <t>CIMASP COMÉRCIO E INDÚSTRIA DE EQUIPAMENTOS, SERVIÇOS E PEÇAS LTDA</t>
  </si>
  <si>
    <t>04.686.643/0001-91</t>
  </si>
  <si>
    <t>10.2.6</t>
  </si>
  <si>
    <t>Compactador de lixo capacidade mínima 8m³.</t>
  </si>
  <si>
    <t>10.2.7</t>
  </si>
  <si>
    <t>Compactador de lixo capacidade mínima 15m³.</t>
  </si>
  <si>
    <t>10.2.8</t>
  </si>
  <si>
    <t>Compactador de lixo capacidade mínima 18m³.</t>
  </si>
  <si>
    <t>10.2.9</t>
  </si>
  <si>
    <t>Carroceria tipo lava contêiner, com equipamento com jatos de água com alta pressão sem vazamento da água suja para o exterior.</t>
  </si>
  <si>
    <t>10.2.10</t>
  </si>
  <si>
    <t>Carroceria de madeira ou metálica com estrutura/armação para cobertura com lona, com capacidade mínima de 1.500 kg, para caminhão tipo toco (4x2).</t>
  </si>
  <si>
    <t>MECÂNICA KURTZ LTDA</t>
  </si>
  <si>
    <t>90.121.062/0001-44</t>
  </si>
  <si>
    <t>CONJUNTO CAMINHÕES CHASSI + CARROCERIA</t>
  </si>
  <si>
    <t>10.2.11</t>
  </si>
  <si>
    <t>Conjunto caminhão chassi tipo toco (4x2), equipado com compactador de capacidade volumétrica mínima 5 m³  (coleta de RSD difícil acesso) - Transmissão automática</t>
  </si>
  <si>
    <t>FORZA DISTRIBUIDORA</t>
  </si>
  <si>
    <t>46.135.499/0002-26</t>
  </si>
  <si>
    <t>PNCP</t>
  </si>
  <si>
    <t>VOLKSVAGEN TRUCK</t>
  </si>
  <si>
    <t>06.020.318/0005-44</t>
  </si>
  <si>
    <t>57/07/26</t>
  </si>
  <si>
    <t>JOHNY CANDIDO</t>
  </si>
  <si>
    <t>04.484,388/0001-02</t>
  </si>
  <si>
    <t>10.2.12</t>
  </si>
  <si>
    <t>Conjunto caminhão chassi tipo toco (4x2), equipado com compactador basculante de capacidade volumétrica de 8 m³ (Coleta seletiva) - Transmissão automática</t>
  </si>
  <si>
    <t>DEVA VEICULOS</t>
  </si>
  <si>
    <t>23.762.552/0003-02</t>
  </si>
  <si>
    <t>KCINCO CAMINHÕES</t>
  </si>
  <si>
    <t>08.440.584/0001-28</t>
  </si>
  <si>
    <t>10.2.13</t>
  </si>
  <si>
    <t>Conjunto caminhão chassi tipo toco (4x2), equipado com compactador de capacidade volumétrica de 15 m³ (Coleta RSD e Conteinerizada) - Transmissão automática</t>
  </si>
  <si>
    <t>FOX DISTRIBUIDORA</t>
  </si>
  <si>
    <t>RF SUL COMÉRCIO</t>
  </si>
  <si>
    <t>05.010.520/0001-07</t>
  </si>
  <si>
    <t>TORINO VEÍCULOS</t>
  </si>
  <si>
    <t>02.418.362/0001-93</t>
  </si>
  <si>
    <t>10.2.14</t>
  </si>
  <si>
    <t>Conjunto caminhão chassi tipo truck (6x2), equipado com compactador de capacidade volumétrica de no mínimo 18 m³ (Coleta RSD) - Transmissão automática</t>
  </si>
  <si>
    <t>ENZO CAMINHÕES LTDA</t>
  </si>
  <si>
    <t>09.137.236/0001-49</t>
  </si>
  <si>
    <t>VIAGOV LTDA</t>
  </si>
  <si>
    <t>61.854.011/0001-23</t>
  </si>
  <si>
    <t>10.2.15</t>
  </si>
  <si>
    <t>Conjunto caminhão chassi tipo toco (4x2), com carroceria tipo lava contêiner, com 
equipamento com jatos de água com alta pressão sem vazamento da água suja para o exterior. (Coleta conteinerizada) – Transmissão automática</t>
  </si>
  <si>
    <t>MERCALF DIESEL</t>
  </si>
  <si>
    <t>04.807.924/0001-55</t>
  </si>
  <si>
    <t>CESS COMÉRCIO</t>
  </si>
  <si>
    <t>65.083.759/0001-20</t>
  </si>
  <si>
    <t xml:space="preserve">JAGUARIBE </t>
  </si>
  <si>
    <t>02.872.599/0001-89</t>
  </si>
  <si>
    <t>10.2.16</t>
  </si>
  <si>
    <t>Caminhão chassi tipo toco (4x2), com caçamba metálica basculante, capacidade de carga de 1.500 kg (Coleta conteinerizada - resíduos volumosos) - Transmissão 
Automática</t>
  </si>
  <si>
    <t>RODONAVES</t>
  </si>
  <si>
    <t>10.337.197/0001-02</t>
  </si>
  <si>
    <t>MANUPA COMÉRCIO</t>
  </si>
  <si>
    <t>03.093.376/0008-68</t>
  </si>
  <si>
    <t>10.2.17</t>
  </si>
  <si>
    <t>Caminhão chassi tipo toco (4x2), com carroceria tipo baú fechado volume 
aproximado de 35 m³ (coleta seletiva - adote uma escola) - Transmissão automática</t>
  </si>
  <si>
    <t>10.337.197/0002-93</t>
  </si>
  <si>
    <t>03.093.776/0011-63</t>
  </si>
  <si>
    <t>PESO CAMINHÕES</t>
  </si>
  <si>
    <t>54.728.475/0002-09</t>
  </si>
  <si>
    <t>10.2.18</t>
  </si>
  <si>
    <t>Conjunto caminhão leve, chassi tipo toco (4x2), com carroceria de madeira ou metálica com estrutura/armação para cobertura com lona, com capacidade mínima de 1.500 kg (Coleta de óleos) - Transmissão automática</t>
  </si>
  <si>
    <t xml:space="preserve">ZUCATELLI </t>
  </si>
  <si>
    <t>01.241.313/0001-02</t>
  </si>
  <si>
    <t>VEÍCULOS LEVES</t>
  </si>
  <si>
    <t>10.2.19</t>
  </si>
  <si>
    <t>Veículo 0 km (zero quilômetro), motor mínimo 1.0, capacidade mínima para 5 lugares, carroceria tipo Hatch ou sedan, 5 portas (sendo 4 laterais e 1 traseira), direção hidráulica ou elétrica,  cor branca, bicombustível (Gasolina e Etanol), ar condicionado de fábrica, equipado com todos os acessórios exigidos pelo DETRAN.</t>
  </si>
  <si>
    <t>PÉGASUS VEÍCULO LTDA</t>
  </si>
  <si>
    <t>94.989.027/0001-00</t>
  </si>
  <si>
    <t>PE 056/2024 
PM de Pelotas</t>
  </si>
  <si>
    <t>FELICE AUTOMÓVEIS</t>
  </si>
  <si>
    <t>91.525.790/0001-84</t>
  </si>
  <si>
    <t>PE 05/2024 
CISA</t>
  </si>
  <si>
    <t>GUARACAR COM. AUTOMÓVEIS LTDA</t>
  </si>
  <si>
    <t>88.952.577/0001-44</t>
  </si>
  <si>
    <t>PP 14/2024 
PM Campos Borges</t>
  </si>
  <si>
    <t>10.2.20</t>
  </si>
  <si>
    <t>Veículo tipo picape, zero quilômetro, cabine simples com capacidade para 2 ocupantes, 2 portas, bicombustível, câmbio manual, direção elétrica ou hidráulica, ar condicionado de fábrica, equipado com todos os acessórios exigidos pelo DETRAN.</t>
  </si>
  <si>
    <t>GUAIBACAR VEÍCULOS E PEÇAS LTDA</t>
  </si>
  <si>
    <t>92.661.446/0016-61</t>
  </si>
  <si>
    <t>FELICE AUTOMÓVEIS LTDA</t>
  </si>
  <si>
    <t>PE 06/2024 
CPES</t>
  </si>
  <si>
    <t>SPENGLER S.A.</t>
  </si>
  <si>
    <t>95.425.542/0001-12</t>
  </si>
  <si>
    <t>PE 043/2024 
PM de Sinimbu</t>
  </si>
  <si>
    <t>10.2.21</t>
  </si>
  <si>
    <t>Veículo elétrico utilitário tipo golfe, carroceria com cesto para transporte com capacidade de carga de 500 kg. (Coleta Seletiva)</t>
  </si>
  <si>
    <t>TRAMONTINA STORE COMÉRCIO VAREJISTA LTDA</t>
  </si>
  <si>
    <t>07.635.498/0008-84</t>
  </si>
  <si>
    <t>MIRAMAR RIO PRETO COMERCIAL EIRELI</t>
  </si>
  <si>
    <t>17.745.940/0001-42</t>
  </si>
  <si>
    <t>GVA COMÉRCIO E SERVIÇOS LTDA</t>
  </si>
  <si>
    <t>51.181.150/0001-80</t>
  </si>
  <si>
    <t>EQUIPAMENTOS E OUTROS</t>
  </si>
  <si>
    <t>10.2.22</t>
  </si>
  <si>
    <t>Contêiner para resíduos sólidos destinado ao acondicionamento e coleta de resíduos, com capacidade volumétrica de 1000 litros; Matéria prima: fabricado com polietileno de alta densidade (PEAD) injetado, resistente a raios de ação ultravioleta (proteção anti UV), com 100% de material virgem;</t>
  </si>
  <si>
    <t>POWER BEAR DO BRASIL - EQUIPAMENTOS PARA GESTAO DE RESIDUOS LTDA</t>
  </si>
  <si>
    <t>22.627.035/0001-98</t>
  </si>
  <si>
    <t>LAR PLÁSTICOS IND. E COM. DE PROD. PLÁSTICOS</t>
  </si>
  <si>
    <t>63.967.640/0001-95</t>
  </si>
  <si>
    <t>MILFONT &amp; LEMOS LTDA</t>
  </si>
  <si>
    <t>22.416.412/0001-40</t>
  </si>
  <si>
    <t>CONTEMAR AMBIENTAL LTDA</t>
  </si>
  <si>
    <t>03.770.521/0012-79</t>
  </si>
  <si>
    <t>PE 27/2024
PM de Nova Ramada</t>
  </si>
  <si>
    <t>10.2.23</t>
  </si>
  <si>
    <t>Pneu 185/65 R15</t>
  </si>
  <si>
    <t>JN PNEUS LTDA</t>
  </si>
  <si>
    <t>44.472.217/0001-70</t>
  </si>
  <si>
    <t>PE 31/2024
PM de Aceguá</t>
  </si>
  <si>
    <t>LAGB ACESSÓRIOS E PEÇAS LTDA</t>
  </si>
  <si>
    <t>02.678.428/0001-13</t>
  </si>
  <si>
    <t>PE 02/2025 
CI/Jacuí</t>
  </si>
  <si>
    <t>COMERCIAL AUTOMOTIVA S.A.</t>
  </si>
  <si>
    <t>45.987.005/0001-98</t>
  </si>
  <si>
    <t>10.2.24</t>
  </si>
  <si>
    <t>Pneu 205/60 R15</t>
  </si>
  <si>
    <t>POTENZA IMPORTAÇÃO E EXPORTAÇÃO LTDA</t>
  </si>
  <si>
    <t>12.036.958/0001-11</t>
  </si>
  <si>
    <t>PNEUBEST COMERCIAL LTDA</t>
  </si>
  <si>
    <t>36.996.649/0001-51</t>
  </si>
  <si>
    <t>10.2.25</t>
  </si>
  <si>
    <t>Pneu 215/75 R17.5</t>
  </si>
  <si>
    <t>GAMA PNEUS LTDA</t>
  </si>
  <si>
    <t>55.623.647/0001-61</t>
  </si>
  <si>
    <t>PE 02/2025 CI/Jacuí</t>
  </si>
  <si>
    <t>PNEU FREE DO BRASIL COMÉRCIO ELETRÔNICO LTDA</t>
  </si>
  <si>
    <t>11.891.896/0001-62</t>
  </si>
  <si>
    <t>10.2.26</t>
  </si>
  <si>
    <t>Pneu 235/75 R17.5</t>
  </si>
  <si>
    <t>IMPPAR PNEUS S/A</t>
  </si>
  <si>
    <t>09.398.976/0001-39</t>
  </si>
  <si>
    <t>10.2.27</t>
  </si>
  <si>
    <t>Pneu 275/80 R22.5</t>
  </si>
  <si>
    <t>PRUDENTE TRUCK CENTER LTDA</t>
  </si>
  <si>
    <t>05.341.422/0001-44</t>
  </si>
  <si>
    <t>DINIZ COMÉRCIO DE PNEUS LTDA</t>
  </si>
  <si>
    <t>78.965.381/0003-00</t>
  </si>
  <si>
    <t>10.2.28</t>
  </si>
  <si>
    <t>Pneu 155R12 C</t>
  </si>
  <si>
    <t>LINK COMERCIAL IMP. E EXP. LTDA</t>
  </si>
  <si>
    <t>06.089.521/0001-43</t>
  </si>
  <si>
    <t>10.2.29</t>
  </si>
  <si>
    <t>Óleo para motor 5w30</t>
  </si>
  <si>
    <t>GÊNIO PEÇAS AUTOMOTIVAS LTDA</t>
  </si>
  <si>
    <t>49.286.372/0001-15</t>
  </si>
  <si>
    <t>URSO BRANCO COMERCIO VAREJISTA DE LUBRIFICANTES LTDA</t>
  </si>
  <si>
    <t>28.733.138/0001-19</t>
  </si>
  <si>
    <t>10.2.30</t>
  </si>
  <si>
    <t>Óleo lubrificante para motor diesel, classificação API CI-4 ou superior, SAE 15W-40, base mineral ou semissintética, uso severo urbano, compatível com motores eletrônicos ou mecânicos.</t>
  </si>
  <si>
    <t>GURGELMIX MÁQUINAS E FERRAMENTAS S.A</t>
  </si>
  <si>
    <t>ABL COMERCIO DE AUTO PECAS LTDA</t>
  </si>
  <si>
    <t>06.262.915/0001-51</t>
  </si>
  <si>
    <t>10.2.31</t>
  </si>
  <si>
    <t>Óleo lubrificante para transmissão manual de caminhão, API GL-4 ou GL-5, SAE 80W-90 (mineral) ou 75W-85 (sintético), indicado para uso severo urbano.</t>
  </si>
  <si>
    <t>MERCADOCAR MERCANTIL DE PEÇAS LTDA</t>
  </si>
  <si>
    <t>43.158.302/0001-03</t>
  </si>
  <si>
    <t>URSO BRANCO COM. VAR. DE LUBRIFICANTES LTDA</t>
  </si>
  <si>
    <t>BRUNOCAR AUTO PEÇAS E CENTRO AUTOMOTIVO LTDA</t>
  </si>
  <si>
    <t>15.751.815/0001-80</t>
  </si>
  <si>
    <t>10.2.32</t>
  </si>
  <si>
    <t>Óleo lubrificante para transmissão manual de caminhão, API GL-4 ou  GL-5, SAE 75W-90, base sintética ou semissintética.</t>
  </si>
  <si>
    <t>M.SAM DISTRIBUIDORA DE PEÇAS LTDA</t>
  </si>
  <si>
    <t>04.935.166/0001-50</t>
  </si>
  <si>
    <t>J O DISTRIBUIDORA DE PECAS LTDA</t>
  </si>
  <si>
    <t>35.502.201/0001-71</t>
  </si>
  <si>
    <t>VALERIANO COMERCIO DE PEÇAS PARA ONIBUS E CAMINHOES LTDA</t>
  </si>
  <si>
    <t>17.326.779/0001-32</t>
  </si>
  <si>
    <t>10.2.33</t>
  </si>
  <si>
    <t>Óleo hidráulico para sistema de compactador de lixo, tipo AW, ISO VG 68, alta resistência à oxidação, adequado para aplicações móveis em veículos urbanos.</t>
  </si>
  <si>
    <t>GEOTECH COMPONENTES ELETRONICOS E AGRICOLAS LTDA</t>
  </si>
  <si>
    <t>45.166.255/0001-67</t>
  </si>
  <si>
    <t>ITR SOUTH AMERICA COMERCIO IMPORTACAO E EXPORTACAO LTDA</t>
  </si>
  <si>
    <t>01.231.256/0001-72</t>
  </si>
  <si>
    <t>SELMER INDUSTRIA E COMÉRCIO DE PRODUTOS ATUMOTIVOS</t>
  </si>
  <si>
    <t>03.408.736/0001-91</t>
  </si>
  <si>
    <t>10.2.34</t>
  </si>
  <si>
    <t>Graxa lubrificante automotiva NLGI 2, base de sabão de lítio ou lítio complexado, com aditivo EP (extrema pressão) e/ou bisulfeto de molibdênio (MoS₂), uso severo urbano em articulações, cardans e pinos de compactador.</t>
  </si>
  <si>
    <t>AGROTRATOR PARTS COMÉRCIO GIGITAL LTDA</t>
  </si>
  <si>
    <t>35.673.897/0001-07</t>
  </si>
  <si>
    <t>MARCO ANTONIO DE CARVALHO ROLAMENTOS</t>
  </si>
  <si>
    <t> 09.193.572/0001-09</t>
  </si>
  <si>
    <t>LUBCENTER COMERCIO DE LUBRIFICANTES</t>
  </si>
  <si>
    <t>16.987.941/0001-09</t>
  </si>
  <si>
    <t>SERVIÇOS</t>
  </si>
  <si>
    <t>10.2.35</t>
  </si>
  <si>
    <t>Fornecimento e manutenção de sistema de rastreamento e monitoramento por transmissão de dados via GPS/GPRS da frota.</t>
  </si>
  <si>
    <t>RADIO NET LTDA</t>
  </si>
  <si>
    <t>03.304.610/0001-77</t>
  </si>
  <si>
    <t>PE 46/2024
SANEP</t>
  </si>
  <si>
    <t>SOLUZION SOLUÇÕES LOGÍSTICAS LTDA</t>
  </si>
  <si>
    <t>01.179.216/0001-29</t>
  </si>
  <si>
    <t>DL 23/2024
CIGRES</t>
  </si>
  <si>
    <t>SMART LOCAÇÃO E SERVIÇOS EIRELI</t>
  </si>
  <si>
    <t>20.513.785/0001-03</t>
  </si>
  <si>
    <t>DL 5/2025
PM de Arroio dos Ratos</t>
  </si>
  <si>
    <t>10.2.36</t>
  </si>
  <si>
    <t>Serviço de instalação de videomonitoramento da frota, câmera interna + externa, equipamentos em comodato.</t>
  </si>
  <si>
    <t>UNITRAC</t>
  </si>
  <si>
    <t xml:space="preserve">06.888.503/0001-21 </t>
  </si>
  <si>
    <t>BFLEET VIDEO TELEMETRIA</t>
  </si>
  <si>
    <t xml:space="preserve">22.863.730/0001-59 </t>
  </si>
  <si>
    <t>QUATENUS</t>
  </si>
  <si>
    <t xml:space="preserve">97.544.713/0001-58 </t>
  </si>
  <si>
    <t>INFLEET</t>
  </si>
  <si>
    <t xml:space="preserve">29.327.781/0002-96 </t>
  </si>
  <si>
    <t>10.2.37</t>
  </si>
  <si>
    <t>Serviço de videomonitoramento da frota, mensalidade para acesso ao sistema.</t>
  </si>
  <si>
    <t>RASTREASUL LTDA</t>
  </si>
  <si>
    <t>10.576.193/0001-87</t>
  </si>
  <si>
    <t>10.2.38</t>
  </si>
  <si>
    <t>Serviço de adesivagem de caminhões da coleta.</t>
  </si>
  <si>
    <t>STARK COMUNICAÇÃO VISUAL</t>
  </si>
  <si>
    <t>22.160.373/0001-62</t>
  </si>
  <si>
    <t>BIT COMUNICAÇÃO VISUAL LTDA</t>
  </si>
  <si>
    <t>09.570.593/0001-04</t>
  </si>
  <si>
    <t>STAMER ENVELOPAMENTOS LTDA</t>
  </si>
  <si>
    <t>43.506.556/0001-67</t>
  </si>
  <si>
    <t>10.2.39</t>
  </si>
  <si>
    <t>Serviço de adesivagem portas veículos leves.</t>
  </si>
  <si>
    <t>10.2.40</t>
  </si>
  <si>
    <t>Serviço de adesivagem de contêineres de lixo.</t>
  </si>
  <si>
    <t>10.2.41</t>
  </si>
  <si>
    <t>Seguro veicular para veículos leves.</t>
  </si>
  <si>
    <t>GENTE SEGURADORA SA</t>
  </si>
  <si>
    <t>90.180.605/0001-02</t>
  </si>
  <si>
    <t>PE 2/2025
CONDESUS</t>
  </si>
  <si>
    <t>PORTO SEGURO COMPANHIA DE SEGUROS GERAIS</t>
  </si>
  <si>
    <t>61.198.164/0001-60</t>
  </si>
  <si>
    <t>DL 81/2024
PM de Sapiranga</t>
  </si>
  <si>
    <t>MAPFRE SEGUROS GERAIS S.A.</t>
  </si>
  <si>
    <t>61.074.175/0001-38</t>
  </si>
  <si>
    <t>DL 27/2024 Água de Ivoti</t>
  </si>
  <si>
    <t>10.2.42</t>
  </si>
  <si>
    <t>Seguro veicular  para caminhões da frota.</t>
  </si>
  <si>
    <t>SEGUROS SURA S.A.</t>
  </si>
  <si>
    <t>33.065.699/0001-27</t>
  </si>
  <si>
    <t>PE 09/2024
PM de Aceguá</t>
  </si>
  <si>
    <t>GENTE SEGURADORA S. A.</t>
  </si>
  <si>
    <t>DL 187/2025
PM de Nova Roma do Sul</t>
  </si>
  <si>
    <t>PP 24/2024
PM de Cotiporã</t>
  </si>
  <si>
    <t>10.2.43</t>
  </si>
  <si>
    <t>Recapagem de pneu 275/80 R22.5.</t>
  </si>
  <si>
    <t>ATUAL PNEUS COM E RECAP LTDA</t>
  </si>
  <si>
    <t>06.167.143/0001-79</t>
  </si>
  <si>
    <t>PE 153/2024
CODECA</t>
  </si>
  <si>
    <t>P.R. BORRACHARIA E VULCANIZADORA DE PNEUS LTDA</t>
  </si>
  <si>
    <t>01.443.701/0002-49</t>
  </si>
  <si>
    <t>DL 1365/2024
PM de Bom Princípio</t>
  </si>
  <si>
    <t>GARBIN &amp; BERGAMO LTDA</t>
  </si>
  <si>
    <t>11.442.752/0001-29</t>
  </si>
  <si>
    <t>PE 34/2024
CONDESUS</t>
  </si>
  <si>
    <t>F. VACHILESKI &amp; CIA LTDA</t>
  </si>
  <si>
    <t>93.388.031/0009-08</t>
  </si>
  <si>
    <t>PE 2/2025
PM de Soledade</t>
  </si>
  <si>
    <t>10.2.44</t>
  </si>
  <si>
    <t>Recapagem de pneu 235/75 R17.5.</t>
  </si>
  <si>
    <t>OST RENOVADORA DE PNEUS LTDA</t>
  </si>
  <si>
    <t>04.209.387/0001-41</t>
  </si>
  <si>
    <t>DL 21/2025
PM de São Vendelino</t>
  </si>
  <si>
    <t>J. D. M. BECCON &amp; CIA LTDA</t>
  </si>
  <si>
    <t>94.747.888/0001-74</t>
  </si>
  <si>
    <t>PE 9/2025
PM de Pirapó</t>
  </si>
  <si>
    <t>LAUXEN PNEUS LTDA</t>
  </si>
  <si>
    <t>94.006.210/0001-30</t>
  </si>
  <si>
    <t>PP 03/2025
PM de Porto Xavier</t>
  </si>
  <si>
    <t>10.2.45</t>
  </si>
  <si>
    <t>Recapagem de pneu 215/75 R17.5.</t>
  </si>
  <si>
    <t>RENOVADORA DE PNEUS LUFT LTDA</t>
  </si>
  <si>
    <t>03.850.640/0001-89</t>
  </si>
  <si>
    <t xml:space="preserve">PE 17/2025
PM de Lindolfo Collor </t>
  </si>
  <si>
    <t>ROMANO GUERRA E CIA LTDA</t>
  </si>
  <si>
    <t>01.375.626/0001-45</t>
  </si>
  <si>
    <t>Observações: 
Para os itens 10.2.2 e 10.2.4, o valor foi estimado com base em apenas 2 (dois) orçamentos, uma vez que não foi possível obter o terceiro em tempo hábil. Foi realizada consulta telefônica a uma concessionária Ford, ocasião em que se informou que a empresa não comercializa mais caminhões novos, devido ao encerramento da produção da marca no Brasil. Também foi feito contato por e-mail, em 08/05/2025, com a concessionária Mattana (IVECO), sem retorno. A  empresa Austral Caminhões Ltda não possuÍa caminhões com os PBTs indicados.</t>
  </si>
  <si>
    <t>Para os itens 10.2.5, 10.2.6, 10.2.7 e 10.2.8, foram solicitados orçamentos pelo site das empresas Damaeq, COPAC e LOPAC em 24/04/2025, e à empresa Germani, via e-mail, em 29/04/2025, sem retorno de nenhuma delas. Por esse motivo, justifica-se a utilização de apenas 2 (duas) cotações para a estimativa de preços dos compactadores. No caso específico do item 10.2.6, foi obtida apenas 1 (uma) cotação, pois a empresa CIMASP informou não dispor de compactador com capacidade de 8 m³.</t>
  </si>
  <si>
    <t>Para o item 10.2.9, obteve-se apenas 1 (uma) cotação para o lava contêiner, devido à dificuldade em localizar fornecedores que comercializem esse tipo de implemento.</t>
  </si>
  <si>
    <t>Buscou-se cotação para o implemento carroceria de madeira ou metálica (item 10.2.10) para que fosse possível alcançar os orçamentos mínimos para o conjunto de caminhão chassi com carroceria (item 10.2.18) para a coleta de óleos. No entanto, o item 10.2.10 obteve apenas 1 (uma) cotação válida, uma vez que não foi possível obter os três orçamentos mínimos em tempo hábil. Consultou-se a empresa Rodokurtz via telefone e whatsapp, e as empresas Rodoeste Carretas e Thermo-Flex Implementos Rodoviários, via e-mail, em 16/04/2025 e 25/04/2025 respectivamente, sem retorno.</t>
  </si>
  <si>
    <t>Para o item 10.2.15 foi utilizado como valores de referência o caminhão Pipa toco 4x2 que possui valor semelhante ao caminhão equipado com lava contêiner.</t>
  </si>
  <si>
    <t xml:space="preserve">Para os itens 10.2.36 e 10.2.37, os orçamentos foram feitos tendo como base uma frota de 29 veículos. </t>
  </si>
  <si>
    <t>Para os itens 10.2.38, 10.2.39 e 10.2.40, utilizou-se a mediana como critério para estimativa de preço, uma vez que as cotações apresentaram valores heterogêneos.</t>
  </si>
  <si>
    <t>Os valores cotados no ano de 2025 estão atualizados pelo IPCA até maio de 2026.</t>
  </si>
  <si>
    <t>PERÍODO</t>
  </si>
  <si>
    <t>ÍNDICE IPCA</t>
  </si>
  <si>
    <t>VALOR NO PERÍODO</t>
  </si>
  <si>
    <t>VALOR ATUALIZADO</t>
  </si>
  <si>
    <t>2024.01</t>
  </si>
  <si>
    <t>2024.02</t>
  </si>
  <si>
    <t>2024.03</t>
  </si>
  <si>
    <t>2024.04</t>
  </si>
  <si>
    <t>2024.05</t>
  </si>
  <si>
    <t>2024.06</t>
  </si>
  <si>
    <t>2024.07</t>
  </si>
  <si>
    <t>2024.08</t>
  </si>
  <si>
    <t>2024.09</t>
  </si>
  <si>
    <t>2024.10</t>
  </si>
  <si>
    <t>2024.11</t>
  </si>
  <si>
    <t>2024.12</t>
  </si>
  <si>
    <t>2025.01</t>
  </si>
  <si>
    <t>2025.02</t>
  </si>
  <si>
    <t>2025.03</t>
  </si>
  <si>
    <t>2025.04</t>
  </si>
  <si>
    <t>2025.05</t>
  </si>
  <si>
    <t>2025.06</t>
  </si>
  <si>
    <t>2025.07</t>
  </si>
  <si>
    <t>2025.08</t>
  </si>
  <si>
    <t>2025.09</t>
  </si>
  <si>
    <t>2025.10</t>
  </si>
  <si>
    <t>2025.11</t>
  </si>
  <si>
    <t>2025.12</t>
  </si>
  <si>
    <t>2026.01</t>
  </si>
  <si>
    <t>2026.02</t>
  </si>
  <si>
    <t>2026.03</t>
  </si>
  <si>
    <t>2026.04</t>
  </si>
  <si>
    <t>2026.05</t>
  </si>
  <si>
    <t>Quant.
semestral</t>
  </si>
  <si>
    <t>2.3.1. Veículo Tipo Popular</t>
  </si>
  <si>
    <t xml:space="preserve">2.3.1. Veículo Tipo Popular </t>
  </si>
  <si>
    <t>Rastreamento e monitoramento veicular (mensaL)</t>
  </si>
  <si>
    <t>4.4.10.</t>
  </si>
  <si>
    <t>Publicidade (adesivagem lava contêiner)</t>
  </si>
  <si>
    <t>Vistoria (1º Emplacamento) (anual)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</si>
</sst>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R$ &quot;#,##0.00"/>
    <numFmt numFmtId="165" formatCode="&quot;R$ &quot;#,##0.00;[Red]&quot;-R$ &quot;#,##0.00"/>
    <numFmt numFmtId="166" formatCode="[$R$-416]\ #,##0.00;[Red]\-[$R$-416]\ #,##0.00"/>
    <numFmt numFmtId="167" formatCode="#,##0.0"/>
    <numFmt numFmtId="168" formatCode="&quot;R$ &quot;#,##0.0000"/>
    <numFmt numFmtId="169" formatCode="_-* #,##0.00_-;\-* #,##0.00_-;_-* \-??_-;_-@_-"/>
    <numFmt numFmtId="170" formatCode="[$R$]\ #,##0.000"/>
    <numFmt numFmtId="171" formatCode="[$R$ -416]#,##0.00"/>
    <numFmt numFmtId="172" formatCode="0.0"/>
    <numFmt numFmtId="173" formatCode="d/m/yyyy"/>
    <numFmt numFmtId="174" formatCode="d/mmm"/>
    <numFmt numFmtId="175" formatCode="0.0000"/>
    <numFmt numFmtId="176" formatCode="dd/mm/yy"/>
  </numFmts>
  <fonts count="42" x14ac:knownFonts="1">
    <font>
      <sz val="11"/>
      <color theme="1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  <font>
      <sz val="11"/>
      <color rgb="FFFF0000"/>
      <name val="Arial"/>
      <family val="2"/>
      <charset val="1"/>
    </font>
    <font>
      <sz val="11"/>
      <name val="Arial"/>
      <family val="2"/>
      <charset val="1"/>
    </font>
    <font>
      <b/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rgb="FFFF0000"/>
      <name val="Calibri"/>
      <family val="2"/>
      <charset val="1"/>
    </font>
    <font>
      <vertAlign val="subscript"/>
      <sz val="11"/>
      <color theme="1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theme="1"/>
      <name val="Calibri"/>
      <charset val="1"/>
    </font>
    <font>
      <sz val="11"/>
      <color theme="1"/>
      <name val="Calibri"/>
      <charset val="1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u/>
      <sz val="11"/>
      <color theme="10"/>
      <name val="Calibri"/>
      <family val="2"/>
      <charset val="1"/>
    </font>
    <font>
      <vertAlign val="subscript"/>
      <sz val="10"/>
      <color theme="1"/>
      <name val="Calibri"/>
      <family val="2"/>
      <charset val="1"/>
    </font>
    <font>
      <sz val="10"/>
      <color theme="1"/>
      <name val="Calibri"/>
      <charset val="1"/>
    </font>
    <font>
      <b/>
      <sz val="12"/>
      <color rgb="FF000000"/>
      <name val="Calibri"/>
      <charset val="1"/>
    </font>
    <font>
      <sz val="10"/>
      <color rgb="FF000000"/>
      <name val="Calibri"/>
      <charset val="1"/>
    </font>
    <font>
      <vertAlign val="subscript"/>
      <sz val="11"/>
      <color rgb="FF000000"/>
      <name val="Calibri"/>
      <charset val="1"/>
    </font>
    <font>
      <b/>
      <vertAlign val="superscript"/>
      <sz val="11"/>
      <color rgb="FF000000"/>
      <name val="Calibri"/>
      <charset val="1"/>
    </font>
    <font>
      <vertAlign val="superscript"/>
      <sz val="11"/>
      <color theme="1"/>
      <name val="Calibri"/>
      <family val="2"/>
      <charset val="1"/>
    </font>
    <font>
      <b/>
      <vertAlign val="superscript"/>
      <sz val="11"/>
      <color theme="1"/>
      <name val="Calibri"/>
      <family val="2"/>
      <charset val="1"/>
    </font>
    <font>
      <b/>
      <sz val="11"/>
      <name val="Cambria"/>
      <charset val="1"/>
    </font>
    <font>
      <vertAlign val="superscript"/>
      <sz val="11"/>
      <color rgb="FF000000"/>
      <name val="Calibri"/>
      <charset val="1"/>
    </font>
    <font>
      <u/>
      <sz val="11"/>
      <color rgb="FF0563C1"/>
      <name val="Calibri"/>
      <charset val="1"/>
    </font>
    <font>
      <sz val="11"/>
      <name val="Calibri"/>
      <charset val="1"/>
    </font>
    <font>
      <b/>
      <i/>
      <sz val="11"/>
      <color rgb="FF000000"/>
      <name val="Calibri"/>
      <charset val="1"/>
    </font>
    <font>
      <sz val="11"/>
      <color rgb="FF0000FF"/>
      <name val="Calibri"/>
      <family val="2"/>
      <charset val="1"/>
    </font>
    <font>
      <b/>
      <sz val="10"/>
      <color rgb="FF000000"/>
      <name val="Calibri"/>
      <charset val="1"/>
    </font>
    <font>
      <u/>
      <sz val="10"/>
      <color rgb="FF000000"/>
      <name val="Calibri"/>
      <charset val="1"/>
    </font>
    <font>
      <sz val="9"/>
      <color rgb="FF404040"/>
      <name val="Segoe UI"/>
      <family val="2"/>
      <charset val="1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rgb="FFD8D8D8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7" tint="0.79979857783745845"/>
        <bgColor rgb="FFFFF2CB"/>
      </patternFill>
    </fill>
    <fill>
      <patternFill patternType="solid">
        <fgColor theme="5" tint="0.59978026673177287"/>
        <bgColor rgb="FFF7CAAC"/>
      </patternFill>
    </fill>
    <fill>
      <patternFill patternType="solid">
        <fgColor theme="8" tint="0.39979247413556324"/>
        <bgColor rgb="FF9CC2E5"/>
      </patternFill>
    </fill>
    <fill>
      <patternFill patternType="solid">
        <fgColor rgb="FF9CC2E5"/>
        <bgColor rgb="FF9DC3E6"/>
      </patternFill>
    </fill>
    <fill>
      <patternFill patternType="solid">
        <fgColor rgb="FFD8D8D8"/>
        <bgColor rgb="FFD9D9D9"/>
      </patternFill>
    </fill>
    <fill>
      <patternFill patternType="solid">
        <fgColor theme="8" tint="0.79979857783745845"/>
        <bgColor rgb="FFDEEAF6"/>
      </patternFill>
    </fill>
    <fill>
      <patternFill patternType="solid">
        <fgColor theme="2"/>
        <bgColor rgb="FFDEEAF6"/>
      </patternFill>
    </fill>
    <fill>
      <patternFill patternType="solid">
        <fgColor rgb="FFFFF2CB"/>
        <bgColor rgb="FFFFF2CC"/>
      </patternFill>
    </fill>
    <fill>
      <patternFill patternType="solid">
        <fgColor rgb="FFFFFFFF"/>
        <bgColor rgb="FFFFF2CC"/>
      </patternFill>
    </fill>
    <fill>
      <patternFill patternType="solid">
        <fgColor rgb="FFF7CAAC"/>
        <bgColor rgb="FFF8CBAD"/>
      </patternFill>
    </fill>
    <fill>
      <patternFill patternType="solid">
        <fgColor rgb="FFDEEAF6"/>
        <bgColor rgb="FFDEEBF7"/>
      </patternFill>
    </fill>
    <fill>
      <patternFill patternType="solid">
        <fgColor rgb="FFDDDDDD"/>
        <bgColor rgb="FFD9D9D9"/>
      </patternFill>
    </fill>
    <fill>
      <patternFill patternType="solid">
        <fgColor rgb="FFB4C7DC"/>
        <bgColor rgb="FFB3CAC7"/>
      </patternFill>
    </fill>
    <fill>
      <patternFill patternType="solid">
        <fgColor rgb="FFB3CAC7"/>
        <bgColor rgb="FFB4C7DC"/>
      </patternFill>
    </fill>
    <fill>
      <patternFill patternType="solid">
        <fgColor rgb="FFFFD7D7"/>
        <bgColor rgb="FFF8CBAD"/>
      </patternFill>
    </fill>
    <fill>
      <patternFill patternType="solid">
        <fgColor theme="0"/>
        <bgColor rgb="FFFFF2CB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3CAC7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/>
    <xf numFmtId="169" fontId="37" fillId="0" borderId="0" applyBorder="0" applyProtection="0"/>
    <xf numFmtId="9" fontId="37" fillId="0" borderId="0" applyBorder="0" applyProtection="0"/>
    <xf numFmtId="0" fontId="18" fillId="0" borderId="0" applyBorder="0" applyProtection="0"/>
  </cellStyleXfs>
  <cellXfs count="915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3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20" fontId="0" fillId="0" borderId="0" xfId="0" applyNumberFormat="1"/>
    <xf numFmtId="0" fontId="6" fillId="3" borderId="3" xfId="0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164" fontId="6" fillId="3" borderId="3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4" fontId="0" fillId="0" borderId="0" xfId="0" applyNumberFormat="1"/>
    <xf numFmtId="4" fontId="0" fillId="0" borderId="0" xfId="2" applyNumberFormat="1" applyFont="1" applyBorder="1" applyProtection="1"/>
    <xf numFmtId="164" fontId="0" fillId="0" borderId="0" xfId="2" applyNumberFormat="1" applyFont="1" applyBorder="1" applyProtection="1"/>
    <xf numFmtId="0" fontId="6" fillId="0" borderId="0" xfId="0" applyFont="1" applyAlignment="1">
      <alignment horizontal="center"/>
    </xf>
    <xf numFmtId="0" fontId="1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4" borderId="3" xfId="0" applyFont="1" applyFill="1" applyBorder="1"/>
    <xf numFmtId="0" fontId="6" fillId="4" borderId="3" xfId="0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right"/>
    </xf>
    <xf numFmtId="164" fontId="0" fillId="0" borderId="3" xfId="0" applyNumberFormat="1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5" fontId="0" fillId="0" borderId="3" xfId="0" applyNumberFormat="1" applyBorder="1"/>
    <xf numFmtId="166" fontId="0" fillId="0" borderId="3" xfId="0" applyNumberFormat="1" applyBorder="1"/>
    <xf numFmtId="0" fontId="6" fillId="0" borderId="3" xfId="0" applyFont="1" applyBorder="1"/>
    <xf numFmtId="0" fontId="6" fillId="0" borderId="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right"/>
    </xf>
    <xf numFmtId="0" fontId="6" fillId="5" borderId="8" xfId="0" applyFont="1" applyFill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/>
    </xf>
    <xf numFmtId="10" fontId="0" fillId="0" borderId="3" xfId="2" applyNumberFormat="1" applyFont="1" applyBorder="1" applyAlignment="1" applyProtection="1">
      <alignment horizontal="center" vertical="center"/>
    </xf>
    <xf numFmtId="10" fontId="6" fillId="2" borderId="3" xfId="0" applyNumberFormat="1" applyFont="1" applyFill="1" applyBorder="1" applyAlignment="1">
      <alignment horizontal="center"/>
    </xf>
    <xf numFmtId="164" fontId="6" fillId="2" borderId="3" xfId="0" applyNumberFormat="1" applyFont="1" applyFill="1" applyBorder="1" applyAlignment="1">
      <alignment horizontal="right"/>
    </xf>
    <xf numFmtId="0" fontId="6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165" fontId="0" fillId="0" borderId="3" xfId="0" applyNumberFormat="1" applyBorder="1" applyAlignment="1">
      <alignment horizontal="right" vertical="center"/>
    </xf>
    <xf numFmtId="0" fontId="6" fillId="0" borderId="3" xfId="0" applyFont="1" applyBorder="1" applyAlignment="1">
      <alignment horizontal="center"/>
    </xf>
    <xf numFmtId="165" fontId="6" fillId="0" borderId="3" xfId="0" applyNumberFormat="1" applyFont="1" applyBorder="1" applyAlignment="1">
      <alignment horizontal="right"/>
    </xf>
    <xf numFmtId="10" fontId="0" fillId="0" borderId="3" xfId="0" applyNumberFormat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6" fillId="0" borderId="3" xfId="0" applyNumberFormat="1" applyFont="1" applyBorder="1" applyAlignment="1">
      <alignment horizontal="right"/>
    </xf>
    <xf numFmtId="164" fontId="6" fillId="6" borderId="6" xfId="0" applyNumberFormat="1" applyFont="1" applyFill="1" applyBorder="1" applyAlignment="1">
      <alignment horizontal="right"/>
    </xf>
    <xf numFmtId="0" fontId="6" fillId="6" borderId="8" xfId="0" applyFont="1" applyFill="1" applyBorder="1" applyAlignment="1">
      <alignment horizontal="center"/>
    </xf>
    <xf numFmtId="164" fontId="6" fillId="6" borderId="8" xfId="0" applyNumberFormat="1" applyFont="1" applyFill="1" applyBorder="1" applyAlignment="1">
      <alignment horizontal="right"/>
    </xf>
    <xf numFmtId="0" fontId="6" fillId="2" borderId="3" xfId="0" applyFont="1" applyFill="1" applyBorder="1" applyAlignment="1">
      <alignment vertical="center"/>
    </xf>
    <xf numFmtId="165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2" fontId="0" fillId="0" borderId="3" xfId="0" applyNumberFormat="1" applyBorder="1" applyAlignment="1">
      <alignment horizontal="center"/>
    </xf>
    <xf numFmtId="165" fontId="0" fillId="0" borderId="3" xfId="0" applyNumberFormat="1" applyBorder="1" applyAlignment="1">
      <alignment vertical="center"/>
    </xf>
    <xf numFmtId="165" fontId="8" fillId="0" borderId="3" xfId="0" applyNumberFormat="1" applyFont="1" applyBorder="1" applyAlignment="1">
      <alignment horizontal="right" vertical="center"/>
    </xf>
    <xf numFmtId="9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right"/>
    </xf>
    <xf numFmtId="0" fontId="9" fillId="0" borderId="3" xfId="0" applyFont="1" applyBorder="1" applyAlignment="1">
      <alignment vertical="center"/>
    </xf>
    <xf numFmtId="0" fontId="10" fillId="8" borderId="3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165" fontId="9" fillId="0" borderId="3" xfId="0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right" vertical="center"/>
    </xf>
    <xf numFmtId="2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2" fontId="9" fillId="0" borderId="0" xfId="0" applyNumberFormat="1" applyFont="1" applyAlignment="1">
      <alignment horizontal="center"/>
    </xf>
    <xf numFmtId="0" fontId="9" fillId="0" borderId="10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11" xfId="0" applyFont="1" applyBorder="1"/>
    <xf numFmtId="0" fontId="9" fillId="0" borderId="0" xfId="0" applyFont="1"/>
    <xf numFmtId="0" fontId="10" fillId="0" borderId="3" xfId="0" applyFont="1" applyBorder="1" applyAlignment="1">
      <alignment horizontal="center"/>
    </xf>
    <xf numFmtId="165" fontId="10" fillId="0" borderId="3" xfId="0" applyNumberFormat="1" applyFont="1" applyBorder="1" applyAlignment="1">
      <alignment horizontal="right"/>
    </xf>
    <xf numFmtId="0" fontId="10" fillId="0" borderId="3" xfId="0" applyFont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165" fontId="10" fillId="0" borderId="3" xfId="0" applyNumberFormat="1" applyFont="1" applyBorder="1" applyAlignment="1">
      <alignment horizontal="right" vertical="center"/>
    </xf>
    <xf numFmtId="165" fontId="9" fillId="0" borderId="3" xfId="0" applyNumberFormat="1" applyFont="1" applyBorder="1" applyAlignment="1">
      <alignment horizontal="center"/>
    </xf>
    <xf numFmtId="9" fontId="9" fillId="0" borderId="3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right"/>
    </xf>
    <xf numFmtId="164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65" fontId="9" fillId="0" borderId="3" xfId="0" applyNumberFormat="1" applyFont="1" applyBorder="1" applyAlignment="1">
      <alignment horizontal="right"/>
    </xf>
    <xf numFmtId="164" fontId="10" fillId="0" borderId="3" xfId="0" applyNumberFormat="1" applyFont="1" applyBorder="1" applyAlignment="1">
      <alignment horizontal="right"/>
    </xf>
    <xf numFmtId="164" fontId="10" fillId="7" borderId="6" xfId="0" applyNumberFormat="1" applyFont="1" applyFill="1" applyBorder="1" applyAlignment="1">
      <alignment horizontal="right"/>
    </xf>
    <xf numFmtId="164" fontId="10" fillId="7" borderId="8" xfId="0" applyNumberFormat="1" applyFont="1" applyFill="1" applyBorder="1" applyAlignment="1">
      <alignment horizontal="right"/>
    </xf>
    <xf numFmtId="0" fontId="0" fillId="0" borderId="0" xfId="0" applyAlignment="1">
      <alignment wrapText="1"/>
    </xf>
    <xf numFmtId="165" fontId="8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9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right" wrapText="1"/>
    </xf>
    <xf numFmtId="0" fontId="6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/>
    </xf>
    <xf numFmtId="1" fontId="0" fillId="0" borderId="3" xfId="0" applyNumberFormat="1" applyBorder="1" applyAlignment="1">
      <alignment horizontal="center"/>
    </xf>
    <xf numFmtId="164" fontId="6" fillId="0" borderId="3" xfId="0" applyNumberFormat="1" applyFont="1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right"/>
    </xf>
    <xf numFmtId="0" fontId="0" fillId="0" borderId="8" xfId="0" applyBorder="1"/>
    <xf numFmtId="164" fontId="6" fillId="0" borderId="8" xfId="0" applyNumberFormat="1" applyFont="1" applyBorder="1" applyAlignment="1">
      <alignment horizontal="right"/>
    </xf>
    <xf numFmtId="164" fontId="0" fillId="0" borderId="6" xfId="0" applyNumberFormat="1" applyBorder="1" applyAlignment="1">
      <alignment horizontal="right" vertical="center"/>
    </xf>
    <xf numFmtId="164" fontId="0" fillId="0" borderId="3" xfId="0" applyNumberForma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164" fontId="11" fillId="0" borderId="0" xfId="0" applyNumberFormat="1" applyFont="1"/>
    <xf numFmtId="164" fontId="0" fillId="0" borderId="0" xfId="0" applyNumberFormat="1" applyAlignment="1">
      <alignment horizontal="right"/>
    </xf>
    <xf numFmtId="164" fontId="0" fillId="0" borderId="6" xfId="0" applyNumberFormat="1" applyBorder="1" applyAlignment="1">
      <alignment horizontal="right" vertical="center" wrapText="1"/>
    </xf>
    <xf numFmtId="164" fontId="6" fillId="0" borderId="0" xfId="0" applyNumberFormat="1" applyFont="1"/>
    <xf numFmtId="0" fontId="0" fillId="0" borderId="8" xfId="0" applyBorder="1" applyAlignment="1">
      <alignment horizontal="center" vertical="center"/>
    </xf>
    <xf numFmtId="164" fontId="6" fillId="0" borderId="8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165" fontId="0" fillId="0" borderId="0" xfId="0" applyNumberFormat="1" applyAlignment="1">
      <alignment vertical="center"/>
    </xf>
    <xf numFmtId="164" fontId="0" fillId="0" borderId="6" xfId="0" applyNumberFormat="1" applyBorder="1"/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9" borderId="8" xfId="0" applyFont="1" applyFill="1" applyBorder="1"/>
    <xf numFmtId="164" fontId="6" fillId="9" borderId="8" xfId="0" applyNumberFormat="1" applyFont="1" applyFill="1" applyBorder="1" applyAlignment="1">
      <alignment vertical="center"/>
    </xf>
    <xf numFmtId="164" fontId="8" fillId="0" borderId="3" xfId="0" applyNumberFormat="1" applyFont="1" applyBorder="1" applyAlignment="1">
      <alignment vertical="center"/>
    </xf>
    <xf numFmtId="0" fontId="6" fillId="10" borderId="8" xfId="0" applyFont="1" applyFill="1" applyBorder="1"/>
    <xf numFmtId="164" fontId="6" fillId="10" borderId="8" xfId="0" applyNumberFormat="1" applyFont="1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164" fontId="6" fillId="0" borderId="6" xfId="0" applyNumberFormat="1" applyFont="1" applyBorder="1" applyAlignment="1">
      <alignment horizontal="right" vertical="center"/>
    </xf>
    <xf numFmtId="0" fontId="0" fillId="10" borderId="8" xfId="0" applyFill="1" applyBorder="1" applyAlignment="1">
      <alignment horizontal="center" vertical="center"/>
    </xf>
    <xf numFmtId="164" fontId="6" fillId="10" borderId="8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vertical="center" wrapText="1"/>
    </xf>
    <xf numFmtId="165" fontId="6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3" xfId="0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0" fontId="0" fillId="10" borderId="8" xfId="0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right" vertical="center"/>
    </xf>
    <xf numFmtId="3" fontId="6" fillId="0" borderId="0" xfId="0" applyNumberFormat="1" applyFont="1" applyAlignment="1">
      <alignment horizontal="center" vertical="center"/>
    </xf>
    <xf numFmtId="3" fontId="0" fillId="10" borderId="8" xfId="0" applyNumberFormat="1" applyFill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right"/>
    </xf>
    <xf numFmtId="2" fontId="6" fillId="0" borderId="3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8" xfId="0" applyFont="1" applyBorder="1"/>
    <xf numFmtId="0" fontId="0" fillId="0" borderId="9" xfId="0" applyBorder="1" applyAlignment="1">
      <alignment horizontal="center" wrapText="1"/>
    </xf>
    <xf numFmtId="164" fontId="6" fillId="0" borderId="3" xfId="0" applyNumberFormat="1" applyFont="1" applyBorder="1" applyAlignment="1">
      <alignment vertical="center"/>
    </xf>
    <xf numFmtId="164" fontId="8" fillId="0" borderId="8" xfId="0" applyNumberFormat="1" applyFont="1" applyBorder="1" applyAlignment="1">
      <alignment horizontal="right"/>
    </xf>
    <xf numFmtId="164" fontId="8" fillId="0" borderId="6" xfId="0" applyNumberFormat="1" applyFont="1" applyBorder="1" applyAlignment="1">
      <alignment horizontal="right"/>
    </xf>
    <xf numFmtId="164" fontId="6" fillId="2" borderId="8" xfId="0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168" fontId="6" fillId="0" borderId="0" xfId="0" applyNumberFormat="1" applyFont="1" applyAlignment="1">
      <alignment vertical="center"/>
    </xf>
    <xf numFmtId="10" fontId="0" fillId="0" borderId="6" xfId="0" applyNumberFormat="1" applyBorder="1" applyAlignment="1">
      <alignment horizontal="center"/>
    </xf>
    <xf numFmtId="164" fontId="6" fillId="10" borderId="8" xfId="0" applyNumberFormat="1" applyFont="1" applyFill="1" applyBorder="1"/>
    <xf numFmtId="10" fontId="0" fillId="0" borderId="0" xfId="0" applyNumberFormat="1"/>
    <xf numFmtId="165" fontId="0" fillId="0" borderId="0" xfId="0" applyNumberFormat="1" applyAlignment="1">
      <alignment horizontal="center" vertical="center"/>
    </xf>
    <xf numFmtId="0" fontId="14" fillId="8" borderId="3" xfId="0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vertical="center"/>
    </xf>
    <xf numFmtId="164" fontId="14" fillId="0" borderId="8" xfId="0" applyNumberFormat="1" applyFont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15" fillId="0" borderId="6" xfId="0" applyNumberFormat="1" applyFont="1" applyBorder="1" applyAlignment="1">
      <alignment horizontal="center"/>
    </xf>
    <xf numFmtId="164" fontId="14" fillId="10" borderId="8" xfId="0" applyNumberFormat="1" applyFont="1" applyFill="1" applyBorder="1" applyAlignment="1">
      <alignment horizontal="center"/>
    </xf>
    <xf numFmtId="169" fontId="16" fillId="0" borderId="0" xfId="1" applyFont="1" applyBorder="1" applyAlignment="1" applyProtection="1">
      <alignment vertical="center"/>
    </xf>
    <xf numFmtId="169" fontId="16" fillId="0" borderId="0" xfId="1" applyFont="1" applyBorder="1" applyAlignment="1" applyProtection="1">
      <alignment horizontal="center" vertical="center"/>
    </xf>
    <xf numFmtId="170" fontId="0" fillId="0" borderId="0" xfId="1" applyNumberFormat="1" applyFont="1" applyBorder="1" applyAlignment="1" applyProtection="1">
      <alignment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6" fillId="4" borderId="3" xfId="0" applyFont="1" applyFill="1" applyBorder="1" applyAlignment="1">
      <alignment horizontal="center"/>
    </xf>
    <xf numFmtId="164" fontId="6" fillId="4" borderId="3" xfId="0" applyNumberFormat="1" applyFont="1" applyFill="1" applyBorder="1"/>
    <xf numFmtId="164" fontId="6" fillId="0" borderId="3" xfId="0" applyNumberFormat="1" applyFont="1" applyBorder="1"/>
    <xf numFmtId="0" fontId="0" fillId="4" borderId="3" xfId="0" applyFill="1" applyBorder="1" applyAlignment="1">
      <alignment horizontal="center"/>
    </xf>
    <xf numFmtId="3" fontId="6" fillId="5" borderId="3" xfId="0" applyNumberFormat="1" applyFont="1" applyFill="1" applyBorder="1" applyAlignment="1">
      <alignment horizontal="center" vertical="center"/>
    </xf>
    <xf numFmtId="164" fontId="6" fillId="5" borderId="3" xfId="0" applyNumberFormat="1" applyFont="1" applyFill="1" applyBorder="1" applyAlignment="1">
      <alignment horizontal="right" vertical="center"/>
    </xf>
    <xf numFmtId="165" fontId="6" fillId="0" borderId="3" xfId="0" applyNumberFormat="1" applyFont="1" applyBorder="1"/>
    <xf numFmtId="165" fontId="6" fillId="0" borderId="3" xfId="0" applyNumberFormat="1" applyFont="1" applyBorder="1" applyAlignment="1">
      <alignment vertical="center"/>
    </xf>
    <xf numFmtId="164" fontId="6" fillId="2" borderId="6" xfId="0" applyNumberFormat="1" applyFont="1" applyFill="1" applyBorder="1"/>
    <xf numFmtId="164" fontId="6" fillId="6" borderId="8" xfId="0" applyNumberFormat="1" applyFont="1" applyFill="1" applyBorder="1"/>
    <xf numFmtId="0" fontId="9" fillId="0" borderId="14" xfId="0" applyFont="1" applyBorder="1" applyAlignment="1">
      <alignment horizontal="center"/>
    </xf>
    <xf numFmtId="165" fontId="15" fillId="0" borderId="3" xfId="0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171" fontId="9" fillId="0" borderId="3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2" xfId="0" applyNumberFormat="1" applyBorder="1"/>
    <xf numFmtId="164" fontId="6" fillId="0" borderId="8" xfId="0" applyNumberFormat="1" applyFont="1" applyBorder="1"/>
    <xf numFmtId="164" fontId="8" fillId="0" borderId="6" xfId="0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right"/>
    </xf>
    <xf numFmtId="3" fontId="6" fillId="0" borderId="6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8" fillId="10" borderId="8" xfId="0" applyFont="1" applyFill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64" fontId="6" fillId="0" borderId="16" xfId="0" applyNumberFormat="1" applyFont="1" applyBorder="1" applyAlignment="1">
      <alignment horizontal="right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1" fillId="0" borderId="0" xfId="0" applyFont="1"/>
    <xf numFmtId="10" fontId="0" fillId="0" borderId="0" xfId="2" applyNumberFormat="1" applyFont="1" applyBorder="1" applyProtection="1"/>
    <xf numFmtId="2" fontId="0" fillId="0" borderId="0" xfId="2" applyNumberFormat="1" applyFont="1" applyBorder="1" applyProtection="1"/>
    <xf numFmtId="0" fontId="0" fillId="2" borderId="3" xfId="0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3" fontId="0" fillId="0" borderId="8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3" fontId="0" fillId="0" borderId="12" xfId="0" applyNumberFormat="1" applyBorder="1" applyAlignment="1">
      <alignment horizontal="center"/>
    </xf>
    <xf numFmtId="164" fontId="0" fillId="0" borderId="12" xfId="0" applyNumberFormat="1" applyBorder="1" applyAlignment="1">
      <alignment horizontal="right"/>
    </xf>
    <xf numFmtId="3" fontId="0" fillId="0" borderId="6" xfId="0" applyNumberFormat="1" applyBorder="1" applyAlignment="1">
      <alignment horizontal="center"/>
    </xf>
    <xf numFmtId="10" fontId="0" fillId="0" borderId="3" xfId="2" applyNumberFormat="1" applyFont="1" applyBorder="1" applyAlignment="1" applyProtection="1">
      <alignment horizontal="center"/>
    </xf>
    <xf numFmtId="164" fontId="6" fillId="10" borderId="3" xfId="0" applyNumberFormat="1" applyFont="1" applyFill="1" applyBorder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/>
    </xf>
    <xf numFmtId="0" fontId="10" fillId="11" borderId="3" xfId="0" applyFont="1" applyFill="1" applyBorder="1" applyAlignment="1">
      <alignment horizontal="center" vertical="center"/>
    </xf>
    <xf numFmtId="164" fontId="10" fillId="11" borderId="3" xfId="0" applyNumberFormat="1" applyFont="1" applyFill="1" applyBorder="1" applyAlignment="1">
      <alignment horizontal="right"/>
    </xf>
    <xf numFmtId="164" fontId="9" fillId="0" borderId="3" xfId="0" applyNumberFormat="1" applyFont="1" applyBorder="1" applyAlignment="1">
      <alignment horizontal="right" vertical="center"/>
    </xf>
    <xf numFmtId="0" fontId="9" fillId="12" borderId="3" xfId="0" applyFont="1" applyFill="1" applyBorder="1" applyAlignment="1">
      <alignment horizontal="center" vertical="center"/>
    </xf>
    <xf numFmtId="164" fontId="10" fillId="8" borderId="6" xfId="0" applyNumberFormat="1" applyFont="1" applyFill="1" applyBorder="1" applyAlignment="1">
      <alignment horizontal="right"/>
    </xf>
    <xf numFmtId="0" fontId="10" fillId="13" borderId="8" xfId="0" applyFont="1" applyFill="1" applyBorder="1" applyAlignment="1">
      <alignment horizontal="center" vertical="center"/>
    </xf>
    <xf numFmtId="164" fontId="10" fillId="13" borderId="8" xfId="0" applyNumberFormat="1" applyFont="1" applyFill="1" applyBorder="1" applyAlignment="1">
      <alignment horizontal="center" vertical="center"/>
    </xf>
    <xf numFmtId="10" fontId="9" fillId="0" borderId="3" xfId="0" applyNumberFormat="1" applyFont="1" applyBorder="1" applyAlignment="1">
      <alignment horizontal="center" vertical="center"/>
    </xf>
    <xf numFmtId="10" fontId="10" fillId="8" borderId="3" xfId="0" applyNumberFormat="1" applyFont="1" applyFill="1" applyBorder="1" applyAlignment="1">
      <alignment horizontal="center"/>
    </xf>
    <xf numFmtId="164" fontId="10" fillId="8" borderId="3" xfId="0" applyNumberFormat="1" applyFont="1" applyFill="1" applyBorder="1" applyAlignment="1">
      <alignment horizontal="right"/>
    </xf>
    <xf numFmtId="165" fontId="9" fillId="0" borderId="3" xfId="0" applyNumberFormat="1" applyFont="1" applyBorder="1"/>
    <xf numFmtId="164" fontId="9" fillId="0" borderId="0" xfId="0" applyNumberFormat="1" applyFont="1"/>
    <xf numFmtId="166" fontId="9" fillId="0" borderId="3" xfId="0" applyNumberFormat="1" applyFont="1" applyBorder="1" applyAlignment="1">
      <alignment horizontal="center"/>
    </xf>
    <xf numFmtId="166" fontId="10" fillId="7" borderId="8" xfId="0" applyNumberFormat="1" applyFont="1" applyFill="1" applyBorder="1" applyAlignment="1">
      <alignment horizontal="center"/>
    </xf>
    <xf numFmtId="166" fontId="10" fillId="7" borderId="7" xfId="0" applyNumberFormat="1" applyFont="1" applyFill="1" applyBorder="1" applyAlignment="1">
      <alignment horizontal="center"/>
    </xf>
    <xf numFmtId="0" fontId="9" fillId="0" borderId="10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10" fontId="10" fillId="8" borderId="3" xfId="0" applyNumberFormat="1" applyFont="1" applyFill="1" applyBorder="1" applyAlignment="1">
      <alignment horizontal="center" vertical="center"/>
    </xf>
    <xf numFmtId="165" fontId="10" fillId="8" borderId="3" xfId="0" applyNumberFormat="1" applyFont="1" applyFill="1" applyBorder="1" applyAlignment="1">
      <alignment horizontal="right" vertical="center"/>
    </xf>
    <xf numFmtId="166" fontId="9" fillId="0" borderId="3" xfId="0" applyNumberFormat="1" applyFont="1" applyBorder="1" applyAlignment="1">
      <alignment horizontal="left"/>
    </xf>
    <xf numFmtId="165" fontId="9" fillId="12" borderId="3" xfId="0" applyNumberFormat="1" applyFont="1" applyFill="1" applyBorder="1" applyAlignment="1">
      <alignment horizontal="right" vertical="center"/>
    </xf>
    <xf numFmtId="0" fontId="9" fillId="12" borderId="3" xfId="0" applyFont="1" applyFill="1" applyBorder="1"/>
    <xf numFmtId="165" fontId="9" fillId="12" borderId="3" xfId="0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164" fontId="10" fillId="0" borderId="3" xfId="0" applyNumberFormat="1" applyFont="1" applyBorder="1" applyAlignment="1">
      <alignment horizontal="right" wrapText="1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164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right"/>
    </xf>
    <xf numFmtId="0" fontId="9" fillId="0" borderId="8" xfId="0" applyFont="1" applyBorder="1"/>
    <xf numFmtId="164" fontId="10" fillId="0" borderId="8" xfId="0" applyNumberFormat="1" applyFont="1" applyBorder="1" applyAlignment="1">
      <alignment horizontal="right"/>
    </xf>
    <xf numFmtId="0" fontId="10" fillId="0" borderId="3" xfId="0" applyFont="1" applyBorder="1"/>
    <xf numFmtId="164" fontId="9" fillId="0" borderId="3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right" vertical="center"/>
    </xf>
    <xf numFmtId="164" fontId="10" fillId="0" borderId="3" xfId="0" applyNumberFormat="1" applyFont="1" applyBorder="1" applyAlignment="1">
      <alignment horizontal="right" vertical="center"/>
    </xf>
    <xf numFmtId="164" fontId="9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10" fillId="0" borderId="0" xfId="0" applyFont="1"/>
    <xf numFmtId="0" fontId="9" fillId="0" borderId="6" xfId="0" applyFont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164" fontId="10" fillId="10" borderId="3" xfId="0" applyNumberFormat="1" applyFont="1" applyFill="1" applyBorder="1" applyAlignment="1">
      <alignment horizontal="right" vertical="center"/>
    </xf>
    <xf numFmtId="0" fontId="10" fillId="10" borderId="8" xfId="0" applyFont="1" applyFill="1" applyBorder="1" applyAlignment="1">
      <alignment horizontal="center"/>
    </xf>
    <xf numFmtId="164" fontId="10" fillId="10" borderId="8" xfId="0" applyNumberFormat="1" applyFont="1" applyFill="1" applyBorder="1" applyAlignment="1">
      <alignment horizontal="right" vertical="center"/>
    </xf>
    <xf numFmtId="3" fontId="9" fillId="0" borderId="3" xfId="0" applyNumberFormat="1" applyFont="1" applyBorder="1" applyAlignment="1">
      <alignment horizontal="center"/>
    </xf>
    <xf numFmtId="0" fontId="9" fillId="12" borderId="3" xfId="0" applyFont="1" applyFill="1" applyBorder="1" applyAlignment="1">
      <alignment horizontal="center"/>
    </xf>
    <xf numFmtId="2" fontId="9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2" fontId="9" fillId="0" borderId="8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64" fontId="10" fillId="0" borderId="6" xfId="0" applyNumberFormat="1" applyFont="1" applyBorder="1" applyAlignment="1">
      <alignment horizontal="right" vertical="center"/>
    </xf>
    <xf numFmtId="3" fontId="10" fillId="10" borderId="8" xfId="0" applyNumberFormat="1" applyFont="1" applyFill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4" fontId="9" fillId="0" borderId="3" xfId="0" applyNumberFormat="1" applyFont="1" applyBorder="1" applyAlignment="1">
      <alignment horizontal="center"/>
    </xf>
    <xf numFmtId="3" fontId="9" fillId="0" borderId="6" xfId="0" applyNumberFormat="1" applyFont="1" applyBorder="1" applyAlignment="1">
      <alignment horizontal="center"/>
    </xf>
    <xf numFmtId="4" fontId="10" fillId="10" borderId="8" xfId="0" applyNumberFormat="1" applyFont="1" applyFill="1" applyBorder="1" applyAlignment="1">
      <alignment horizontal="center"/>
    </xf>
    <xf numFmtId="164" fontId="10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/>
    </xf>
    <xf numFmtId="0" fontId="10" fillId="8" borderId="6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right"/>
    </xf>
    <xf numFmtId="164" fontId="10" fillId="8" borderId="8" xfId="0" applyNumberFormat="1" applyFont="1" applyFill="1" applyBorder="1" applyAlignment="1">
      <alignment horizontal="right"/>
    </xf>
    <xf numFmtId="0" fontId="10" fillId="0" borderId="0" xfId="0" applyFont="1" applyAlignment="1">
      <alignment horizontal="left"/>
    </xf>
    <xf numFmtId="0" fontId="10" fillId="8" borderId="12" xfId="0" applyFont="1" applyFill="1" applyBorder="1" applyAlignment="1">
      <alignment vertical="center"/>
    </xf>
    <xf numFmtId="0" fontId="10" fillId="8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2" xfId="0" applyFont="1" applyBorder="1"/>
    <xf numFmtId="10" fontId="9" fillId="0" borderId="12" xfId="0" applyNumberFormat="1" applyFont="1" applyBorder="1" applyAlignment="1">
      <alignment horizontal="center"/>
    </xf>
    <xf numFmtId="164" fontId="9" fillId="0" borderId="12" xfId="0" applyNumberFormat="1" applyFont="1" applyBorder="1"/>
    <xf numFmtId="164" fontId="10" fillId="10" borderId="7" xfId="0" applyNumberFormat="1" applyFont="1" applyFill="1" applyBorder="1"/>
    <xf numFmtId="10" fontId="9" fillId="0" borderId="0" xfId="0" applyNumberFormat="1" applyFont="1"/>
    <xf numFmtId="164" fontId="9" fillId="0" borderId="0" xfId="0" applyNumberFormat="1" applyFont="1" applyAlignment="1">
      <alignment horizontal="center"/>
    </xf>
    <xf numFmtId="164" fontId="15" fillId="0" borderId="8" xfId="0" applyNumberFormat="1" applyFont="1" applyBorder="1" applyAlignment="1">
      <alignment horizontal="center"/>
    </xf>
    <xf numFmtId="164" fontId="14" fillId="0" borderId="3" xfId="0" applyNumberFormat="1" applyFont="1" applyBorder="1" applyAlignment="1">
      <alignment horizontal="center"/>
    </xf>
    <xf numFmtId="164" fontId="10" fillId="10" borderId="7" xfId="0" applyNumberFormat="1" applyFont="1" applyFill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72" fontId="0" fillId="0" borderId="3" xfId="0" applyNumberFormat="1" applyBorder="1" applyAlignment="1">
      <alignment horizontal="center"/>
    </xf>
    <xf numFmtId="10" fontId="6" fillId="0" borderId="3" xfId="0" applyNumberFormat="1" applyFont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7" fontId="0" fillId="0" borderId="16" xfId="0" applyNumberFormat="1" applyBorder="1" applyAlignment="1">
      <alignment horizontal="center"/>
    </xf>
    <xf numFmtId="0" fontId="6" fillId="2" borderId="12" xfId="0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10" fontId="9" fillId="0" borderId="3" xfId="0" applyNumberFormat="1" applyFont="1" applyBorder="1" applyAlignment="1">
      <alignment horizontal="center"/>
    </xf>
    <xf numFmtId="166" fontId="10" fillId="7" borderId="8" xfId="0" applyNumberFormat="1" applyFont="1" applyFill="1" applyBorder="1" applyAlignment="1">
      <alignment horizontal="right"/>
    </xf>
    <xf numFmtId="166" fontId="10" fillId="7" borderId="7" xfId="0" applyNumberFormat="1" applyFont="1" applyFill="1" applyBorder="1" applyAlignment="1">
      <alignment horizontal="right"/>
    </xf>
    <xf numFmtId="164" fontId="6" fillId="0" borderId="3" xfId="0" applyNumberFormat="1" applyFont="1" applyBorder="1" applyAlignment="1">
      <alignment wrapText="1"/>
    </xf>
    <xf numFmtId="3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0" xfId="0" applyBorder="1" applyAlignment="1">
      <alignment horizontal="left"/>
    </xf>
    <xf numFmtId="164" fontId="6" fillId="10" borderId="8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164" fontId="10" fillId="0" borderId="0" xfId="0" applyNumberFormat="1" applyFont="1" applyAlignment="1">
      <alignment horizontal="right" wrapText="1"/>
    </xf>
    <xf numFmtId="164" fontId="14" fillId="0" borderId="6" xfId="0" applyNumberFormat="1" applyFont="1" applyBorder="1" applyAlignment="1">
      <alignment horizontal="center"/>
    </xf>
    <xf numFmtId="0" fontId="6" fillId="2" borderId="13" xfId="0" applyFont="1" applyFill="1" applyBorder="1" applyAlignment="1">
      <alignment vertical="center"/>
    </xf>
    <xf numFmtId="165" fontId="0" fillId="0" borderId="3" xfId="0" applyNumberFormat="1" applyBorder="1" applyAlignment="1">
      <alignment horizontal="right" vertical="center" wrapText="1"/>
    </xf>
    <xf numFmtId="0" fontId="0" fillId="0" borderId="6" xfId="0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right"/>
    </xf>
    <xf numFmtId="0" fontId="10" fillId="8" borderId="3" xfId="0" applyFont="1" applyFill="1" applyBorder="1"/>
    <xf numFmtId="0" fontId="9" fillId="0" borderId="10" xfId="0" applyFont="1" applyBorder="1"/>
    <xf numFmtId="0" fontId="9" fillId="0" borderId="3" xfId="0" applyFont="1" applyBorder="1" applyAlignment="1">
      <alignment horizontal="center" wrapText="1"/>
    </xf>
    <xf numFmtId="173" fontId="9" fillId="0" borderId="3" xfId="0" applyNumberFormat="1" applyFont="1" applyBorder="1" applyAlignment="1">
      <alignment horizontal="center"/>
    </xf>
    <xf numFmtId="173" fontId="8" fillId="0" borderId="0" xfId="3" applyNumberFormat="1" applyFont="1" applyBorder="1" applyAlignment="1" applyProtection="1">
      <alignment horizontal="center"/>
    </xf>
    <xf numFmtId="165" fontId="0" fillId="0" borderId="0" xfId="0" applyNumberFormat="1" applyAlignment="1">
      <alignment horizontal="center"/>
    </xf>
    <xf numFmtId="9" fontId="9" fillId="0" borderId="3" xfId="0" applyNumberFormat="1" applyFont="1" applyBorder="1" applyAlignment="1">
      <alignment horizontal="center"/>
    </xf>
    <xf numFmtId="9" fontId="0" fillId="0" borderId="0" xfId="0" applyNumberFormat="1" applyAlignment="1">
      <alignment horizontal="center"/>
    </xf>
    <xf numFmtId="0" fontId="27" fillId="0" borderId="0" xfId="0" applyFont="1" applyAlignment="1">
      <alignment horizontal="center"/>
    </xf>
    <xf numFmtId="174" fontId="8" fillId="0" borderId="0" xfId="3" applyNumberFormat="1" applyFont="1" applyBorder="1" applyAlignment="1" applyProtection="1">
      <alignment horizontal="center"/>
    </xf>
    <xf numFmtId="165" fontId="8" fillId="0" borderId="0" xfId="0" applyNumberFormat="1" applyFont="1" applyAlignment="1">
      <alignment horizontal="center"/>
    </xf>
    <xf numFmtId="0" fontId="29" fillId="0" borderId="3" xfId="0" applyFon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32" fillId="0" borderId="0" xfId="3" applyFont="1" applyBorder="1" applyAlignment="1" applyProtection="1">
      <alignment horizontal="center"/>
    </xf>
    <xf numFmtId="0" fontId="9" fillId="0" borderId="0" xfId="0" applyFont="1" applyAlignment="1">
      <alignment horizontal="right"/>
    </xf>
    <xf numFmtId="0" fontId="10" fillId="3" borderId="3" xfId="0" applyFont="1" applyFill="1" applyBorder="1" applyAlignment="1">
      <alignment horizontal="center"/>
    </xf>
    <xf numFmtId="0" fontId="10" fillId="3" borderId="3" xfId="0" applyFont="1" applyFill="1" applyBorder="1"/>
    <xf numFmtId="10" fontId="9" fillId="0" borderId="3" xfId="0" applyNumberFormat="1" applyFont="1" applyBorder="1" applyAlignment="1">
      <alignment horizontal="right"/>
    </xf>
    <xf numFmtId="10" fontId="10" fillId="0" borderId="3" xfId="0" applyNumberFormat="1" applyFont="1" applyBorder="1" applyAlignment="1">
      <alignment horizontal="right"/>
    </xf>
    <xf numFmtId="0" fontId="10" fillId="3" borderId="3" xfId="0" applyFont="1" applyFill="1" applyBorder="1" applyAlignment="1">
      <alignment horizontal="right"/>
    </xf>
    <xf numFmtId="10" fontId="9" fillId="12" borderId="3" xfId="0" applyNumberFormat="1" applyFont="1" applyFill="1" applyBorder="1" applyAlignment="1">
      <alignment horizontal="right"/>
    </xf>
    <xf numFmtId="9" fontId="0" fillId="0" borderId="0" xfId="2" applyFont="1" applyBorder="1" applyProtection="1"/>
    <xf numFmtId="10" fontId="10" fillId="3" borderId="3" xfId="0" applyNumberFormat="1" applyFont="1" applyFill="1" applyBorder="1" applyAlignment="1">
      <alignment horizontal="right"/>
    </xf>
    <xf numFmtId="0" fontId="6" fillId="3" borderId="3" xfId="0" applyFont="1" applyFill="1" applyBorder="1"/>
    <xf numFmtId="10" fontId="6" fillId="3" borderId="3" xfId="0" applyNumberFormat="1" applyFont="1" applyFill="1" applyBorder="1"/>
    <xf numFmtId="10" fontId="6" fillId="0" borderId="0" xfId="2" applyNumberFormat="1" applyFont="1" applyBorder="1" applyProtection="1"/>
    <xf numFmtId="10" fontId="6" fillId="0" borderId="0" xfId="0" applyNumberFormat="1" applyFont="1"/>
    <xf numFmtId="3" fontId="10" fillId="0" borderId="3" xfId="0" applyNumberFormat="1" applyFont="1" applyBorder="1"/>
    <xf numFmtId="3" fontId="9" fillId="0" borderId="3" xfId="0" applyNumberFormat="1" applyFont="1" applyBorder="1"/>
    <xf numFmtId="10" fontId="10" fillId="0" borderId="3" xfId="0" applyNumberFormat="1" applyFont="1" applyBorder="1"/>
    <xf numFmtId="175" fontId="10" fillId="0" borderId="3" xfId="0" applyNumberFormat="1" applyFont="1" applyBorder="1"/>
    <xf numFmtId="9" fontId="10" fillId="0" borderId="3" xfId="0" applyNumberFormat="1" applyFont="1" applyBorder="1"/>
    <xf numFmtId="0" fontId="18" fillId="0" borderId="0" xfId="3" applyBorder="1" applyProtection="1"/>
    <xf numFmtId="3" fontId="6" fillId="0" borderId="0" xfId="0" applyNumberFormat="1" applyFont="1"/>
    <xf numFmtId="3" fontId="0" fillId="0" borderId="0" xfId="0" applyNumberFormat="1"/>
    <xf numFmtId="175" fontId="6" fillId="0" borderId="0" xfId="0" applyNumberFormat="1" applyFont="1"/>
    <xf numFmtId="9" fontId="6" fillId="0" borderId="0" xfId="0" applyNumberFormat="1" applyFont="1"/>
    <xf numFmtId="0" fontId="10" fillId="3" borderId="3" xfId="0" applyFont="1" applyFill="1" applyBorder="1" applyAlignment="1">
      <alignment horizontal="center" vertical="center"/>
    </xf>
    <xf numFmtId="10" fontId="9" fillId="0" borderId="3" xfId="0" applyNumberFormat="1" applyFont="1" applyBorder="1"/>
    <xf numFmtId="0" fontId="10" fillId="0" borderId="12" xfId="0" applyFont="1" applyBorder="1"/>
    <xf numFmtId="10" fontId="10" fillId="0" borderId="12" xfId="0" applyNumberFormat="1" applyFont="1" applyBorder="1"/>
    <xf numFmtId="10" fontId="13" fillId="0" borderId="0" xfId="2" applyNumberFormat="1" applyFont="1" applyBorder="1" applyProtection="1"/>
    <xf numFmtId="0" fontId="8" fillId="0" borderId="0" xfId="2" applyNumberFormat="1" applyFont="1" applyBorder="1" applyProtection="1"/>
    <xf numFmtId="10" fontId="8" fillId="0" borderId="0" xfId="2" applyNumberFormat="1" applyFont="1" applyBorder="1" applyProtection="1"/>
    <xf numFmtId="0" fontId="9" fillId="0" borderId="0" xfId="0" applyFont="1" applyAlignment="1">
      <alignment horizontal="center" vertical="center"/>
    </xf>
    <xf numFmtId="0" fontId="21" fillId="0" borderId="0" xfId="0" applyFont="1"/>
    <xf numFmtId="0" fontId="33" fillId="3" borderId="6" xfId="0" applyFont="1" applyFill="1" applyBorder="1" applyAlignment="1">
      <alignment horizontal="center" vertical="center"/>
    </xf>
    <xf numFmtId="0" fontId="33" fillId="3" borderId="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wrapText="1"/>
    </xf>
    <xf numFmtId="173" fontId="9" fillId="0" borderId="3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wrapText="1"/>
    </xf>
    <xf numFmtId="176" fontId="9" fillId="0" borderId="6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173" fontId="9" fillId="0" borderId="7" xfId="0" applyNumberFormat="1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173" fontId="9" fillId="0" borderId="6" xfId="0" applyNumberFormat="1" applyFont="1" applyBorder="1" applyAlignment="1">
      <alignment horizontal="center" vertical="center"/>
    </xf>
    <xf numFmtId="0" fontId="35" fillId="0" borderId="0" xfId="0" applyFont="1"/>
    <xf numFmtId="0" fontId="34" fillId="0" borderId="6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173" fontId="9" fillId="0" borderId="22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73" fontId="9" fillId="0" borderId="8" xfId="0" applyNumberFormat="1" applyFont="1" applyBorder="1" applyAlignment="1">
      <alignment horizontal="center" vertical="center"/>
    </xf>
    <xf numFmtId="176" fontId="9" fillId="0" borderId="22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73" fontId="9" fillId="0" borderId="21" xfId="0" applyNumberFormat="1" applyFont="1" applyBorder="1" applyAlignment="1">
      <alignment horizontal="center" vertical="center"/>
    </xf>
    <xf numFmtId="164" fontId="9" fillId="0" borderId="2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3" fontId="9" fillId="0" borderId="15" xfId="0" applyNumberFormat="1" applyFont="1" applyBorder="1" applyAlignment="1">
      <alignment horizontal="center" vertical="center"/>
    </xf>
    <xf numFmtId="164" fontId="9" fillId="12" borderId="7" xfId="0" applyNumberFormat="1" applyFont="1" applyFill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164" fontId="9" fillId="0" borderId="12" xfId="0" applyNumberFormat="1" applyFont="1" applyBorder="1" applyAlignment="1">
      <alignment horizontal="center" vertical="center"/>
    </xf>
    <xf numFmtId="173" fontId="9" fillId="0" borderId="12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176" fontId="9" fillId="0" borderId="15" xfId="0" applyNumberFormat="1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73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73" fontId="22" fillId="0" borderId="6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173" fontId="9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22" fillId="0" borderId="16" xfId="0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71" fontId="36" fillId="0" borderId="27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171" fontId="36" fillId="0" borderId="10" xfId="0" applyNumberFormat="1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71" fontId="36" fillId="0" borderId="29" xfId="0" applyNumberFormat="1" applyFont="1" applyBorder="1" applyAlignment="1">
      <alignment horizontal="center" vertical="center"/>
    </xf>
    <xf numFmtId="173" fontId="36" fillId="0" borderId="26" xfId="0" applyNumberFormat="1" applyFont="1" applyBorder="1" applyAlignment="1">
      <alignment horizontal="center" vertical="center"/>
    </xf>
    <xf numFmtId="173" fontId="36" fillId="0" borderId="3" xfId="0" applyNumberFormat="1" applyFont="1" applyBorder="1" applyAlignment="1">
      <alignment horizontal="center" vertical="center"/>
    </xf>
    <xf numFmtId="173" fontId="36" fillId="0" borderId="28" xfId="0" applyNumberFormat="1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173" fontId="36" fillId="0" borderId="6" xfId="0" applyNumberFormat="1" applyFont="1" applyBorder="1" applyAlignment="1">
      <alignment horizontal="center" vertical="center"/>
    </xf>
    <xf numFmtId="171" fontId="36" fillId="0" borderId="13" xfId="0" applyNumberFormat="1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49" fontId="36" fillId="0" borderId="26" xfId="0" applyNumberFormat="1" applyFont="1" applyBorder="1" applyAlignment="1">
      <alignment horizontal="center" vertical="center"/>
    </xf>
    <xf numFmtId="173" fontId="36" fillId="0" borderId="31" xfId="0" applyNumberFormat="1" applyFont="1" applyBorder="1" applyAlignment="1">
      <alignment horizontal="center" vertical="center"/>
    </xf>
    <xf numFmtId="49" fontId="36" fillId="0" borderId="3" xfId="0" applyNumberFormat="1" applyFont="1" applyBorder="1" applyAlignment="1">
      <alignment horizontal="center" vertical="center"/>
    </xf>
    <xf numFmtId="49" fontId="36" fillId="0" borderId="6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 wrapText="1"/>
    </xf>
    <xf numFmtId="173" fontId="34" fillId="0" borderId="7" xfId="0" applyNumberFormat="1" applyFont="1" applyBorder="1" applyAlignment="1">
      <alignment horizontal="center" vertical="center"/>
    </xf>
    <xf numFmtId="173" fontId="22" fillId="0" borderId="3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22" fillId="0" borderId="6" xfId="0" applyFont="1" applyBorder="1" applyAlignment="1">
      <alignment horizontal="center" wrapText="1"/>
    </xf>
    <xf numFmtId="0" fontId="22" fillId="0" borderId="6" xfId="0" applyFont="1" applyBorder="1" applyAlignment="1">
      <alignment horizontal="center"/>
    </xf>
    <xf numFmtId="0" fontId="22" fillId="0" borderId="3" xfId="0" applyFont="1" applyBorder="1" applyAlignment="1">
      <alignment horizontal="center" wrapText="1"/>
    </xf>
    <xf numFmtId="0" fontId="22" fillId="0" borderId="18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19" xfId="0" applyFont="1" applyBorder="1"/>
    <xf numFmtId="0" fontId="22" fillId="0" borderId="5" xfId="0" applyFont="1" applyBorder="1"/>
    <xf numFmtId="0" fontId="9" fillId="0" borderId="5" xfId="0" applyFont="1" applyBorder="1"/>
    <xf numFmtId="0" fontId="9" fillId="0" borderId="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6" fillId="15" borderId="3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6" fillId="18" borderId="3" xfId="0" applyFont="1" applyFill="1" applyBorder="1" applyAlignment="1">
      <alignment horizontal="center"/>
    </xf>
    <xf numFmtId="0" fontId="6" fillId="19" borderId="0" xfId="0" applyFont="1" applyFill="1" applyAlignment="1">
      <alignment horizontal="center" vertical="center"/>
    </xf>
    <xf numFmtId="0" fontId="6" fillId="20" borderId="0" xfId="0" applyFont="1" applyFill="1" applyAlignment="1">
      <alignment horizontal="center"/>
    </xf>
    <xf numFmtId="0" fontId="0" fillId="20" borderId="0" xfId="0" applyFill="1"/>
    <xf numFmtId="0" fontId="6" fillId="19" borderId="0" xfId="0" applyFont="1" applyFill="1"/>
    <xf numFmtId="0" fontId="0" fillId="0" borderId="21" xfId="0" applyBorder="1"/>
    <xf numFmtId="0" fontId="39" fillId="0" borderId="3" xfId="0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0" fontId="6" fillId="21" borderId="0" xfId="0" applyFont="1" applyFill="1" applyAlignment="1">
      <alignment horizontal="center"/>
    </xf>
    <xf numFmtId="164" fontId="9" fillId="21" borderId="6" xfId="0" applyNumberFormat="1" applyFont="1" applyFill="1" applyBorder="1" applyAlignment="1">
      <alignment horizontal="right"/>
    </xf>
    <xf numFmtId="0" fontId="1" fillId="20" borderId="0" xfId="0" applyFont="1" applyFill="1" applyAlignment="1">
      <alignment horizontal="center"/>
    </xf>
    <xf numFmtId="0" fontId="41" fillId="20" borderId="0" xfId="0" applyFont="1" applyFill="1" applyAlignment="1">
      <alignment horizontal="center"/>
    </xf>
    <xf numFmtId="0" fontId="38" fillId="20" borderId="0" xfId="0" applyFont="1" applyFill="1" applyAlignment="1">
      <alignment horizontal="center"/>
    </xf>
    <xf numFmtId="0" fontId="6" fillId="20" borderId="0" xfId="0" applyFont="1" applyFill="1" applyAlignment="1">
      <alignment horizontal="center" wrapText="1"/>
    </xf>
    <xf numFmtId="0" fontId="38" fillId="20" borderId="0" xfId="0" applyFont="1" applyFill="1" applyAlignment="1">
      <alignment horizontal="center" vertical="center"/>
    </xf>
    <xf numFmtId="0" fontId="6" fillId="20" borderId="0" xfId="0" applyFont="1" applyFill="1" applyAlignment="1">
      <alignment vertical="center"/>
    </xf>
    <xf numFmtId="0" fontId="6" fillId="20" borderId="0" xfId="0" applyFont="1" applyFill="1"/>
    <xf numFmtId="0" fontId="6" fillId="20" borderId="0" xfId="0" applyFont="1" applyFill="1" applyAlignment="1">
      <alignment horizontal="center" vertical="center"/>
    </xf>
    <xf numFmtId="10" fontId="6" fillId="20" borderId="0" xfId="2" applyNumberFormat="1" applyFont="1" applyFill="1" applyBorder="1" applyAlignment="1" applyProtection="1">
      <alignment horizontal="center"/>
    </xf>
    <xf numFmtId="10" fontId="38" fillId="20" borderId="0" xfId="2" applyNumberFormat="1" applyFont="1" applyFill="1" applyBorder="1" applyAlignment="1" applyProtection="1">
      <alignment horizontal="center"/>
    </xf>
    <xf numFmtId="10" fontId="0" fillId="20" borderId="0" xfId="2" applyNumberFormat="1" applyFont="1" applyFill="1" applyBorder="1" applyProtection="1"/>
    <xf numFmtId="2" fontId="0" fillId="20" borderId="0" xfId="2" applyNumberFormat="1" applyFont="1" applyFill="1" applyBorder="1" applyProtection="1"/>
    <xf numFmtId="0" fontId="0" fillId="20" borderId="8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3" fontId="0" fillId="20" borderId="3" xfId="0" applyNumberFormat="1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1" fillId="20" borderId="0" xfId="0" applyFont="1" applyFill="1"/>
    <xf numFmtId="164" fontId="0" fillId="20" borderId="0" xfId="0" applyNumberFormat="1" applyFill="1"/>
    <xf numFmtId="0" fontId="0" fillId="20" borderId="0" xfId="0" applyFill="1" applyAlignment="1">
      <alignment wrapText="1"/>
    </xf>
    <xf numFmtId="165" fontId="0" fillId="20" borderId="0" xfId="0" applyNumberFormat="1" applyFill="1"/>
    <xf numFmtId="164" fontId="6" fillId="20" borderId="0" xfId="0" applyNumberFormat="1" applyFont="1" applyFill="1" applyAlignment="1">
      <alignment vertical="center"/>
    </xf>
    <xf numFmtId="164" fontId="0" fillId="20" borderId="0" xfId="0" applyNumberFormat="1" applyFill="1" applyAlignment="1">
      <alignment vertical="center"/>
    </xf>
    <xf numFmtId="0" fontId="0" fillId="20" borderId="0" xfId="0" applyFill="1" applyAlignment="1">
      <alignment vertical="center"/>
    </xf>
    <xf numFmtId="0" fontId="0" fillId="20" borderId="0" xfId="0" applyFill="1" applyAlignment="1">
      <alignment horizontal="center"/>
    </xf>
    <xf numFmtId="0" fontId="0" fillId="20" borderId="0" xfId="0" applyFill="1" applyAlignment="1">
      <alignment vertical="center" wrapText="1"/>
    </xf>
    <xf numFmtId="166" fontId="0" fillId="20" borderId="0" xfId="0" applyNumberFormat="1" applyFill="1" applyAlignment="1">
      <alignment vertical="center"/>
    </xf>
    <xf numFmtId="3" fontId="0" fillId="20" borderId="3" xfId="0" applyNumberFormat="1" applyFill="1" applyBorder="1" applyAlignment="1">
      <alignment horizontal="center"/>
    </xf>
    <xf numFmtId="3" fontId="8" fillId="20" borderId="3" xfId="0" applyNumberFormat="1" applyFont="1" applyFill="1" applyBorder="1" applyAlignment="1">
      <alignment horizontal="center"/>
    </xf>
    <xf numFmtId="0" fontId="8" fillId="20" borderId="3" xfId="0" applyFont="1" applyFill="1" applyBorder="1" applyAlignment="1">
      <alignment horizontal="center"/>
    </xf>
    <xf numFmtId="0" fontId="0" fillId="20" borderId="6" xfId="0" applyFill="1" applyBorder="1" applyAlignment="1">
      <alignment horizontal="center" vertical="center"/>
    </xf>
    <xf numFmtId="0" fontId="6" fillId="21" borderId="0" xfId="0" applyFont="1" applyFill="1" applyAlignment="1">
      <alignment horizontal="center" vertical="center"/>
    </xf>
    <xf numFmtId="166" fontId="6" fillId="21" borderId="0" xfId="0" applyNumberFormat="1" applyFont="1" applyFill="1" applyAlignment="1">
      <alignment horizontal="center"/>
    </xf>
    <xf numFmtId="166" fontId="6" fillId="20" borderId="0" xfId="0" applyNumberFormat="1" applyFont="1" applyFill="1" applyAlignment="1">
      <alignment horizontal="center"/>
    </xf>
    <xf numFmtId="0" fontId="6" fillId="19" borderId="0" xfId="0" applyFont="1" applyFill="1" applyAlignment="1">
      <alignment horizontal="center"/>
    </xf>
    <xf numFmtId="0" fontId="13" fillId="20" borderId="0" xfId="0" applyFont="1" applyFill="1"/>
    <xf numFmtId="166" fontId="0" fillId="20" borderId="0" xfId="0" applyNumberFormat="1" applyFill="1"/>
    <xf numFmtId="166" fontId="6" fillId="20" borderId="0" xfId="0" applyNumberFormat="1" applyFont="1" applyFill="1" applyAlignment="1">
      <alignment horizontal="center" vertical="center"/>
    </xf>
    <xf numFmtId="166" fontId="6" fillId="20" borderId="0" xfId="0" applyNumberFormat="1" applyFont="1" applyFill="1"/>
    <xf numFmtId="10" fontId="6" fillId="19" borderId="0" xfId="2" applyNumberFormat="1" applyFont="1" applyFill="1" applyBorder="1" applyAlignment="1" applyProtection="1">
      <alignment horizontal="center"/>
    </xf>
    <xf numFmtId="0" fontId="0" fillId="20" borderId="3" xfId="0" applyFill="1" applyBorder="1" applyAlignment="1">
      <alignment horizontal="center"/>
    </xf>
    <xf numFmtId="4" fontId="0" fillId="20" borderId="3" xfId="0" applyNumberFormat="1" applyFill="1" applyBorder="1" applyAlignment="1">
      <alignment horizontal="center" vertical="center"/>
    </xf>
    <xf numFmtId="0" fontId="9" fillId="20" borderId="3" xfId="0" applyFont="1" applyFill="1" applyBorder="1" applyAlignment="1">
      <alignment horizontal="center" vertical="center"/>
    </xf>
    <xf numFmtId="10" fontId="9" fillId="21" borderId="3" xfId="0" applyNumberFormat="1" applyFont="1" applyFill="1" applyBorder="1" applyAlignment="1">
      <alignment horizontal="center" vertical="center"/>
    </xf>
    <xf numFmtId="0" fontId="9" fillId="20" borderId="6" xfId="0" applyFont="1" applyFill="1" applyBorder="1" applyAlignment="1">
      <alignment horizontal="center" vertical="center"/>
    </xf>
    <xf numFmtId="3" fontId="9" fillId="20" borderId="3" xfId="0" applyNumberFormat="1" applyFont="1" applyFill="1" applyBorder="1" applyAlignment="1">
      <alignment horizontal="center"/>
    </xf>
    <xf numFmtId="3" fontId="0" fillId="20" borderId="16" xfId="0" applyNumberFormat="1" applyFill="1" applyBorder="1" applyAlignment="1">
      <alignment horizontal="center"/>
    </xf>
    <xf numFmtId="164" fontId="10" fillId="21" borderId="3" xfId="0" applyNumberFormat="1" applyFont="1" applyFill="1" applyBorder="1" applyAlignment="1">
      <alignment horizontal="right" wrapText="1"/>
    </xf>
    <xf numFmtId="3" fontId="0" fillId="20" borderId="8" xfId="0" applyNumberFormat="1" applyFill="1" applyBorder="1" applyAlignment="1">
      <alignment horizontal="center"/>
    </xf>
    <xf numFmtId="164" fontId="9" fillId="21" borderId="8" xfId="0" applyNumberFormat="1" applyFont="1" applyFill="1" applyBorder="1" applyAlignment="1">
      <alignment horizontal="right"/>
    </xf>
    <xf numFmtId="164" fontId="9" fillId="21" borderId="3" xfId="0" applyNumberFormat="1" applyFont="1" applyFill="1" applyBorder="1" applyAlignment="1">
      <alignment horizontal="right"/>
    </xf>
    <xf numFmtId="10" fontId="9" fillId="21" borderId="3" xfId="0" applyNumberFormat="1" applyFont="1" applyFill="1" applyBorder="1"/>
    <xf numFmtId="0" fontId="0" fillId="0" borderId="3" xfId="0" applyBorder="1"/>
    <xf numFmtId="164" fontId="8" fillId="0" borderId="3" xfId="0" applyNumberFormat="1" applyFont="1" applyBorder="1"/>
    <xf numFmtId="0" fontId="6" fillId="10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17" fillId="0" borderId="0" xfId="1" applyNumberFormat="1" applyFont="1" applyBorder="1" applyAlignment="1" applyProtection="1">
      <alignment horizontal="left" vertical="center" wrapText="1"/>
    </xf>
    <xf numFmtId="164" fontId="8" fillId="0" borderId="3" xfId="0" applyNumberFormat="1" applyFont="1" applyBorder="1" applyAlignment="1">
      <alignment horizontal="right"/>
    </xf>
    <xf numFmtId="0" fontId="6" fillId="10" borderId="8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6" fillId="2" borderId="6" xfId="0" applyFont="1" applyFill="1" applyBorder="1" applyAlignment="1">
      <alignment horizontal="center" vertical="center"/>
    </xf>
    <xf numFmtId="0" fontId="0" fillId="0" borderId="8" xfId="0" applyBorder="1"/>
    <xf numFmtId="164" fontId="8" fillId="0" borderId="8" xfId="0" applyNumberFormat="1" applyFont="1" applyBorder="1" applyAlignment="1">
      <alignment horizontal="right"/>
    </xf>
    <xf numFmtId="0" fontId="0" fillId="20" borderId="3" xfId="0" applyFill="1" applyBorder="1"/>
    <xf numFmtId="0" fontId="6" fillId="9" borderId="3" xfId="0" applyFont="1" applyFill="1" applyBorder="1" applyAlignment="1">
      <alignment horizontal="left" vertical="center"/>
    </xf>
    <xf numFmtId="0" fontId="0" fillId="0" borderId="16" xfId="0" applyBorder="1"/>
    <xf numFmtId="164" fontId="8" fillId="0" borderId="16" xfId="0" applyNumberFormat="1" applyFont="1" applyBorder="1" applyAlignment="1">
      <alignment horizontal="right"/>
    </xf>
    <xf numFmtId="0" fontId="6" fillId="2" borderId="3" xfId="0" applyFont="1" applyFill="1" applyBorder="1" applyAlignment="1">
      <alignment horizontal="left" vertical="center"/>
    </xf>
    <xf numFmtId="164" fontId="6" fillId="2" borderId="3" xfId="0" applyNumberFormat="1" applyFont="1" applyFill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164" fontId="0" fillId="0" borderId="3" xfId="0" applyNumberFormat="1" applyBorder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164" fontId="0" fillId="0" borderId="7" xfId="0" applyNumberFormat="1" applyBorder="1" applyAlignment="1">
      <alignment horizontal="right" vertical="center"/>
    </xf>
    <xf numFmtId="0" fontId="0" fillId="0" borderId="3" xfId="0" applyBorder="1" applyAlignment="1">
      <alignment vertical="center"/>
    </xf>
    <xf numFmtId="164" fontId="8" fillId="21" borderId="16" xfId="0" applyNumberFormat="1" applyFont="1" applyFill="1" applyBorder="1" applyAlignment="1">
      <alignment horizontal="right"/>
    </xf>
    <xf numFmtId="0" fontId="6" fillId="10" borderId="8" xfId="0" applyFont="1" applyFill="1" applyBorder="1" applyAlignment="1">
      <alignment horizontal="left"/>
    </xf>
    <xf numFmtId="164" fontId="6" fillId="10" borderId="8" xfId="0" applyNumberFormat="1" applyFont="1" applyFill="1" applyBorder="1" applyAlignment="1">
      <alignment horizontal="right"/>
    </xf>
    <xf numFmtId="0" fontId="6" fillId="6" borderId="3" xfId="0" applyFont="1" applyFill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168" fontId="6" fillId="0" borderId="6" xfId="0" applyNumberFormat="1" applyFont="1" applyBorder="1" applyAlignment="1">
      <alignment horizontal="right" vertical="center"/>
    </xf>
    <xf numFmtId="165" fontId="8" fillId="0" borderId="7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164" fontId="6" fillId="0" borderId="3" xfId="0" applyNumberFormat="1" applyFont="1" applyBorder="1" applyAlignment="1">
      <alignment horizontal="right" vertical="center"/>
    </xf>
    <xf numFmtId="168" fontId="6" fillId="0" borderId="3" xfId="0" applyNumberFormat="1" applyFont="1" applyBorder="1" applyAlignment="1">
      <alignment horizontal="right" vertical="center"/>
    </xf>
    <xf numFmtId="164" fontId="8" fillId="20" borderId="3" xfId="0" applyNumberFormat="1" applyFont="1" applyFill="1" applyBorder="1" applyAlignment="1">
      <alignment horizontal="right" vertical="center"/>
    </xf>
    <xf numFmtId="164" fontId="8" fillId="0" borderId="3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0" fillId="0" borderId="8" xfId="0" applyBorder="1" applyAlignment="1">
      <alignment horizontal="left" vertical="center"/>
    </xf>
    <xf numFmtId="164" fontId="0" fillId="0" borderId="8" xfId="0" applyNumberForma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justify" wrapText="1"/>
    </xf>
    <xf numFmtId="164" fontId="0" fillId="0" borderId="7" xfId="0" applyNumberForma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21" borderId="1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164" fontId="0" fillId="0" borderId="3" xfId="0" applyNumberFormat="1" applyBorder="1"/>
    <xf numFmtId="164" fontId="6" fillId="10" borderId="3" xfId="0" applyNumberFormat="1" applyFont="1" applyFill="1" applyBorder="1" applyAlignment="1">
      <alignment horizontal="center" vertical="center"/>
    </xf>
    <xf numFmtId="164" fontId="0" fillId="12" borderId="7" xfId="0" applyNumberFormat="1" applyFill="1" applyBorder="1" applyAlignment="1">
      <alignment horizontal="right" vertical="center"/>
    </xf>
    <xf numFmtId="0" fontId="0" fillId="0" borderId="6" xfId="0" applyBorder="1"/>
    <xf numFmtId="164" fontId="0" fillId="0" borderId="6" xfId="0" applyNumberFormat="1" applyBorder="1"/>
    <xf numFmtId="0" fontId="6" fillId="9" borderId="7" xfId="0" applyFont="1" applyFill="1" applyBorder="1" applyAlignment="1">
      <alignment vertical="center"/>
    </xf>
    <xf numFmtId="164" fontId="6" fillId="9" borderId="7" xfId="0" applyNumberFormat="1" applyFont="1" applyFill="1" applyBorder="1" applyAlignment="1">
      <alignment vertical="center"/>
    </xf>
    <xf numFmtId="0" fontId="6" fillId="9" borderId="3" xfId="0" applyFont="1" applyFill="1" applyBorder="1" applyAlignment="1">
      <alignment vertical="center"/>
    </xf>
    <xf numFmtId="164" fontId="6" fillId="9" borderId="3" xfId="0" applyNumberFormat="1" applyFont="1" applyFill="1" applyBorder="1" applyAlignment="1">
      <alignment vertical="center"/>
    </xf>
    <xf numFmtId="0" fontId="0" fillId="0" borderId="0" xfId="0"/>
    <xf numFmtId="0" fontId="6" fillId="6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0" fillId="0" borderId="15" xfId="0" applyBorder="1"/>
    <xf numFmtId="164" fontId="0" fillId="0" borderId="6" xfId="0" applyNumberFormat="1" applyBorder="1" applyAlignment="1">
      <alignment horizontal="right"/>
    </xf>
    <xf numFmtId="0" fontId="6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7" xfId="0" applyBorder="1"/>
    <xf numFmtId="0" fontId="6" fillId="6" borderId="3" xfId="0" applyFont="1" applyFill="1" applyBorder="1" applyAlignment="1">
      <alignment horizontal="left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0" borderId="3" xfId="0" applyFont="1" applyBorder="1" applyAlignment="1">
      <alignment horizontal="left"/>
    </xf>
    <xf numFmtId="0" fontId="0" fillId="0" borderId="3" xfId="0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4" borderId="3" xfId="0" applyFont="1" applyFill="1" applyBorder="1" applyAlignment="1">
      <alignment horizontal="left"/>
    </xf>
    <xf numFmtId="164" fontId="0" fillId="4" borderId="3" xfId="0" applyNumberFormat="1" applyFill="1" applyBorder="1" applyAlignment="1">
      <alignment horizontal="center"/>
    </xf>
    <xf numFmtId="0" fontId="6" fillId="4" borderId="3" xfId="0" applyFont="1" applyFill="1" applyBorder="1"/>
    <xf numFmtId="164" fontId="0" fillId="0" borderId="3" xfId="0" applyNumberFormat="1" applyBorder="1" applyAlignment="1">
      <alignment horizontal="right"/>
    </xf>
    <xf numFmtId="0" fontId="0" fillId="20" borderId="10" xfId="0" applyFill="1" applyBorder="1" applyAlignment="1">
      <alignment horizontal="left"/>
    </xf>
    <xf numFmtId="0" fontId="0" fillId="20" borderId="9" xfId="0" applyFill="1" applyBorder="1" applyAlignment="1">
      <alignment horizontal="left"/>
    </xf>
    <xf numFmtId="0" fontId="0" fillId="20" borderId="11" xfId="0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164" fontId="38" fillId="0" borderId="3" xfId="0" applyNumberFormat="1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left"/>
    </xf>
    <xf numFmtId="164" fontId="15" fillId="0" borderId="6" xfId="0" applyNumberFormat="1" applyFont="1" applyBorder="1" applyAlignment="1">
      <alignment horizontal="center"/>
    </xf>
    <xf numFmtId="10" fontId="15" fillId="0" borderId="6" xfId="0" applyNumberFormat="1" applyFont="1" applyBorder="1" applyAlignment="1">
      <alignment horizontal="center"/>
    </xf>
    <xf numFmtId="0" fontId="14" fillId="10" borderId="8" xfId="0" applyFont="1" applyFill="1" applyBorder="1" applyAlignment="1">
      <alignment horizontal="center"/>
    </xf>
    <xf numFmtId="164" fontId="14" fillId="10" borderId="8" xfId="0" applyNumberFormat="1" applyFont="1" applyFill="1" applyBorder="1" applyAlignment="1">
      <alignment horizontal="center"/>
    </xf>
    <xf numFmtId="10" fontId="14" fillId="10" borderId="8" xfId="0" applyNumberFormat="1" applyFont="1" applyFill="1" applyBorder="1" applyAlignment="1">
      <alignment horizontal="center"/>
    </xf>
    <xf numFmtId="0" fontId="14" fillId="0" borderId="8" xfId="0" applyFont="1" applyBorder="1" applyAlignment="1">
      <alignment horizontal="left"/>
    </xf>
    <xf numFmtId="164" fontId="14" fillId="0" borderId="8" xfId="0" applyNumberFormat="1" applyFont="1" applyBorder="1" applyAlignment="1">
      <alignment horizontal="center"/>
    </xf>
    <xf numFmtId="10" fontId="14" fillId="0" borderId="8" xfId="0" applyNumberFormat="1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164" fontId="15" fillId="0" borderId="3" xfId="0" applyNumberFormat="1" applyFont="1" applyBorder="1" applyAlignment="1">
      <alignment horizontal="center"/>
    </xf>
    <xf numFmtId="10" fontId="15" fillId="0" borderId="3" xfId="0" applyNumberFormat="1" applyFont="1" applyBorder="1" applyAlignment="1">
      <alignment horizontal="center"/>
    </xf>
    <xf numFmtId="0" fontId="0" fillId="0" borderId="13" xfId="0" applyBorder="1" applyAlignment="1">
      <alignment horizontal="left"/>
    </xf>
    <xf numFmtId="164" fontId="8" fillId="0" borderId="6" xfId="0" applyNumberFormat="1" applyFont="1" applyBorder="1"/>
    <xf numFmtId="0" fontId="6" fillId="0" borderId="9" xfId="0" applyFont="1" applyBorder="1" applyAlignment="1">
      <alignment horizontal="center"/>
    </xf>
    <xf numFmtId="0" fontId="14" fillId="8" borderId="3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164" fontId="0" fillId="10" borderId="8" xfId="0" applyNumberFormat="1" applyFill="1" applyBorder="1" applyAlignment="1">
      <alignment horizontal="right"/>
    </xf>
    <xf numFmtId="0" fontId="0" fillId="0" borderId="9" xfId="0" applyBorder="1" applyAlignment="1">
      <alignment horizontal="center" wrapText="1"/>
    </xf>
    <xf numFmtId="0" fontId="6" fillId="19" borderId="0" xfId="0" applyFont="1" applyFill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0" fontId="6" fillId="0" borderId="3" xfId="0" applyFont="1" applyBorder="1"/>
    <xf numFmtId="164" fontId="13" fillId="0" borderId="3" xfId="0" applyNumberFormat="1" applyFont="1" applyBorder="1" applyAlignment="1">
      <alignment horizontal="right"/>
    </xf>
    <xf numFmtId="0" fontId="6" fillId="0" borderId="6" xfId="0" applyFont="1" applyBorder="1"/>
    <xf numFmtId="164" fontId="13" fillId="0" borderId="6" xfId="0" applyNumberFormat="1" applyFont="1" applyBorder="1" applyAlignment="1">
      <alignment horizontal="right"/>
    </xf>
    <xf numFmtId="0" fontId="6" fillId="0" borderId="8" xfId="0" applyFont="1" applyBorder="1"/>
    <xf numFmtId="164" fontId="11" fillId="0" borderId="8" xfId="0" applyNumberFormat="1" applyFont="1" applyBorder="1" applyAlignment="1">
      <alignment horizontal="right"/>
    </xf>
    <xf numFmtId="0" fontId="6" fillId="10" borderId="8" xfId="0" applyFont="1" applyFill="1" applyBorder="1"/>
    <xf numFmtId="164" fontId="6" fillId="0" borderId="6" xfId="0" applyNumberFormat="1" applyFont="1" applyBorder="1" applyAlignment="1">
      <alignment horizontal="right"/>
    </xf>
    <xf numFmtId="0" fontId="6" fillId="0" borderId="6" xfId="0" applyFont="1" applyBorder="1" applyAlignment="1">
      <alignment horizontal="left"/>
    </xf>
    <xf numFmtId="0" fontId="6" fillId="19" borderId="0" xfId="0" applyFont="1" applyFill="1" applyAlignment="1">
      <alignment horizontal="center" vertical="center" wrapText="1"/>
    </xf>
    <xf numFmtId="164" fontId="8" fillId="21" borderId="3" xfId="0" applyNumberFormat="1" applyFont="1" applyFill="1" applyBorder="1" applyAlignment="1">
      <alignment horizontal="right"/>
    </xf>
    <xf numFmtId="167" fontId="0" fillId="0" borderId="8" xfId="0" applyNumberForma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21" borderId="0" xfId="0" applyFont="1" applyFill="1" applyAlignment="1">
      <alignment horizontal="center" vertical="center" wrapText="1"/>
    </xf>
    <xf numFmtId="166" fontId="0" fillId="0" borderId="3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166" fontId="0" fillId="0" borderId="6" xfId="0" applyNumberFormat="1" applyBorder="1" applyAlignment="1">
      <alignment horizontal="right" vertical="center"/>
    </xf>
    <xf numFmtId="0" fontId="0" fillId="0" borderId="12" xfId="0" applyBorder="1" applyAlignment="1">
      <alignment vertical="center"/>
    </xf>
    <xf numFmtId="164" fontId="0" fillId="0" borderId="12" xfId="0" applyNumberFormat="1" applyBorder="1" applyAlignment="1">
      <alignment horizontal="right" vertical="center"/>
    </xf>
    <xf numFmtId="164" fontId="0" fillId="0" borderId="6" xfId="0" applyNumberFormat="1" applyBorder="1" applyAlignment="1">
      <alignment horizontal="right" vertical="center"/>
    </xf>
    <xf numFmtId="0" fontId="6" fillId="10" borderId="8" xfId="0" applyFont="1" applyFill="1" applyBorder="1" applyAlignment="1">
      <alignment horizontal="left" vertical="center"/>
    </xf>
    <xf numFmtId="164" fontId="6" fillId="10" borderId="8" xfId="0" applyNumberFormat="1" applyFont="1" applyFill="1" applyBorder="1" applyAlignment="1">
      <alignment horizontal="right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0" fillId="0" borderId="3" xfId="0" applyNumberFormat="1" applyBorder="1" applyAlignment="1">
      <alignment horizontal="right" vertical="center" wrapText="1"/>
    </xf>
    <xf numFmtId="164" fontId="0" fillId="0" borderId="6" xfId="0" applyNumberFormat="1" applyBorder="1" applyAlignment="1">
      <alignment horizontal="right" vertical="center" wrapText="1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/>
    <xf numFmtId="0" fontId="6" fillId="6" borderId="6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left"/>
    </xf>
    <xf numFmtId="0" fontId="10" fillId="8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6" fillId="5" borderId="7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right"/>
    </xf>
    <xf numFmtId="0" fontId="0" fillId="0" borderId="3" xfId="0" applyBorder="1" applyAlignment="1">
      <alignment wrapText="1"/>
    </xf>
    <xf numFmtId="165" fontId="0" fillId="0" borderId="3" xfId="0" applyNumberFormat="1" applyBorder="1"/>
    <xf numFmtId="0" fontId="20" fillId="0" borderId="8" xfId="0" applyFont="1" applyBorder="1" applyAlignment="1">
      <alignment horizontal="left" vertical="center" wrapText="1"/>
    </xf>
    <xf numFmtId="164" fontId="8" fillId="0" borderId="6" xfId="0" applyNumberFormat="1" applyFont="1" applyBorder="1" applyAlignment="1">
      <alignment horizontal="right"/>
    </xf>
    <xf numFmtId="0" fontId="20" fillId="0" borderId="3" xfId="0" applyFont="1" applyBorder="1" applyAlignment="1">
      <alignment vertical="center" wrapText="1"/>
    </xf>
    <xf numFmtId="0" fontId="20" fillId="0" borderId="3" xfId="0" applyFont="1" applyBorder="1" applyAlignment="1">
      <alignment horizontal="justify" vertical="center" wrapText="1"/>
    </xf>
    <xf numFmtId="164" fontId="8" fillId="21" borderId="3" xfId="0" applyNumberFormat="1" applyFont="1" applyFill="1" applyBorder="1" applyAlignment="1">
      <alignment horizontal="right" vertical="center"/>
    </xf>
    <xf numFmtId="0" fontId="8" fillId="20" borderId="6" xfId="0" applyFont="1" applyFill="1" applyBorder="1"/>
    <xf numFmtId="164" fontId="6" fillId="10" borderId="7" xfId="0" applyNumberFormat="1" applyFont="1" applyFill="1" applyBorder="1" applyAlignment="1">
      <alignment horizontal="center" vertical="center"/>
    </xf>
    <xf numFmtId="0" fontId="8" fillId="20" borderId="3" xfId="0" applyFont="1" applyFill="1" applyBorder="1"/>
    <xf numFmtId="0" fontId="8" fillId="19" borderId="3" xfId="0" applyFont="1" applyFill="1" applyBorder="1"/>
    <xf numFmtId="0" fontId="13" fillId="9" borderId="7" xfId="3" applyFont="1" applyFill="1" applyBorder="1" applyAlignment="1" applyProtection="1">
      <alignment vertical="center"/>
    </xf>
    <xf numFmtId="0" fontId="0" fillId="0" borderId="0" xfId="0" applyAlignment="1">
      <alignment horizontal="justify" wrapText="1"/>
    </xf>
    <xf numFmtId="0" fontId="1" fillId="2" borderId="1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/>
    </xf>
    <xf numFmtId="164" fontId="10" fillId="10" borderId="7" xfId="0" applyNumberFormat="1" applyFont="1" applyFill="1" applyBorder="1" applyAlignment="1">
      <alignment horizontal="center"/>
    </xf>
    <xf numFmtId="10" fontId="10" fillId="10" borderId="7" xfId="0" applyNumberFormat="1" applyFont="1" applyFill="1" applyBorder="1" applyAlignment="1">
      <alignment horizontal="center"/>
    </xf>
    <xf numFmtId="0" fontId="14" fillId="0" borderId="3" xfId="0" applyFont="1" applyBorder="1" applyAlignment="1">
      <alignment horizontal="left"/>
    </xf>
    <xf numFmtId="164" fontId="14" fillId="0" borderId="3" xfId="0" applyNumberFormat="1" applyFont="1" applyBorder="1" applyAlignment="1">
      <alignment horizontal="center"/>
    </xf>
    <xf numFmtId="10" fontId="14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8" borderId="3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5" fillId="0" borderId="8" xfId="0" applyFont="1" applyBorder="1" applyAlignment="1">
      <alignment horizontal="left"/>
    </xf>
    <xf numFmtId="164" fontId="15" fillId="0" borderId="8" xfId="0" applyNumberFormat="1" applyFont="1" applyBorder="1" applyAlignment="1">
      <alignment horizontal="center"/>
    </xf>
    <xf numFmtId="10" fontId="15" fillId="0" borderId="8" xfId="0" applyNumberFormat="1" applyFont="1" applyBorder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0" fontId="10" fillId="8" borderId="8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left"/>
    </xf>
    <xf numFmtId="0" fontId="10" fillId="8" borderId="12" xfId="0" applyFont="1" applyFill="1" applyBorder="1" applyAlignment="1">
      <alignment horizontal="center" vertical="center"/>
    </xf>
    <xf numFmtId="0" fontId="9" fillId="0" borderId="12" xfId="0" applyFont="1" applyBorder="1"/>
    <xf numFmtId="164" fontId="9" fillId="0" borderId="12" xfId="0" applyNumberFormat="1" applyFont="1" applyBorder="1"/>
    <xf numFmtId="0" fontId="9" fillId="0" borderId="9" xfId="0" applyFont="1" applyBorder="1" applyAlignment="1">
      <alignment horizontal="center" wrapText="1"/>
    </xf>
    <xf numFmtId="0" fontId="10" fillId="8" borderId="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9" fillId="0" borderId="8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/>
    <xf numFmtId="164" fontId="9" fillId="0" borderId="3" xfId="0" applyNumberFormat="1" applyFont="1" applyBorder="1" applyAlignment="1">
      <alignment horizontal="center"/>
    </xf>
    <xf numFmtId="0" fontId="10" fillId="0" borderId="6" xfId="0" applyFont="1" applyBorder="1"/>
    <xf numFmtId="164" fontId="10" fillId="0" borderId="6" xfId="0" applyNumberFormat="1" applyFont="1" applyBorder="1" applyAlignment="1">
      <alignment horizontal="center"/>
    </xf>
    <xf numFmtId="0" fontId="10" fillId="0" borderId="8" xfId="0" applyFont="1" applyBorder="1"/>
    <xf numFmtId="164" fontId="9" fillId="0" borderId="8" xfId="0" applyNumberFormat="1" applyFont="1" applyBorder="1" applyAlignment="1">
      <alignment horizontal="center"/>
    </xf>
    <xf numFmtId="0" fontId="10" fillId="10" borderId="8" xfId="0" applyFont="1" applyFill="1" applyBorder="1"/>
    <xf numFmtId="164" fontId="10" fillId="10" borderId="8" xfId="0" applyNumberFormat="1" applyFont="1" applyFill="1" applyBorder="1" applyAlignment="1">
      <alignment horizontal="center"/>
    </xf>
    <xf numFmtId="0" fontId="10" fillId="0" borderId="3" xfId="0" applyFont="1" applyBorder="1"/>
    <xf numFmtId="164" fontId="10" fillId="0" borderId="3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/>
    </xf>
    <xf numFmtId="0" fontId="10" fillId="14" borderId="3" xfId="0" applyFont="1" applyFill="1" applyBorder="1" applyAlignment="1">
      <alignment horizontal="left" vertical="center"/>
    </xf>
    <xf numFmtId="0" fontId="10" fillId="10" borderId="8" xfId="0" applyFont="1" applyFill="1" applyBorder="1" applyAlignment="1">
      <alignment horizontal="left"/>
    </xf>
    <xf numFmtId="0" fontId="22" fillId="0" borderId="3" xfId="0" applyFont="1" applyBorder="1" applyAlignment="1">
      <alignment vertical="center" wrapText="1"/>
    </xf>
    <xf numFmtId="0" fontId="9" fillId="12" borderId="3" xfId="0" applyFont="1" applyFill="1" applyBorder="1" applyAlignment="1">
      <alignment horizontal="left"/>
    </xf>
    <xf numFmtId="164" fontId="9" fillId="20" borderId="3" xfId="0" applyNumberFormat="1" applyFont="1" applyFill="1" applyBorder="1" applyAlignment="1">
      <alignment horizontal="center"/>
    </xf>
    <xf numFmtId="0" fontId="9" fillId="0" borderId="8" xfId="0" applyFont="1" applyBorder="1"/>
    <xf numFmtId="167" fontId="9" fillId="0" borderId="8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71" fontId="9" fillId="0" borderId="3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171" fontId="9" fillId="0" borderId="6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164" fontId="9" fillId="0" borderId="6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164" fontId="10" fillId="0" borderId="8" xfId="0" applyNumberFormat="1" applyFont="1" applyBorder="1" applyAlignment="1">
      <alignment horizontal="center" vertical="center"/>
    </xf>
    <xf numFmtId="0" fontId="10" fillId="10" borderId="3" xfId="0" applyFont="1" applyFill="1" applyBorder="1" applyAlignment="1">
      <alignment horizontal="left" vertical="center"/>
    </xf>
    <xf numFmtId="164" fontId="10" fillId="10" borderId="3" xfId="0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9" fillId="20" borderId="3" xfId="0" applyNumberFormat="1" applyFont="1" applyFill="1" applyBorder="1" applyAlignment="1">
      <alignment horizontal="center" vertical="center"/>
    </xf>
    <xf numFmtId="0" fontId="9" fillId="0" borderId="6" xfId="0" applyFont="1" applyBorder="1"/>
    <xf numFmtId="0" fontId="39" fillId="7" borderId="3" xfId="0" applyFont="1" applyFill="1" applyBorder="1" applyAlignment="1">
      <alignment horizontal="left" vertical="center"/>
    </xf>
    <xf numFmtId="0" fontId="10" fillId="7" borderId="3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9" xfId="0" applyFont="1" applyBorder="1"/>
    <xf numFmtId="164" fontId="9" fillId="0" borderId="3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64" fontId="9" fillId="0" borderId="8" xfId="0" applyNumberFormat="1" applyFont="1" applyBorder="1"/>
    <xf numFmtId="0" fontId="10" fillId="7" borderId="8" xfId="0" applyFont="1" applyFill="1" applyBorder="1" applyAlignment="1">
      <alignment horizontal="center"/>
    </xf>
    <xf numFmtId="0" fontId="9" fillId="12" borderId="3" xfId="0" applyFont="1" applyFill="1" applyBorder="1" applyAlignment="1">
      <alignment vertical="center"/>
    </xf>
    <xf numFmtId="0" fontId="10" fillId="8" borderId="6" xfId="0" applyFont="1" applyFill="1" applyBorder="1" applyAlignment="1">
      <alignment horizontal="center"/>
    </xf>
    <xf numFmtId="0" fontId="10" fillId="13" borderId="7" xfId="0" applyFont="1" applyFill="1" applyBorder="1" applyAlignment="1">
      <alignment horizontal="center"/>
    </xf>
    <xf numFmtId="164" fontId="9" fillId="0" borderId="3" xfId="0" applyNumberFormat="1" applyFont="1" applyBorder="1" applyAlignment="1">
      <alignment horizontal="right" vertical="center"/>
    </xf>
    <xf numFmtId="0" fontId="10" fillId="11" borderId="3" xfId="0" applyFont="1" applyFill="1" applyBorder="1"/>
    <xf numFmtId="0" fontId="10" fillId="11" borderId="3" xfId="0" applyFont="1" applyFill="1" applyBorder="1" applyAlignment="1">
      <alignment horizontal="right" vertical="center"/>
    </xf>
    <xf numFmtId="0" fontId="10" fillId="11" borderId="3" xfId="0" applyFont="1" applyFill="1" applyBorder="1" applyAlignment="1">
      <alignment horizontal="right"/>
    </xf>
    <xf numFmtId="0" fontId="9" fillId="0" borderId="3" xfId="0" applyFont="1" applyBorder="1" applyAlignment="1">
      <alignment vertical="center" wrapText="1"/>
    </xf>
    <xf numFmtId="164" fontId="9" fillId="0" borderId="10" xfId="0" applyNumberFormat="1" applyFont="1" applyBorder="1" applyAlignment="1">
      <alignment horizontal="right"/>
    </xf>
    <xf numFmtId="164" fontId="9" fillId="0" borderId="11" xfId="0" applyNumberFormat="1" applyFont="1" applyBorder="1" applyAlignment="1">
      <alignment horizontal="right"/>
    </xf>
    <xf numFmtId="0" fontId="21" fillId="8" borderId="1" xfId="0" applyFont="1" applyFill="1" applyBorder="1" applyAlignment="1">
      <alignment horizontal="center"/>
    </xf>
    <xf numFmtId="0" fontId="10" fillId="11" borderId="3" xfId="0" applyFont="1" applyFill="1" applyBorder="1" applyAlignment="1">
      <alignment horizontal="left"/>
    </xf>
    <xf numFmtId="164" fontId="9" fillId="21" borderId="3" xfId="0" applyNumberFormat="1" applyFont="1" applyFill="1" applyBorder="1" applyAlignment="1">
      <alignment horizontal="center"/>
    </xf>
    <xf numFmtId="0" fontId="40" fillId="0" borderId="3" xfId="0" applyFont="1" applyBorder="1" applyAlignment="1">
      <alignment vertical="center"/>
    </xf>
    <xf numFmtId="0" fontId="40" fillId="0" borderId="3" xfId="0" applyFont="1" applyBorder="1" applyAlignment="1">
      <alignment horizontal="left" vertical="center"/>
    </xf>
    <xf numFmtId="0" fontId="40" fillId="0" borderId="6" xfId="0" applyFont="1" applyBorder="1" applyAlignment="1">
      <alignment vertical="center"/>
    </xf>
    <xf numFmtId="0" fontId="9" fillId="0" borderId="3" xfId="0" applyFont="1" applyBorder="1" applyAlignment="1">
      <alignment wrapText="1"/>
    </xf>
    <xf numFmtId="0" fontId="20" fillId="0" borderId="10" xfId="0" applyFont="1" applyBorder="1"/>
    <xf numFmtId="164" fontId="8" fillId="21" borderId="15" xfId="0" applyNumberFormat="1" applyFont="1" applyFill="1" applyBorder="1" applyAlignment="1">
      <alignment horizontal="right"/>
    </xf>
    <xf numFmtId="0" fontId="38" fillId="21" borderId="0" xfId="0" applyFont="1" applyFill="1" applyAlignment="1">
      <alignment horizontal="center" vertical="center"/>
    </xf>
    <xf numFmtId="166" fontId="0" fillId="0" borderId="6" xfId="0" applyNumberFormat="1" applyBorder="1"/>
    <xf numFmtId="0" fontId="6" fillId="6" borderId="1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left"/>
    </xf>
    <xf numFmtId="164" fontId="14" fillId="0" borderId="6" xfId="0" applyNumberFormat="1" applyFont="1" applyBorder="1" applyAlignment="1">
      <alignment horizontal="center"/>
    </xf>
    <xf numFmtId="10" fontId="14" fillId="0" borderId="6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5" fontId="0" fillId="0" borderId="3" xfId="0" applyNumberFormat="1" applyBorder="1" applyAlignment="1">
      <alignment horizontal="right" vertical="center"/>
    </xf>
    <xf numFmtId="0" fontId="6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justify" vertical="top" wrapText="1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22" fillId="0" borderId="21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31" fillId="8" borderId="3" xfId="0" applyFont="1" applyFill="1" applyBorder="1" applyAlignment="1">
      <alignment horizontal="center"/>
    </xf>
    <xf numFmtId="0" fontId="22" fillId="0" borderId="12" xfId="0" applyFont="1" applyBorder="1" applyAlignment="1">
      <alignment vertical="center" wrapText="1"/>
    </xf>
    <xf numFmtId="0" fontId="22" fillId="0" borderId="3" xfId="0" applyFont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2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164" fontId="9" fillId="0" borderId="16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164" fontId="9" fillId="0" borderId="15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/>
    </xf>
    <xf numFmtId="0" fontId="36" fillId="0" borderId="15" xfId="0" applyFont="1" applyBorder="1" applyAlignment="1">
      <alignment horizontal="left" vertical="center" wrapText="1"/>
    </xf>
    <xf numFmtId="164" fontId="36" fillId="0" borderId="15" xfId="0" applyNumberFormat="1" applyFont="1" applyBorder="1" applyAlignment="1">
      <alignment horizontal="center" vertical="center"/>
    </xf>
    <xf numFmtId="164" fontId="36" fillId="0" borderId="15" xfId="0" applyNumberFormat="1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/>
    </xf>
    <xf numFmtId="0" fontId="36" fillId="0" borderId="16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left" vertical="center" wrapText="1"/>
    </xf>
    <xf numFmtId="0" fontId="10" fillId="7" borderId="0" xfId="0" applyFont="1" applyFill="1" applyAlignment="1">
      <alignment horizontal="left"/>
    </xf>
    <xf numFmtId="164" fontId="9" fillId="0" borderId="22" xfId="0" applyNumberFormat="1" applyFont="1" applyBorder="1" applyAlignment="1">
      <alignment horizontal="center" vertical="center"/>
    </xf>
    <xf numFmtId="164" fontId="9" fillId="0" borderId="21" xfId="0" applyNumberFormat="1" applyFont="1" applyBorder="1" applyAlignment="1">
      <alignment horizontal="center" vertical="center"/>
    </xf>
    <xf numFmtId="0" fontId="10" fillId="7" borderId="5" xfId="0" applyFont="1" applyFill="1" applyBorder="1" applyAlignment="1">
      <alignment horizontal="left"/>
    </xf>
    <xf numFmtId="0" fontId="0" fillId="15" borderId="0" xfId="0" applyFill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CAC7"/>
      <rgbColor rgb="FF808080"/>
      <rgbColor rgb="FF9CC2E5"/>
      <rgbColor rgb="FF993366"/>
      <rgbColor rgb="FFFFF2CC"/>
      <rgbColor rgb="FFDEEBF7"/>
      <rgbColor rgb="FF660066"/>
      <rgbColor rgb="FFD9D9D9"/>
      <rgbColor rgb="FF0563C1"/>
      <rgbColor rgb="FFD0CECE"/>
      <rgbColor rgb="FF000080"/>
      <rgbColor rgb="FFFF00FF"/>
      <rgbColor rgb="FFDDDDDD"/>
      <rgbColor rgb="FF00FFFF"/>
      <rgbColor rgb="FF800080"/>
      <rgbColor rgb="FF800000"/>
      <rgbColor rgb="FF008080"/>
      <rgbColor rgb="FF0000FF"/>
      <rgbColor rgb="FF00CCFF"/>
      <rgbColor rgb="FFDEEAF6"/>
      <rgbColor rgb="FFE7E6E6"/>
      <rgbColor rgb="FFFFF2CB"/>
      <rgbColor rgb="FF9DC3E6"/>
      <rgbColor rgb="FFF7CAAC"/>
      <rgbColor rgb="FFB4C7DC"/>
      <rgbColor rgb="FFF8CBAD"/>
      <rgbColor rgb="FF3366FF"/>
      <rgbColor rgb="FF33CCCC"/>
      <rgbColor rgb="FF81D41A"/>
      <rgbColor rgb="FFFFD7D7"/>
      <rgbColor rgb="FFFF9900"/>
      <rgbColor rgb="FFFF6600"/>
      <rgbColor rgb="FF666699"/>
      <rgbColor rgb="FFD8D8D8"/>
      <rgbColor rgb="FF003366"/>
      <rgbColor rgb="FF339966"/>
      <rgbColor rgb="FF003300"/>
      <rgbColor rgb="FF333300"/>
      <rgbColor rgb="FF99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3.mte.gov.br/sistemas/mediador/Resumo/ResumoVisualizar?nrSolicitacao=MR055548/2024" TargetMode="External"/></Relationships>
</file>

<file path=xl/worksheets/_rels/sheet1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lcamar.com.br/balanca-digital-de-plataforma-balmak-serie-mini-inox-35kg-coluna-com-bateria-k-35icb-1m?parceiro=9788&amp;gad_source=4&amp;gad_campaignid=17458849177&amp;gbraid=0AAAAADIsmrPy0kK_g3P4wTg2r31RZIkRm&amp;gclid=CjwKCAjwruXBBhArEiwACBRtHYahTXUIHKDh_8" TargetMode="External"/><Relationship Id="rId21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42" Type="http://schemas.openxmlformats.org/officeDocument/2006/relationships/hyperlink" Target="https://www.ferramentaskennedy.com.br/carro-armazem-de-aco-com-rodas-pneumatica-g11-200kg-bumafer/p?idsku=13899&amp;utm_source=google&amp;utm_medium=cpc&amp;utm_campaign=17439598065&amp;kwd=&amp;matchtype=&amp;adset_id=&amp;device=c&amp;gad_source=1&amp;gad_campaignid=17439610053&amp;gbraid=0AA" TargetMode="External"/><Relationship Id="rId63" Type="http://schemas.openxmlformats.org/officeDocument/2006/relationships/hyperlink" Target="https://portal.tce.rs.gov.br/aplicprod/f?p=50500:10:::NO:10:P10_ID_LICITACAO,P10_PAG_RETORNO:1290587,19&amp;cs=1ecDIE203i-Y2P1F52sczAC5Me_8" TargetMode="External"/><Relationship Id="rId84" Type="http://schemas.openxmlformats.org/officeDocument/2006/relationships/hyperlink" Target="https://www.superepi.com.br/oculos-de-protecao-wave-poli-ferr-cinza-ca-34653-p1051610" TargetMode="External"/><Relationship Id="rId138" Type="http://schemas.openxmlformats.org/officeDocument/2006/relationships/hyperlink" Target="https://www.prudentepneus.com.br/pneu-27580-r-225-18lon-149146l-gl289a-samson-liso" TargetMode="External"/><Relationship Id="rId159" Type="http://schemas.openxmlformats.org/officeDocument/2006/relationships/hyperlink" Target="https://www.agrotrator.com.br/graxa-rolamento-ep2-grau-nlgi-2-mpa-18kg-texsa-graxarolep2-graxarolep2tx/p?idsku=19049&amp;srsltid=AfmBOor5GUr26wl7h10FkHHsUZyQFHbZrMgUpW-gv2Kv1zTRoERR-Bd2II8" TargetMode="External"/><Relationship Id="rId170" Type="http://schemas.openxmlformats.org/officeDocument/2006/relationships/hyperlink" Target="https://portal.tce.rs.gov.br/aplicprod/f?p=50500:10:::NO:10:P10_ID_LICITACAO,P10_PAG_RETORNO:1207997,19&amp;cs=13wIxB6oQUkZUBkiJALIHmagppXU" TargetMode="External"/><Relationship Id="rId107" Type="http://schemas.openxmlformats.org/officeDocument/2006/relationships/hyperlink" Target="https://www.lojadamaquina.com.br/po-de-serra-serragem-eucalipto-seco-natural-sem-veneno-2-kg?variant_id=1811" TargetMode="External"/><Relationship Id="rId11" Type="http://schemas.openxmlformats.org/officeDocument/2006/relationships/hyperlink" Target="https://portal.tce.rs.gov.br/aplicprod/f?p=50500:10:::NO:10:P10_ID_LICITACAO,P10_PAG_RETORNO,F50500_CD_ORGAO:1193531,14,53900&amp;cs=1BlPUAFVrW13VW3lJtiaWy2bPVAc" TargetMode="External"/><Relationship Id="rId32" Type="http://schemas.openxmlformats.org/officeDocument/2006/relationships/hyperlink" Target="https://portal.tce.rs.gov.br/aplicprod/f?p=50500:10:::NO:10:P10_ID_LICITACAO,P10_PAG_RETORNO:1210380,19&amp;cs=1r2yqzmGuBvFeaOump3a2BUOyDdE" TargetMode="External"/><Relationship Id="rId53" Type="http://schemas.openxmlformats.org/officeDocument/2006/relationships/hyperlink" Target="https://www.gmibh.com.br/estopa-branca-extra-plus-400g-947-5?srsltid=AfmBOorKZd9oTwWQ2_j9F5Lzn6qJUhSLoZpG2OFHfbBbe2uZKgLnoB_H8Jo" TargetMode="External"/><Relationship Id="rId74" Type="http://schemas.openxmlformats.org/officeDocument/2006/relationships/hyperlink" Target="https://www.arkuero.com.br/macacao-azul-industrial-mecanico-manga-curta-uniforme?utm_source=google&amp;utm_medium=Shopping&amp;utm_campaign=macacao-azul-industrial-mecanico-manga-curta-uniforme&amp;inStock&amp;gad_source=4&amp;gclid=CjwKCAjwwe2_BhBEEiwAM1I7sW_4CQTA6KCBu8I4_Q" TargetMode="External"/><Relationship Id="rId128" Type="http://schemas.openxmlformats.org/officeDocument/2006/relationships/hyperlink" Target="https://portal.tce.rs.gov.br/aplicprod/f?p=50500:10:::NO:10:P10_ID_LICITACAO,P10_PAG_RETORNO:1309688,19&amp;cs=1hxlj51D0Cw7BZ_oS0bi2nCWKUt4" TargetMode="External"/><Relationship Id="rId149" Type="http://schemas.openxmlformats.org/officeDocument/2006/relationships/hyperlink" Target="https://www.limaacessorios.com.br/produto/oleo-15w-40-ci-4-vr-max-turbo-20lts?parceiro=3&amp;srsltid=AfmBOoqJicu5OlFtZjEVf2ndVFcWHzgCQTulU-dTbip4HAwh0IHYrAO0t70" TargetMode="External"/><Relationship Id="rId5" Type="http://schemas.openxmlformats.org/officeDocument/2006/relationships/hyperlink" Target="https://portal.tce.rs.gov.br/aplicprod/f?p=50500:10:::NO:10:P10_ID_LICITACAO,P10_PAG_RETORNO:1217097,19&amp;cs=1gtVteT78jVPq_SD_-cIFw9y7kQY" TargetMode="External"/><Relationship Id="rId95" Type="http://schemas.openxmlformats.org/officeDocument/2006/relationships/hyperlink" Target="https://www.episonline.com.br/protetor-solar-com-repelente-nutriex-fator-30-oil-free-bisnaga-120g-p6504" TargetMode="External"/><Relationship Id="rId160" Type="http://schemas.openxmlformats.org/officeDocument/2006/relationships/hyperlink" Target="https://www.rolautorolamentos.com.br/graxa-ep2-1,5kg-litio-nlgi-2-karter-p5210?srsltid=AfmBOoqWuqKaw9mEbWotijgD6vgyL77HkAqKQ2F25_P8ehGATgiM0Rqx" TargetMode="External"/><Relationship Id="rId22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43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64" Type="http://schemas.openxmlformats.org/officeDocument/2006/relationships/hyperlink" Target="https://www.lfmaquinaseferramentas.com.br/luva-danny-amarela-07/p?idsku=119081&amp;gad_source=1&amp;gclid=Cj0KCQjw782_BhDjARIsABTv_JDdknRoG_xm_3nWhFAXVDSPLzE2NZx2zd98niu3VWmePI6ekOYUo7caAs2VEALw_wcB" TargetMode="External"/><Relationship Id="rId118" Type="http://schemas.openxmlformats.org/officeDocument/2006/relationships/hyperlink" Target="https://www.portaldecompraspublicas.com.br/processos/rs/prefeitura-municipal-de-pelotas-54/pe-056-2024-2024-355832" TargetMode="External"/><Relationship Id="rId139" Type="http://schemas.openxmlformats.org/officeDocument/2006/relationships/hyperlink" Target="https://www.guaporepneus.com.br/produto/pneu-275-80r22-5-goodyear-steelmark-ags-liso-149-146l-16-lonas-152835?gad_source=1&amp;gclid=Cj0KCQjw2N2_BhCAARIsAK4pEkWzY0919-ulzNT9X3nPAORRHkR6fMTBcVfd_a9gMBozFut43URt_8gaAmHCEALw_wcB" TargetMode="External"/><Relationship Id="rId85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150" Type="http://schemas.openxmlformats.org/officeDocument/2006/relationships/hyperlink" Target="https://mercadocar.com.br/oleo-de-cambio-80w90-gl5-lubrax-1-litro-petrobras-01001951" TargetMode="External"/><Relationship Id="rId171" Type="http://schemas.openxmlformats.org/officeDocument/2006/relationships/hyperlink" Target="https://portal.tce.rs.gov.br/aplicprod/f?p=50500:10:::NO:10:P10_ID_LICITACAO,P10_PAG_RETORNO:1232852,19&amp;cs=1qmYu6fjS5E1xlD-du_3qFtMgwiM" TargetMode="External"/><Relationship Id="rId12" Type="http://schemas.openxmlformats.org/officeDocument/2006/relationships/hyperlink" Target="https://duriouniformesbrasil.com.br/produto/bermuda-com-e-sem-refletivo/" TargetMode="External"/><Relationship Id="rId33" Type="http://schemas.openxmlformats.org/officeDocument/2006/relationships/hyperlink" Target="https://portal.tce.rs.gov.br/aplicprod/f?p=50500:10:::NO:10:P10_ID_LICITACAO,P10_PAG_RETORNO:1279445,19&amp;cs=160IvwSBvP1tGlIOoBGQhPT6PT7M" TargetMode="External"/><Relationship Id="rId108" Type="http://schemas.openxmlformats.org/officeDocument/2006/relationships/hyperlink" Target="https://www.mrae.com.br/serragem/serragem-de-madeira-fina-po-de-serra-2kg?srsltid=AfmBOortwKKntCwPUgT5LMM2VuDjYd78dBzRiJgDa1wpEoLlVdHXnTjj4WM" TargetMode="External"/><Relationship Id="rId129" Type="http://schemas.openxmlformats.org/officeDocument/2006/relationships/hyperlink" Target="https://www.dpaschoal.com.br/pneu-aro-15-xbri-fastway-a2-185-65r15-88h/p?idsku=1931164&amp;region_id=dnRleDo5MTk4OTAwMA&amp;gad_source=4&amp;gad_campaignid=19153888242&amp;gbraid=0AAAAADpcpxP1Z27kl6QvH4vnz9iiBjTS7&amp;gclid=CjwKCAjwuIbBBhBvEiwAsNypvRaqa-1k8hjsiEFaHdXaVWYnRMW" TargetMode="External"/><Relationship Id="rId54" Type="http://schemas.openxmlformats.org/officeDocument/2006/relationships/hyperlink" Target="https://www.fastobra.com.br/06250-estopa-branca-400g---estolimpe/p?idsku=575346&amp;utm_source=google&amp;utm_medium=cpc&amp;utm_campaign=raised_fastobra_outrosprodutos_pmax&amp;gad_source=1&amp;gad_campaignid=21637439487&amp;gbraid=0AAAAAB-O6idxi7z4pue-kgGCELtISAPjA&amp;gclid=CjwKC" TargetMode="External"/><Relationship Id="rId75" Type="http://schemas.openxmlformats.org/officeDocument/2006/relationships/hyperlink" Target="https://www.extinsolda.com.br/macacao-brim-manga-curta-uniforme-profissional-tamm-64122-1?srsltid=AfmBOorAE0AKYJp-hWM1g-5_DdK7ZQmqseDbKutoS3EDBJnkk_YhpNknaqs" TargetMode="External"/><Relationship Id="rId96" Type="http://schemas.openxmlformats.org/officeDocument/2006/relationships/hyperlink" Target="https://www.lojaneobetel.com.br/protetor-solar-fps-30-uva-com-repelente-120ml-sunday-p26871" TargetMode="External"/><Relationship Id="rId140" Type="http://schemas.openxmlformats.org/officeDocument/2006/relationships/hyperlink" Target="https://www.dpaschoal.com.br/pneu-aro-22-5-xbri-ecoway-b1-275-80r22-5-149-146m/p" TargetMode="External"/><Relationship Id="rId161" Type="http://schemas.openxmlformats.org/officeDocument/2006/relationships/hyperlink" Target="https://www.lubcenterloja.com.br/GRAXALUBRAXLITHEP2NLGI2DIN51825?sku=RX923C3FC-20kg-GKSNS52UR-WLURX25PP-ATE6RNKAJ-OSORHPQUU&amp;utm_source=Site&amp;utm_medium=GoogleShopping&amp;utm_campaign=IntegracaoGoogle&amp;srsltid=AfmBOoq7MfASZUmB1SEN2ndM82pQp1OEx8HO-Gv7On2ISKKCrmG" TargetMode="External"/><Relationship Id="rId6" Type="http://schemas.openxmlformats.org/officeDocument/2006/relationships/hyperlink" Target="https://portal.tce.rs.gov.br/aplicprod/f?p=50500:10:::NO:10:P10_ID_LICITACAO,P10_PAG_RETORNO:1276980,19&amp;cs=1ydrObfXsLYYURa3RU6QXdT_wRmw" TargetMode="External"/><Relationship Id="rId23" Type="http://schemas.openxmlformats.org/officeDocument/2006/relationships/hyperlink" Target="https://www.extinsolda.com.br/calca-brim-uniforme-profissional-c3-bolso-tamanho-g-3865-1" TargetMode="External"/><Relationship Id="rId28" Type="http://schemas.openxmlformats.org/officeDocument/2006/relationships/hyperlink" Target="https://www.benvenuttiuniformes.com.br/camiseta-manga-longa-com-faixa-refletiva-pv-azul?gad_source=1&amp;gad_campaignid=21702808223&amp;gbraid=0AAAAADOgSYlnuzubSZEGcEVmTLS9kZvJ_&amp;gclid=Cj0KCQjwlMfABhCWARIsADGXdy8eaFPS-8Zk5iZWIYDjL_FIZxZdaJ49npa3DJ80E5Bk2ildtS3aoQg" TargetMode="External"/><Relationship Id="rId49" Type="http://schemas.openxmlformats.org/officeDocument/2006/relationships/hyperlink" Target="https://portal.tce.rs.gov.br/aplicprod/f?p=50500:10:::NO:10:P10_ID_LICITACAO,P10_PAG_RETORNO:1295593,19&amp;cs=12lmr-f28m1HkJcAvY2PxVj125s0" TargetMode="External"/><Relationship Id="rId114" Type="http://schemas.openxmlformats.org/officeDocument/2006/relationships/hyperlink" Target="https://medlimp.com.br/produto/vassoura-de-nylon-sem-cabo-no4/" TargetMode="External"/><Relationship Id="rId119" Type="http://schemas.openxmlformats.org/officeDocument/2006/relationships/hyperlink" Target="https://portal.tce.rs.gov.br/aplicprod/f?p=50500:10:::NO:10:P10_ID_LICITACAO,P10_PAG_RETORNO:1204922,19&amp;cs=1M8nr7uZZ-LBs0-OmN4MIbE2Mr5E" TargetMode="External"/><Relationship Id="rId44" Type="http://schemas.openxmlformats.org/officeDocument/2006/relationships/hyperlink" Target="https://portal.tce.rs.gov.br/aplicprod/f?p=50500:10:::NO:10:P10_ID_LICITACAO,P10_PAG_RETORNO:1221308,19&amp;cs=12xls4DWAHX5m5zbhHalNwFEypQw" TargetMode="External"/><Relationship Id="rId60" Type="http://schemas.openxmlformats.org/officeDocument/2006/relationships/hyperlink" Target="https://portal.tce.rs.gov.br/aplicprod/f?p=50500:10:::NO:10:P10_ID_LICITACAO,P10_PAG_RETORNO:1188138,19&amp;cs=1CPWiqLi3LnSbbtrfSlRaTAHLRcY" TargetMode="External"/><Relationship Id="rId65" Type="http://schemas.openxmlformats.org/officeDocument/2006/relationships/hyperlink" Target="https://www.machadoautoparts.com.br/luva-latex-amarela-t-9-g-kalipso/p/pro56053579000207?c=47&amp;t=15&amp;gad_source=1&amp;gclid=Cj0KCQjw782_BhDjARIsABTv_JD-yYZN8-T9X7ba5Fa6myl11nfYedqIJvK-u7y5DVwCjuS0amUlppUaAiplEALw_wcB" TargetMode="External"/><Relationship Id="rId81" Type="http://schemas.openxmlformats.org/officeDocument/2006/relationships/hyperlink" Target="https://www.casaevideo.com.br/meiao-selene-futebol-feminino-2841595/p?idsku=2767472&amp;srsltid=AfmBOoog3BkRxEijsopLI7GEoRB3iWYvweacHxjll8hiXeZvM7NlC0UJalU" TargetMode="External"/><Relationship Id="rId86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130" Type="http://schemas.openxmlformats.org/officeDocument/2006/relationships/hyperlink" Target="https://www.velocepneus.com/pneu-horizon-205-60-r15-91v-hh301.html?srsltid=AfmBOop2sGo4KUk3D6IeqWRh4pK10qKDw8aO0_IQ5DCdJVqsZJB-rMD-iJc" TargetMode="External"/><Relationship Id="rId135" Type="http://schemas.openxmlformats.org/officeDocument/2006/relationships/hyperlink" Target="https://www.pneubest.com.br/produto/pneu-xbri-235-75r17-5?utm_source=Google%20Shopping&amp;utm_medium=Google%20Shopping&amp;utm_campaign=Google%20Shopping&amp;gad_source=1&amp;gbraid=0AAAAADNIR5KstvqeaWse_5DKtKWDkbGjC&amp;gclid=Cj0KCQjwzrzABhD8ARIsANlSWNM93lXGVYePnWhXFXm-qUY" TargetMode="External"/><Relationship Id="rId151" Type="http://schemas.openxmlformats.org/officeDocument/2006/relationships/hyperlink" Target="https://www.fastcarbrasil.com.br/valvoline-oleo-de-cambio-80w90-gl-5-hp-gear-oil-1-lt?srsltid=AfmBOopmttciJ08kej6KBBiR1Xr3XpPL24kVbz6RnIC-akA7oxKVm-7by7A" TargetMode="External"/><Relationship Id="rId156" Type="http://schemas.openxmlformats.org/officeDocument/2006/relationships/hyperlink" Target="https://geotechagro.com.br/produtos/oleo-lubrificante-extron-hidraulico-aw-iso-68-hlp-balde-20-litros/?srsltid=AfmBOorTzuHJpDXe2BO5pe4zmpZnKYKTb-loaiikTSdD5vvelKZiXAwCXU0" TargetMode="External"/><Relationship Id="rId177" Type="http://schemas.openxmlformats.org/officeDocument/2006/relationships/hyperlink" Target="https://portal.tce.rs.gov.br/aplicprod/f?p=50500:10:::NO:10:P10_ID_LICITACAO,P10_PAG_RETORNO:1345489,19&amp;cs=1Vj9JhQe_4i5Phw8-kQ16rdwrb5o" TargetMode="External"/><Relationship Id="rId172" Type="http://schemas.openxmlformats.org/officeDocument/2006/relationships/hyperlink" Target="https://portal.tce.rs.gov.br/aplicprod/f?p=50500:10:::NO:10:P10_ID_LICITACAO,P10_PAG_RETORNO:1273658,19&amp;cs=1_h5J1rGE6LvBJhp1uWLln6_CV-Q" TargetMode="External"/><Relationship Id="rId13" Type="http://schemas.openxmlformats.org/officeDocument/2006/relationships/hyperlink" Target="https://www.lumilabor.com.br/plasticos/bombona-graduada-com-alca-tampa-e-torneira?parceiro=6858&amp;variant_id=1209&amp;gad_source=1&amp;gclid=CjwKCAjw--K_BhB5EiwAuwYoynLpp1tC5CeTL9XT1WkGOuvwayfGeV8hwUsBLHBRTwe3IA74UKYr0BoC1AAQAvD_BwE" TargetMode="External"/><Relationship Id="rId18" Type="http://schemas.openxmlformats.org/officeDocument/2006/relationships/hyperlink" Target="https://www.epifortte.com.br/touca-e-protecao/touca-arabe-bone-epi-brim-ca-44963?gad_source=1&amp;gad_campaignid=22380412049&amp;gbraid=0AAAAAC_U6LQcAZYviJS-BlTWyZW958i4u&amp;gclid=Cj0KCQjwlMfABhCWARIsADGXdy_bYWgihzfmt9qmlV1WtGZvMYDDU2v3_gMjGYS2gkj2wugwStP7nbgaAv2CEA" TargetMode="External"/><Relationship Id="rId39" Type="http://schemas.openxmlformats.org/officeDocument/2006/relationships/hyperlink" Target="https://portal.tce.rs.gov.br/aplicprod/f?p=50500:10:::NO:10:P10_ID_LICITACAO,P10_PAG_RETORNO:1219082,19&amp;cs=1ZUvVO2wWhgHchLF3GeTCcoOM27U" TargetMode="External"/><Relationship Id="rId109" Type="http://schemas.openxmlformats.org/officeDocument/2006/relationships/hyperlink" Target="https://www.hpplasticos.com.br/garrafa-squeeze-1000ml-inox/?srsltid=AfmBOorAvEGpy672EEjHfMNYmTj3eO8hMsEQzeLzMwnLF_5v8V3MWagCtNk" TargetMode="External"/><Relationship Id="rId34" Type="http://schemas.openxmlformats.org/officeDocument/2006/relationships/hyperlink" Target="https://www.zengouniformes.com.br/camiseta-masculina-basica-malha-fria-pv-com-faixa-refletiva-verde" TargetMode="External"/><Relationship Id="rId50" Type="http://schemas.openxmlformats.org/officeDocument/2006/relationships/hyperlink" Target="https://www.kaema.com.br/creme-protetor-maos-luva-quimica-grupo-3-200-gr-nutriex?utm_source=Site&amp;utm_medium=GoogleMerchant&amp;utm_campaign=GoogleMerchant&amp;gad_source=1&amp;gclid=Cj0KCQjw782_BhDjARIsABTv_JCislYdJmhQ6RHSgdXQr-Rr1MA_sjGVjHSH-9Jl_cfrsJ5Lhild2bEaAgqNE" TargetMode="External"/><Relationship Id="rId55" Type="http://schemas.openxmlformats.org/officeDocument/2006/relationships/hyperlink" Target="https://portal.tce.rs.gov.br/aplicprod/f?p=50500:10:::NO:10:P10_ID_LICITACAO,P10_PAG_RETORNO:1318859,19&amp;cs=11DLct-ViAtTRggol_VIDgbowEVA" TargetMode="External"/><Relationship Id="rId76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97" Type="http://schemas.openxmlformats.org/officeDocument/2006/relationships/hyperlink" Target="https://portal.tce.rs.gov.br/aplicprod/f?p=50500:10:::NO:10:P10_ID_LICITACAO,P10_PAG_RETORNO:1263893,19&amp;cs=11tjJ1NVinTMtpTcyR73BcoPuaAE" TargetMode="External"/><Relationship Id="rId104" Type="http://schemas.openxmlformats.org/officeDocument/2006/relationships/hyperlink" Target="https://www.patavo.com.br/produtos/sapato-conforto-preto-c-cadarco-ca-4642/?srsltid=AfmBOooywTrvyoqErDImsEa3l-iFOT-vhQOarMwIXqdoDdU_74atT8d6" TargetMode="External"/><Relationship Id="rId120" Type="http://schemas.openxmlformats.org/officeDocument/2006/relationships/hyperlink" Target="https://portal.tce.rs.gov.br/aplicprod/f?p=50500:10:::NO:10:P10_ID_LICITACAO,P10_PAG_RETORNO,F50500_CD_ORGAO:1217895,14,65600&amp;cs=17OzXXyCCzV6HvcT71c95bACYt-Y" TargetMode="External"/><Relationship Id="rId125" Type="http://schemas.openxmlformats.org/officeDocument/2006/relationships/hyperlink" Target="https://loja.larplasticos.com.br/container-de-plastico-injetado-1100-litros-branco/p?srsltid=AfmBOorl06vuX57_Tvtq7q5F7_b1jfzNkFN1y-P-7BMNc6rvdyXb7TKU" TargetMode="External"/><Relationship Id="rId141" Type="http://schemas.openxmlformats.org/officeDocument/2006/relationships/hyperlink" Target="https://www.pneusauto.com.br/products/pneu-155-r12c-8pr-88?variant=50236643148076&amp;country=BR&amp;currency=BRL&amp;utm_medium=product_sync&amp;utm_source=google&amp;utm_content=sag_organic&amp;utm_campaign=sag_organic&amp;gad_source=4&amp;gbraid=0AAAAApqCRJ_sgWhpdPnR5v65VLfpcKVDz&amp;gcl" TargetMode="External"/><Relationship Id="rId146" Type="http://schemas.openxmlformats.org/officeDocument/2006/relationships/hyperlink" Target="https://www.lojadomecanico.com.br/produto/437118/32/250/oleo-lubrificante-do-motor--havoline-sae-5w30-semissintetico-api-sn-para-motores-flex-1l-texaco-437118" TargetMode="External"/><Relationship Id="rId167" Type="http://schemas.openxmlformats.org/officeDocument/2006/relationships/hyperlink" Target="https://portal.tce.rs.gov.br/aplicprod/f?p=50500:10:::NO:10:P10_ID_LICITACAO,P10_PAG_RETORNO:1218533,19&amp;cs=11hWJRd25jVxtUczZcoVXBR2gtXw" TargetMode="External"/><Relationship Id="rId7" Type="http://schemas.openxmlformats.org/officeDocument/2006/relationships/hyperlink" Target="https://www.toklimp.com/produtos/saco-de-lixo-110-lt-c-100-laranja-7-mic-75-x-90-cm/" TargetMode="External"/><Relationship Id="rId71" Type="http://schemas.openxmlformats.org/officeDocument/2006/relationships/hyperlink" Target="https://www.dimensional.com.br/luva-protecao-mecanica-poliamida-poliuretano-preta-elastico-9g-tatil-volk-103118007-ca-30916---volk/p?idsku=449097&amp;gad_source=1&amp;gclid=Cj0KCQjw782_BhDjARIsABTv_JBnLkm8OxgnPO47Vo2FsK-08FRCnQRdQrCTHPbF7pGvgfKHsCbDVhQaAhPJEALw_w" TargetMode="External"/><Relationship Id="rId92" Type="http://schemas.openxmlformats.org/officeDocument/2006/relationships/hyperlink" Target="https://www.megalimpo.com.br/papel-toalha-branco-20x21-cm-c-1000-fls-ametista" TargetMode="External"/><Relationship Id="rId162" Type="http://schemas.openxmlformats.org/officeDocument/2006/relationships/hyperlink" Target="https://www.portaldecompraspublicas.com.br/processos/rs/servico-autonomo-de-saneamento-de-pelotas-sanep-940/pe-pe-46-2024-2024-298153" TargetMode="External"/><Relationship Id="rId2" Type="http://schemas.openxmlformats.org/officeDocument/2006/relationships/hyperlink" Target="https://www.triadelog.com.br/alcool-gel-70-all-clear-audax-5-litros" TargetMode="External"/><Relationship Id="rId29" Type="http://schemas.openxmlformats.org/officeDocument/2006/relationships/hyperlink" Target="https://www.mapauniformes.com.br/camisetas/camiseta-manga-longa-com-faixa-refletiva?parceiro=2700&amp;variant_id=187&amp;srsltid=AfmBOoo-ZDPKJcAmd3WVVUv6oUdRDiN_-9aHqBsXC0_I8SXISKqWSNeCoKs" TargetMode="External"/><Relationship Id="rId24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40" Type="http://schemas.openxmlformats.org/officeDocument/2006/relationships/hyperlink" Target="https://www.ferrostore.com.br/todas/carro-carga-roda-pneumatica-200kg-ccp200-fercar?parceiro=4159&amp;srsltid=AfmBOorOeDzNrIn4JTG4NgOJfezVA6tVAzCFAcGAko7969d_AGt4Pv0pGwY" TargetMode="External"/><Relationship Id="rId45" Type="http://schemas.openxmlformats.org/officeDocument/2006/relationships/hyperlink" Target="https://www.astrodistribuidora.com/colete-refletivo-dia-e-noite-verde-vic71260-vicsa-danny?gad_source=4&amp;gclid=Cj0KCQjw782_BhDjARIsABTv_JAomF9_SgjyedFUfuo1psgZ-V76ClSDBEsgP3MkiwakrdQsx6WBvUkaAjnUEALw_wcB" TargetMode="External"/><Relationship Id="rId66" Type="http://schemas.openxmlformats.org/officeDocument/2006/relationships/hyperlink" Target="https://portal.tce.rs.gov.br/aplicprod/f?p=50500:10:::NO:10:P10_ID_LICITACAO,P10_PAG_RETORNO:1292980,19&amp;cs=1jDmAnFRPm8k5407x7W-MIgbftRY" TargetMode="External"/><Relationship Id="rId87" Type="http://schemas.openxmlformats.org/officeDocument/2006/relationships/hyperlink" Target="https://www.solusegepi.com.br/produto/oculos-de-protecao-rio-de-janeiro-polifer-incolor-com-ajuste-ca-34082/?gad_source=1&amp;gclid=CjwKCAjwwe2_BhBEEiwAM1I7sd6JGOE_6eKysTyQAOrw5OUsGzMTLLUDnspND2-1dIAg6BR_znkJhBoCIKsQAvD_BwE" TargetMode="External"/><Relationship Id="rId110" Type="http://schemas.openxmlformats.org/officeDocument/2006/relationships/hyperlink" Target="https://www.biaartslembrancinha.com.br/brindes/garrafas-e-squeezes/squeeze-garrafa-inox-personalizada-1-litro-m8200-brinde-personalizado?srsltid=AfmBOoqhqevx8rs2iMemdOkR430twjLyJ3JtJNlBRSbZmtSaVzSyC1biGnM" TargetMode="External"/><Relationship Id="rId115" Type="http://schemas.openxmlformats.org/officeDocument/2006/relationships/hyperlink" Target="https://www.lojadomecanico.com.br/produto/613663/37/797/balanca-checkout-1531kgx510g-280x330x73mm-ramuza-1247" TargetMode="External"/><Relationship Id="rId131" Type="http://schemas.openxmlformats.org/officeDocument/2006/relationships/hyperlink" Target="https://www.dpaschoal.com.br/pneu-westlake-205-60r15-tl-z-108-wl-91h/p?idsku=1925466&amp;region_id=dnRleDo5MTk4OTAwMA&amp;gad_source=1&amp;gad_campaignid=19153888242&amp;gbraid=0AAAAADpcpxNDZ2rfdGhNVCwTu7p3nrjUM&amp;gclid=CjwKCAjwuIbBBhBvEiwAsNypvWDy7q9XonqQ4WQpDbnkuqzCx5gYx" TargetMode="External"/><Relationship Id="rId136" Type="http://schemas.openxmlformats.org/officeDocument/2006/relationships/hyperlink" Target="https://www.ciapneus.com.br/pneu-235-75r17-5-aro-17-5-xbri-ecoplus-c2-18pr-tl-143-141j?utm_source=google&amp;utm_medium=Shopping&amp;utm_campaign=pneu-235-75r17-5-aro-17-5-xbri-ecoplus-c2-18pr-tl-143-141j&amp;inStock&amp;gad_source=4&amp;gad_campaignid=21292405603&amp;gbraid=0AA" TargetMode="External"/><Relationship Id="rId157" Type="http://schemas.openxmlformats.org/officeDocument/2006/relationships/hyperlink" Target="https://loja.itrsa.com.br/produtos/oleo-para-sistemas-hidraulicos-aw-68-mineral-20-litros/?pf=gs&amp;variant=1089654048&amp;gad_source=1&amp;gclid=Cj0KCQjw2N2_BhCAARIsAK4pEkWOlJfJvOJxhqvseEMJ0YwDzEVCAgilj8TBCSjNhUuXeVbCGIZXIEQaAhBEEALw_wcB" TargetMode="External"/><Relationship Id="rId178" Type="http://schemas.openxmlformats.org/officeDocument/2006/relationships/hyperlink" Target="https://portal.tce.rs.gov.br/aplicprod/f?p=50500:10:::NO:10:P10_ID_LICITACAO,P10_PAG_RETORNO:1310212,19&amp;cs=1mlMQYbAl2GUbWIw12wfBn8XHNic" TargetMode="External"/><Relationship Id="rId61" Type="http://schemas.openxmlformats.org/officeDocument/2006/relationships/hyperlink" Target="https://portal.tce.rs.gov.br/aplicprod/f?p=50500:10:::NO:10:P10_ID_LICITACAO,P10_PAG_RETORNO:1193531,19&amp;cs=1QIdI2ylEJ6wWfK50sgXcbviSQQ8" TargetMode="External"/><Relationship Id="rId82" Type="http://schemas.openxmlformats.org/officeDocument/2006/relationships/hyperlink" Target="https://www.epipremium.com.br/protecao-facial/oculos/oculos-de-protecao-leopardo-lente-cinza-kalipso-c-a-11268?gad_source=1&amp;gclid=CjwKCAjwwe2_BhBEEiwAM1I7sfTAotQerfLEqwRBVs7b4WgpUbHPEtBeUPXBJuhr6-8mDd1QYI50WhoCFxIQAvD_BwE" TargetMode="External"/><Relationship Id="rId152" Type="http://schemas.openxmlformats.org/officeDocument/2006/relationships/hyperlink" Target="https://www.brunocar.com.br/litro-oleo-cambio-diferencial-80w90-bardahl-1-litro?utm_source=Site&amp;utm_medium=GoogleShopping&amp;utm_campaign=IntegracaoGoogle_KGS&amp;srsltid=AfmBOor_qKv1Y0nP93bsuBVwaXtJJ1kKx2At5qVKO6DyLuKSSYZTD8opNU0" TargetMode="External"/><Relationship Id="rId173" Type="http://schemas.openxmlformats.org/officeDocument/2006/relationships/hyperlink" Target="https://portal.tce.rs.gov.br/aplicprod/f?p=50500:10:::NO:10:P10_ID_LICITACAO,P10_PAG_RETORNO:1310212,19&amp;cs=1mlMQYbAl2GUbWIw12wfBn8XHNic" TargetMode="External"/><Relationship Id="rId19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14" Type="http://schemas.openxmlformats.org/officeDocument/2006/relationships/hyperlink" Target="https://www.lojalinklab.com.br/plasticos/bombona-graduada/bombona-especifica-de-produtos-com-torneira?variant_id=675&amp;parceiro=1142&amp;gad_source=1&amp;gclid=CjwKCAjw--K_BhB5EiwAuwYoyviDFIf3OBpPgNp6dLP1GgFeuFPqxWCAc2zKSkkm7UnKMt18Xxid_RoCqIMQAvD_BwE" TargetMode="External"/><Relationship Id="rId30" Type="http://schemas.openxmlformats.org/officeDocument/2006/relationships/hyperlink" Target="https://www.zengouniformes.com.br/camiseta-pv-gola-redonda-manga-longa-com-faixa-refletiva-verde?utm_source=Site&amp;utm_medium=GoogleMerchant&amp;utm_campaign=GoogleMerchant&amp;sku=VCAMPV-ML-CFV-GM&amp;srsltid=AfmBOoqo28NkPimZexYtV2vkOvo9r0MFXz2nKH7WUUf8wG2uvnu_64VeDLM" TargetMode="External"/><Relationship Id="rId35" Type="http://schemas.openxmlformats.org/officeDocument/2006/relationships/hyperlink" Target="https://www.uniformesrubensfilho.com.br/kit-20-camiseta-manga-curta-faixa-refletiva-personalizadas/" TargetMode="External"/><Relationship Id="rId56" Type="http://schemas.openxmlformats.org/officeDocument/2006/relationships/hyperlink" Target="https://www.rcoessencias.com.br/todas-as-categorias/plastico/saboneteiras/frasco-pet-500ml-cacula-c-valvula-pump?parceiro=2074&amp;gad_source=1&amp;gclid=CjwKCAjwwe2_BhBEEiwAM1I7sdLNi6r5-Rx52IbWjqxQm-737JtF-hCsmgUr_6hQG0vmTp105LItNBoCnMkQAvD_BwE&amp;variant_id=4225" TargetMode="External"/><Relationship Id="rId77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100" Type="http://schemas.openxmlformats.org/officeDocument/2006/relationships/hyperlink" Target="https://cesconstrucao.com.br/saco-p-entulho-de-rafia-55x75cm.html?srsltid=AfmBOorVbXLxxCAIvX6AH7q4bhev9Li8_C6wdFdyv321zlZBEwtwVzGpG3w" TargetMode="External"/><Relationship Id="rId105" Type="http://schemas.openxmlformats.org/officeDocument/2006/relationships/hyperlink" Target="https://www.epiemro.com.br/sapato-conforto-amarrar-bidensidade-sv60-sem-bico-ca-4642-108460-4" TargetMode="External"/><Relationship Id="rId126" Type="http://schemas.openxmlformats.org/officeDocument/2006/relationships/hyperlink" Target="https://portal.tce.rs.gov.br/aplicprod/f?p=50500:10:::NO:10:P10_ID_LICITACAO,P10_PAG_RETORNO:1215530,19&amp;cs=1DMPBun2mv5ERMrCBW7jcCIRzxoo" TargetMode="External"/><Relationship Id="rId147" Type="http://schemas.openxmlformats.org/officeDocument/2006/relationships/hyperlink" Target="https://www.lojadomecanico.com.br/produto/266558/32/250/oleo-lubrificante-mineral-15w40-truck-ci-4-1l-para-motores-a-diesel-radnaq-mo22-01" TargetMode="External"/><Relationship Id="rId168" Type="http://schemas.openxmlformats.org/officeDocument/2006/relationships/hyperlink" Target="https://portal.tce.rs.gov.br/aplicprod/f?p=50500:10:::NO:10:P10_ID_LICITACAO,P10_PAG_RETORNO:1311677,19&amp;cs=1mFEIwcXaTFcHe8GmMPBpv207e2E" TargetMode="External"/><Relationship Id="rId8" Type="http://schemas.openxmlformats.org/officeDocument/2006/relationships/hyperlink" Target="https://loja.casadosacodelixo.com.br/saco-de-lixo-100-litros-colorido?srsltid=AfmBOoqC7MVNcmk6UcBGY6y5AU6qIzYl30IeiGSre682fgj-hveod0oF" TargetMode="External"/><Relationship Id="rId51" Type="http://schemas.openxmlformats.org/officeDocument/2006/relationships/hyperlink" Target="https://www.lojadoepi.com.br/creme-de-protecao-help-hand-grupo-iii-oleo-agua-e-pintura-bisnaga-200g-henlau-ca-9611-63-p2169?utm_source=google&amp;utm_medium=cpc&amp;utm_campaign=lojavirtual&amp;gad_source=1&amp;gclid=Cj0KCQjw782_BhDjARIsABTv_JDxqIbQp_2x2NAgaf0BWByvSE0-65" TargetMode="External"/><Relationship Id="rId72" Type="http://schemas.openxmlformats.org/officeDocument/2006/relationships/hyperlink" Target="https://www.plenobras.com.br/646a5a8bd496504d21df4e03/luva-poliuretanopoliester-tatil-smart-tamanho-10-(gg)-preta-ca-46932-volk?gad_source=1&amp;gclid=Cj0KCQjw782_BhDjARIsABTv_JAzI1W0J67tlZtdqf_vmUoiR8AJL2RQMPZE7453yvZxxn3nrL70ncAaAlhXEALw_wcB" TargetMode="External"/><Relationship Id="rId93" Type="http://schemas.openxmlformats.org/officeDocument/2006/relationships/hyperlink" Target="https://www.bhb.com.br/pacote-de-papel-toalha-interfolhado-20x21cm-600g-globo-premium?srsltid=AfmBOop_wxx-Iqb-LeyQ49tL4A9Nt4sOUI3FWal40EJZAyptFqVtiTz5" TargetMode="External"/><Relationship Id="rId98" Type="http://schemas.openxmlformats.org/officeDocument/2006/relationships/hyperlink" Target="https://portal.tce.rs.gov.br/aplicprod/f?p=50500:10:::NO:10:P10_ID_LICITACAO,P10_PAG_RETORNO:1185740,19&amp;cs=1mes7KzpKv9zPB78J1pyWH1Yqbds" TargetMode="External"/><Relationship Id="rId121" Type="http://schemas.openxmlformats.org/officeDocument/2006/relationships/hyperlink" Target="https://portal.tce.rs.gov.br/aplicprod/f?p=50500:10:::NO:10:P10_ID_LICITACAO,P10_PAG_RETORNO:1205102,19&amp;cs=1AYnd0sX3ywHz5jc05qWnQWRVDFU" TargetMode="External"/><Relationship Id="rId142" Type="http://schemas.openxmlformats.org/officeDocument/2006/relationships/hyperlink" Target="https://www.pneubest.com.br/produto/pneu-155r12c-8pr-88-86q-rw-05-roadwing?utm_source=Google%20Shopping&amp;utm_medium=Google%20Shopping&amp;utm_campaign=Google%20Shopping&amp;gad_source=1&amp;gbraid=0AAAAADNIR5InYW9lQ5HfkEfehPc05pQZ2&amp;gclid=Cj0KCQjwzYLABhD4ARIsALySuCQ9s2" TargetMode="External"/><Relationship Id="rId163" Type="http://schemas.openxmlformats.org/officeDocument/2006/relationships/hyperlink" Target="https://portal.tce.rs.gov.br/aplicprod/f?p=50500:10:::NO:10:P10_ID_LICITACAO,P10_PAG_RETORNO:1284516,19&amp;cs=1JXhOTglN2yya_tkkIA3giYEMgMw" TargetMode="External"/><Relationship Id="rId3" Type="http://schemas.openxmlformats.org/officeDocument/2006/relationships/hyperlink" Target="https://portal.tce.rs.gov.br/aplicprod/f?p=50500:10:::NO:10:P10_ID_LICITACAO,P10_PAG_RETORNO:1308852,19&amp;cs=1ZAsDcPITd_k7lKbNDeSkgjBZsw8" TargetMode="External"/><Relationship Id="rId25" Type="http://schemas.openxmlformats.org/officeDocument/2006/relationships/hyperlink" Target="https://portal.tce.rs.gov.br/aplicprod/f?p=50500:10:::NO:10:P10_ID_LICITACAO,P10_PAG_RETORNO:1279445,19&amp;cs=160IvwSBvP1tGlIOoBGQhPT6PT7M" TargetMode="External"/><Relationship Id="rId46" Type="http://schemas.openxmlformats.org/officeDocument/2006/relationships/hyperlink" Target="https://portal.tce.rs.gov.br/aplicprod/f?p=50500:10:::NO:10:P10_ID_LICITACAO,P10_PAG_RETORNO:1249585,19&amp;cs=1AL0YcvBRWSq1hg28xfdxEoQ4xzY" TargetMode="External"/><Relationship Id="rId67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116" Type="http://schemas.openxmlformats.org/officeDocument/2006/relationships/hyperlink" Target="https://www.7lab.com.br/equipamentos-para-laboratorio/balanca-de-laboratorio/balanca-digital-plataforma-150kg-bel-modelo-tx-1505?parceiro=5060&amp;variant_id=989&amp;campaignid=21942086871&amp;adgroupid=169000587257&amp;keyword=&amp;network=g&amp;utm_medium=cpc&amp;gad_source=4&amp;gad_" TargetMode="External"/><Relationship Id="rId137" Type="http://schemas.openxmlformats.org/officeDocument/2006/relationships/hyperlink" Target="https://www.dpaschoal.com.br/pneu-aro-17-5-xbri-ecoplus-c2-235-75r17-5-143-141j/p?idsku=1403001&amp;region_id=dnRleDo5MTk4OTAwMA&amp;gad_source=1&amp;gbraid=0AAAAADpcpxPXsmbI-Ir_-T5iy_7dYLvf5&amp;gclid=Cj0KCQjwzrzABhD8ARIsANlSWNOE38O8OHWOofuB9Mx7pRSsoO4YvRjJqVFPTpm7kHuWI" TargetMode="External"/><Relationship Id="rId158" Type="http://schemas.openxmlformats.org/officeDocument/2006/relationships/hyperlink" Target="https://www.atacadaodebaterias.com.br/produto/oleo-ipir-ipitur-aw-68-hlp-bd-20lts?utm_source=Google%20Shopping&amp;utm_medium=Google%20Shopping&amp;utm_campaign=Google%20Shopping&amp;gad_source=4&amp;gclid=Cj0KCQjw2N2_BhCAARIsAK4pEkUOOfJPfK12sI-0rPcGOcqLsVQnXpRbKyB_u1vSK" TargetMode="External"/><Relationship Id="rId20" Type="http://schemas.openxmlformats.org/officeDocument/2006/relationships/hyperlink" Target="https://portal.tce.rs.gov.br/aplicprod/f?p=50500:10:::NO:10:P10_ID_LICITACAO,P10_PAG_RETORNO,F50500_CD_ORGAO:1172945,14,50000&amp;cs=16m4A-i455_eZIUg_kmjB5TRmJYQ" TargetMode="External"/><Relationship Id="rId41" Type="http://schemas.openxmlformats.org/officeDocument/2006/relationships/hyperlink" Target="https://palaciodasferramentas.com.br/carrinho-para-carga-200-kg-pneu-com-camara-ccp200-fercar?srsltid=AfmBOordIeJSiZgExJC8v8ib1N9t7u_Pax97-DshocXJxxVOKwPP90D5hus" TargetMode="External"/><Relationship Id="rId62" Type="http://schemas.openxmlformats.org/officeDocument/2006/relationships/hyperlink" Target="https://portal.tce.rs.gov.br/aplicprod/f?p=50500:10:::NO:10:P10_ID_LICITACAO,P10_PAG_RETORNO:1179195,19&amp;cs=1c0-1fnsewtOT0BQE6x68ccYPsHc" TargetMode="External"/><Relationship Id="rId83" Type="http://schemas.openxmlformats.org/officeDocument/2006/relationships/hyperlink" Target="https://portal.tce.rs.gov.br/aplicprod/f?p=50500:10:::NO:10:P10_ID_LICITACAO,P10_PAG_RETORNO:1262853,19&amp;cs=1wBerMBRUzZo-RzrxVc674Wcf88Y" TargetMode="External"/><Relationship Id="rId88" Type="http://schemas.openxmlformats.org/officeDocument/2006/relationships/hyperlink" Target="https://www.jaledistribuidora.com.br/utilidades/pa-para-lixo/pa-lixo-dalcin-articulavel-com-cabo-90m" TargetMode="External"/><Relationship Id="rId111" Type="http://schemas.openxmlformats.org/officeDocument/2006/relationships/hyperlink" Target="https://www.connectutilidadesstore.com.br/MLB-4978055440-garrafa-termica-aco-inox-316-squeeze-academia-sport-alca-1l-_JM?srsltid=AfmBOoodOx95skJCOGSP3Rh4tFV4CBJJq26XEk__o0HnGraeEA9I_C1WRvU" TargetMode="External"/><Relationship Id="rId132" Type="http://schemas.openxmlformats.org/officeDocument/2006/relationships/hyperlink" Target="https://www.pneubest.com.br/produto/pneu-205-60r15-91h-dk558-alfamotors?utm_source=Google%20Shopping&amp;utm_medium=Google%20Shopping&amp;utm_campaign=Google%20Shopping&amp;gad_source=4&amp;gad_campaignid=17338707013&amp;gbraid=0AAAAADNIR5Io5Sl2_yJMhYkmrsFvMP9uh&amp;gclid=CjwKCA" TargetMode="External"/><Relationship Id="rId153" Type="http://schemas.openxmlformats.org/officeDocument/2006/relationships/hyperlink" Target="https://www.msam.com.br/produto/meritor-75w901l-oleo-75w90-sintetico-1l-meritor-170056" TargetMode="External"/><Relationship Id="rId174" Type="http://schemas.openxmlformats.org/officeDocument/2006/relationships/hyperlink" Target="https://portal.tce.rs.gov.br/aplicprod/f?p=50500:10:::NO:10:P10_ID_LICITACAO,P10_PAG_RETORNO:1317121,19&amp;cs=1MVxFxqcMoFJXy9otAlJOFzexckI" TargetMode="External"/><Relationship Id="rId179" Type="http://schemas.openxmlformats.org/officeDocument/2006/relationships/hyperlink" Target="https://portal.tce.rs.gov.br/aplicprod/f?p=50500:10:::NO:10:P10_ID_LICITACAO,P10_PAG_RETORNO:1273658,19&amp;cs=1_h5J1rGE6LvBJhp1uWLln6_CV-Q" TargetMode="External"/><Relationship Id="rId15" Type="http://schemas.openxmlformats.org/officeDocument/2006/relationships/hyperlink" Target="https://www.bclab.com.br/consumiveis/bombonas/bombona-de-plastico-graduada-com-torneira-nalgon?variant_id=1775&amp;parceiro=3&amp;gad_source=1&amp;gclid=CjwKCAjw--K_BhB5EiwAuwYoyuRo1fCgJhTYS923aGw0bSsUkesdOjKgq9S00ObGYD8ClOSKOU83ChoCcg4QAvD_BwE" TargetMode="External"/><Relationship Id="rId36" Type="http://schemas.openxmlformats.org/officeDocument/2006/relationships/hyperlink" Target="https://www.copalparafusos.com.br/camiseta-cinza-manga-curta-com-refletivo-gg?srsltid=AfmBOoqZA0a6FBGmle7-T6Lhv74RA2w7dcTDu2lY5QcMaAwCf8qGQZOe" TargetMode="External"/><Relationship Id="rId57" Type="http://schemas.openxmlformats.org/officeDocument/2006/relationships/hyperlink" Target="https://www.triadelog.com.br/saboneteira-cvalvula-pump-500ml?utm_source=Site&amp;utm_medium=GoogleMerchant&amp;utm_campaign=GoogleMerchant&amp;utm_source=adwords&amp;utm_medium=%7Badname%7D&amp;utm_campaign=%7Bcampaignname%7D&amp;utm_content=%7Badgroupname%7D&amp;utm_keyword=&amp;utm_ma" TargetMode="External"/><Relationship Id="rId106" Type="http://schemas.openxmlformats.org/officeDocument/2006/relationships/hyperlink" Target="https://www.essenciabrasileira.com.br/produto/cama-inhouse-serragem-fina-po-de-serra-plantas-animais-3kg-2/?gad_source=4&amp;gbraid=0AAAAADqWbqb3ohjJ98fM6OgzHGURZMR-c&amp;gclid=Cj0KCQjw_JzABhC2ARIsAPe3ynrxEzM5RU355sgN5E1aq4ZmJtIWxnC1_H-F4KhW37tSQhOYNc3Xc2EaAgmuEA" TargetMode="External"/><Relationship Id="rId127" Type="http://schemas.openxmlformats.org/officeDocument/2006/relationships/hyperlink" Target="https://portal.tce.rs.gov.br/aplicprod/f?p=50500:10:::NO:10:P10_ID_LICITACAO,P10_PAG_RETORNO:1281048,19&amp;cs=1ljp7eE5UVajexBeJyHdKWD_j23Q" TargetMode="External"/><Relationship Id="rId10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31" Type="http://schemas.openxmlformats.org/officeDocument/2006/relationships/hyperlink" Target="https://www.atacadaomalhas.com.br/15preta?utm_source=Site&amp;utm_medium=GoogleMerchant&amp;utm_campaign=GoogleMerchant&amp;sku=marinho-gg&amp;gad_source=1&amp;gad_campaignid=22344578332&amp;gbraid=0AAAAADiFf4oFf6llghXvkTrT7hMsikTwz&amp;gclid=Cj0KCQjwlMfABhCWARIsADGXdy8KPf9us85TO6A_" TargetMode="External"/><Relationship Id="rId52" Type="http://schemas.openxmlformats.org/officeDocument/2006/relationships/hyperlink" Target="https://portal.tce.rs.gov.br/aplicprod/f?p=50500:10:::NO:10:P10_ID_LICITACAO,P10_PAG_RETORNO:1262357,19&amp;cs=1M3j6kQi8j9OpRpG2oIvSCcFXTvQ" TargetMode="External"/><Relationship Id="rId73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78" Type="http://schemas.openxmlformats.org/officeDocument/2006/relationships/hyperlink" Target="https://www.extinsolda.com.br/macacao-brim-manga-longa-uniforme-profissional-tamg-82277-1" TargetMode="External"/><Relationship Id="rId94" Type="http://schemas.openxmlformats.org/officeDocument/2006/relationships/hyperlink" Target="https://portal.tce.rs.gov.br/aplicprod/f?p=50500:10:::NO:10:P10_ID_LICITACAO,P10_PAG_RETORNO:1279445,19&amp;cs=160IvwSBvP1tGlIOoBGQhPT6PT7M" TargetMode="External"/><Relationship Id="rId99" Type="http://schemas.openxmlformats.org/officeDocument/2006/relationships/hyperlink" Target="https://portal.tce.rs.gov.br/aplicprod/f?p=50500:10:::NO:10:P10_ID_LICITACAO,P10_PAG_RETORNO:1308852,19&amp;cs=1ZAsDcPITd_k7lKbNDeSkgjBZsw8" TargetMode="External"/><Relationship Id="rId101" Type="http://schemas.openxmlformats.org/officeDocument/2006/relationships/hyperlink" Target="https://www.construirfacil.com.br/saco-de-rafia-75x55-cm/prod-10295631/?srsltid=AfmBOoqtIJoyyRmCWBCDoXBBBeeC8h2tU522R8XJm9rg-Mx-axw8FeFBWLE" TargetMode="External"/><Relationship Id="rId122" Type="http://schemas.openxmlformats.org/officeDocument/2006/relationships/hyperlink" Target="https://portal.tce.rs.gov.br/aplicprod/f?p=50500:10:::NO:10:P10_ID_LICITACAO,P10_PAG_RETORNO:1282476,19&amp;cs=1OEUsuwwARtN763ZtvLTfSHLeP2M" TargetMode="External"/><Relationship Id="rId143" Type="http://schemas.openxmlformats.org/officeDocument/2006/relationships/hyperlink" Target="https://www.ciapneus.com.br/pneu-155r12c-aro-12-sunset-over-cargo-b3-8pr-88-86q?utm_source=google&amp;utm_medium=Shopping&amp;utm_campaign=pneu-155r12c-aro-12-sunset-over-cargo-b3-8pr-88-86q&amp;inStock&amp;gad_source=4&amp;gbraid=0AAAAAqbJaNqijh36yWhhhIGs9aK5ETXbT&amp;gclid=Cj0" TargetMode="External"/><Relationship Id="rId148" Type="http://schemas.openxmlformats.org/officeDocument/2006/relationships/hyperlink" Target="https://www.dpaschoal.com.br/oleo-lubrificante-do-motor-ursa-premium-15w40-tds-ci-sae-20l/p?idsku=7536224&amp;gad_source=4&amp;gclid=Cj0KCQjw2N2_BhCAARIsAK4pEkWOlxF4pwWV8bhwwpVkoYj5Kwqbh2KBhveHV2TCQO5i-o2oQNstaHsaAh7uEALw_wcB" TargetMode="External"/><Relationship Id="rId164" Type="http://schemas.openxmlformats.org/officeDocument/2006/relationships/hyperlink" Target="https://portal.tce.rs.gov.br/aplicprod/f?p=50500:10:::NO:10:P10_ID_LICITACAO,P10_PAG_RETORNO:1320595,19&amp;cs=12IjK_WmlcKUIfe6Bpg7aaZMuBPk" TargetMode="External"/><Relationship Id="rId169" Type="http://schemas.openxmlformats.org/officeDocument/2006/relationships/hyperlink" Target="https://portal.tce.rs.gov.br/aplicprod/f?p=50500:10:::NO:10:P10_ID_LICITACAO,P10_PAG_RETORNO:1234814,19&amp;cs=18MyzUqHCmEjc6wZ0fsnJ46C9mtw" TargetMode="External"/><Relationship Id="rId4" Type="http://schemas.openxmlformats.org/officeDocument/2006/relationships/hyperlink" Target="https://portal.tce.rs.gov.br/aplicprod/f?p=50500:10:::NO:10:P10_ID_LICITACAO,P10_PAG_RETORNO:1302267,19&amp;cs=1K_NDO_F4gQWR_Li9KOyrtjyj1V0" TargetMode="External"/><Relationship Id="rId9" Type="http://schemas.openxmlformats.org/officeDocument/2006/relationships/hyperlink" Target="https://hddistribuidora.com/produto/saco-lixo-100-l-amar-75x090/" TargetMode="External"/><Relationship Id="rId26" Type="http://schemas.openxmlformats.org/officeDocument/2006/relationships/hyperlink" Target="https://www.lfmaquinaseferramentas.com.br/botina-de-seguranca-elastico-com-bico-de-aco-marluvas-preta/p?idsku=126195&amp;gad_source=1&amp;gclid=Cj0KCQjw782_BhDjARIsABTv_JA4zgTR0s9xuXNb4_cn0tSclDGedbKiHDOY1zIts1AGqfJYCKKKoFAaAsrQEALw_wcB" TargetMode="External"/><Relationship Id="rId47" Type="http://schemas.openxmlformats.org/officeDocument/2006/relationships/hyperlink" Target="https://portal.tce.rs.gov.br/aplicprod/f?p=50500:10:::NO:10:P10_ID_LICITACAO,P10_PAG_RETORNO:1194182,19&amp;cs=1HDWBr13kbCxXzDSKUGagSZ43lEM" TargetMode="External"/><Relationship Id="rId68" Type="http://schemas.openxmlformats.org/officeDocument/2006/relationships/hyperlink" Target="https://www.extinsolda.com.br/luva-1012-rubber-super-safety-ca-34370-tamanho-10-83477-1" TargetMode="External"/><Relationship Id="rId89" Type="http://schemas.openxmlformats.org/officeDocument/2006/relationships/hyperlink" Target="https://www.maravilhasdolar.com/pa-para-lixo-de-plastico-com-cabo-nitron-34067-p4840?v=4841" TargetMode="External"/><Relationship Id="rId112" Type="http://schemas.openxmlformats.org/officeDocument/2006/relationships/hyperlink" Target="https://www.jaledistribuidora.com.br/utilidades/vassouras/vassoura-nylon-clean-sem-cabo?gad_source=4&amp;gbraid=0AAAAABQgY1a9mZhOnUCIsSMKKwK92YHvy&amp;gclid=Cj0KCQjw_JzABhC2ARIsAPe3ynr_f670IIYBwhx_9T0r53ke93iiHtZpPJGnMBTxD8mt-Kyg8pR-ufgaAhQvEALw_wcB" TargetMode="External"/><Relationship Id="rId133" Type="http://schemas.openxmlformats.org/officeDocument/2006/relationships/hyperlink" Target="https://www.pneubest.com.br/produto/pneu-xbri-215-75r17-5-ecoway-liso?utm_source=Google%20Shopping&amp;utm_medium=Google%20Shopping&amp;utm_campaign=Google%20Shopping&amp;gad_source=4&amp;gad_campaignid=17338707013&amp;gbraid=0AAAAADNIR5Io5Sl2_yJMhYkmrsFvMP9uh&amp;gclid=CjwKCAjw" TargetMode="External"/><Relationship Id="rId154" Type="http://schemas.openxmlformats.org/officeDocument/2006/relationships/hyperlink" Target="https://www.ciadiesel.com.br/filtro-e-lubrificante/varetas-de-nivel-de-oleo-de-motor-para-veiculos/oleo-75w90-meritor-sintetico-api-gl5-cambio-eixo-diferencial?srsltid=AfmBOorPA_CPofn254WxBgRdjGEO1PR7XqHQWYqFT-1CW3UA7T_R5XyD" TargetMode="External"/><Relationship Id="rId175" Type="http://schemas.openxmlformats.org/officeDocument/2006/relationships/hyperlink" Target="https://portal.tce.rs.gov.br/aplicprod/f?p=50500:10:::NO:10:P10_ID_LICITACAO,P10_PAG_RETORNO:1326519,19&amp;cs=1AWwTEk0IjfWkkn5o9_hE1AzaZ08" TargetMode="External"/><Relationship Id="rId16" Type="http://schemas.openxmlformats.org/officeDocument/2006/relationships/hyperlink" Target="https://portal.tce.rs.gov.br/aplicprod/f?p=50500:10:::NO:10:P10_ID_LICITACAO,P10_PAG_RETORNO:1217097,19&amp;cs=1gtVteT78jVPq_SD_-cIFw9y7kQY" TargetMode="External"/><Relationship Id="rId37" Type="http://schemas.openxmlformats.org/officeDocument/2006/relationships/hyperlink" Target="https://portal.tce.rs.gov.br/aplicprod/f?p=50500:10:::NO:10:P10_ID_LICITACAO,P10_PAG_RETORNO:1310262,19&amp;cs=1C9zEN0ODQ6_xuc2o5aAqwyDHvt0" TargetMode="External"/><Relationship Id="rId58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79" Type="http://schemas.openxmlformats.org/officeDocument/2006/relationships/hyperlink" Target="https://portal.tce.rs.gov.br/aplicprod/f?p=50500:10:::NO:10:P10_ID_LICITACAO,P10_PAG_RETORNO:1220422,19&amp;cs=1gdE7VA84mJVwOfSiFyWPYn6TpAg" TargetMode="External"/><Relationship Id="rId102" Type="http://schemas.openxmlformats.org/officeDocument/2006/relationships/hyperlink" Target="https://www.catizani.com.br/ferramentas/acessorios-de-limpeza/saco-linhagem-para-entulho-pr-16235-4085-p3679?srsltid=AfmBOoo6ZLuEC2Ph_uXggTP2Y5w_U_NQdIqNUfmFgtmQmc543NvwM3i-y-E" TargetMode="External"/><Relationship Id="rId123" Type="http://schemas.openxmlformats.org/officeDocument/2006/relationships/hyperlink" Target="https://www.tramontina.com.br/veiculo-utilitario-eletrico-tramontina-elettro-320ce-cesto-grande/79966440.html" TargetMode="External"/><Relationship Id="rId144" Type="http://schemas.openxmlformats.org/officeDocument/2006/relationships/hyperlink" Target="https://www.geniopecas.com.br/oleo-motor-shell-helix-ultra-ect-c2-5w30-100-sintetico-1-lt?utm_source=Site&amp;utm_medium=GoogleMerchant&amp;utm_campaign=GoogleMerchant&amp;srsltid=AfmBOoqlxdZnU32M8PzHGkicM4TsjO8-4W8sMb4Db88CyaWcjYyoRSejusw" TargetMode="External"/><Relationship Id="rId90" Type="http://schemas.openxmlformats.org/officeDocument/2006/relationships/hyperlink" Target="https://www.artlimpbrasil.com.br/pa-de-lixo-com-cabo-longo-64-cm.html?srsltid=AfmBOormZlrLqSfS85XNMq6nyWyXaeZQApKO6HtWXhx6B9J_1LEoS46B" TargetMode="External"/><Relationship Id="rId165" Type="http://schemas.openxmlformats.org/officeDocument/2006/relationships/hyperlink" Target="https://portal.tce.rs.gov.br/aplicprod/f?p=50500:10:::NO:10:P10_ID_LICITACAO,P10_PAG_RETORNO:1305168,19&amp;cs=1HqIuT3aMjwjt8LLc0HVh-hDg1d0" TargetMode="External"/><Relationship Id="rId27" Type="http://schemas.openxmlformats.org/officeDocument/2006/relationships/hyperlink" Target="https://www.astrodistribuidora.com/botina-bidensidade-com-bico-de-aco-11sfb48a-safety-flex-marluvas-ca-43409?srsltid=AfmBOoq55l-a50wF0iGHidg-KSAofrCuy4OHZBapufEdmwwrQPbaJpQy" TargetMode="External"/><Relationship Id="rId48" Type="http://schemas.openxmlformats.org/officeDocument/2006/relationships/hyperlink" Target="https://portal.tce.rs.gov.br/aplicprod/f?p=50500:10:::NO:10:P10_ID_LICITACAO,P10_PAG_RETORNO:1331336,19&amp;cs=1mkmhFvYn8ABG7SjJ3r6n5xnVwEQ" TargetMode="External"/><Relationship Id="rId69" Type="http://schemas.openxmlformats.org/officeDocument/2006/relationships/hyperlink" Target="https://normatecepi.com.br/produto/luva-rubber-ca-34370" TargetMode="External"/><Relationship Id="rId113" Type="http://schemas.openxmlformats.org/officeDocument/2006/relationships/hyperlink" Target="https://www.maravilhasdolar.com/vassoura-novica-original-bettanin-6467-p18065?tsid=16&amp;gad_source=4&amp;gbraid=0AAAAADn66GkKpD69nEfKGCVU2Lmi69PJH&amp;gclid=Cj0KCQjw_JzABhC2ARIsAPe3ynqrAnBVipm6F1dwA6pF7LfL1pNrnRhoEXtJrlLBL6gb8p8oDIy7OB4aAsIjEALw_wcB" TargetMode="External"/><Relationship Id="rId134" Type="http://schemas.openxmlformats.org/officeDocument/2006/relationships/hyperlink" Target="https://www.pneufree.com.br/pneu/pneu-215-75r17-5-16-lonas-135-133l-rh621-roadx" TargetMode="External"/><Relationship Id="rId80" Type="http://schemas.openxmlformats.org/officeDocument/2006/relationships/hyperlink" Target="https://www.futfanatics.com.br/meiao-umbro-classic-branco?parceiro=2934&amp;variant_id=1665189" TargetMode="External"/><Relationship Id="rId155" Type="http://schemas.openxmlformats.org/officeDocument/2006/relationships/hyperlink" Target="https://www.dfautopecas.com.br/geral/oleo-cambio-sintetico-toyota-hilux-3-0-diferencial-ranger-volkswagem-caminhao-onibus-com-cambio?srsltid=AfmBOopSP2AK3SMVVXwS_AYAwUjBOacop3dTh6EnaBvgi-bMl7KuVWcF" TargetMode="External"/><Relationship Id="rId176" Type="http://schemas.openxmlformats.org/officeDocument/2006/relationships/hyperlink" Target="https://portal.tce.rs.gov.br/aplicprod/f?p=50500:10:::NO:10:P10_ID_LICITACAO,P10_PAG_RETORNO:1320036,19&amp;cs=1whJ-HOzEWIFp-1LC2Sv6GrdhbLI" TargetMode="External"/><Relationship Id="rId17" Type="http://schemas.openxmlformats.org/officeDocument/2006/relationships/hyperlink" Target="https://portal.tce.rs.gov.br/aplicprod/f?p=50500:10:::NO:10:P10_ID_LICITACAO,P10_PAG_RETORNO:1264560,19&amp;cs=1jL9BcTxiRESaf9PJ7rHCPKfv1Aw" TargetMode="External"/><Relationship Id="rId38" Type="http://schemas.openxmlformats.org/officeDocument/2006/relationships/hyperlink" Target="https://portal.tce.rs.gov.br/aplicprod/f?p=50500:10:::NO:10:P10_ID_LICITACAO,P10_PAG_RETORNO:1304353,19&amp;cs=1G-ayhtqQijvVn7K2xpaMVGnMgZY" TargetMode="External"/><Relationship Id="rId59" Type="http://schemas.openxmlformats.org/officeDocument/2006/relationships/hyperlink" Target="https://portal.tce.rs.gov.br/aplicprod/f?p=50500:10:::NO:10:P10_ID_LICITACAO,P10_PAG_RETORNO:1193948,19&amp;cs=1t9l_rRf8yeitj1XUveW6SFJzu6A" TargetMode="External"/><Relationship Id="rId103" Type="http://schemas.openxmlformats.org/officeDocument/2006/relationships/hyperlink" Target="https://www.higienize.com/epi/sapato-de-protecao-de-amarrar-certificacao-ca-4642?srsltid=AfmBOortOG8bUaXsMcMj7ajg-DYysTYguOjgBjAJSD1KTMDm4xQaAWcF" TargetMode="External"/><Relationship Id="rId124" Type="http://schemas.openxmlformats.org/officeDocument/2006/relationships/hyperlink" Target="https://loja.powerbear.com.br/produto/contentor-de-lixo-de-1000-litros-jsn/" TargetMode="External"/><Relationship Id="rId70" Type="http://schemas.openxmlformats.org/officeDocument/2006/relationships/hyperlink" Target="https://portal.tce.rs.gov.br/aplicprod/f?p=50500:10:::NO:10:P10_ID_LICITACAO,P10_PAG_RETORNO,F50500_CD_ORGAO:1184538,14,67200&amp;cs=1J9YMuYESXrmYVfis1fkny-CdPUI" TargetMode="External"/><Relationship Id="rId91" Type="http://schemas.openxmlformats.org/officeDocument/2006/relationships/hyperlink" Target="https://portal.tce.rs.gov.br/aplicprod/f?p=50500:10:::NO:10:P10_ID_LICITACAO,P10_PAG_RETORNO:1147309,19&amp;cs=183ynjrnPGbJHxLWuifvMOARXJlg" TargetMode="External"/><Relationship Id="rId145" Type="http://schemas.openxmlformats.org/officeDocument/2006/relationships/hyperlink" Target="https://www.fastcarbrasil.com.br/oleo-de-motor-original-ford-motorcraft-5w30-100-sintetico" TargetMode="External"/><Relationship Id="rId166" Type="http://schemas.openxmlformats.org/officeDocument/2006/relationships/hyperlink" Target="https://portal.tce.rs.gov.br/aplicprod/f?p=50500:10:::NO:10:P10_ID_LICITACAO,P10_PAG_RETORNO,F50500_CD_ORGAO:1246651,14,59900&amp;cs=1np937mukNByW_SXT6Qfz8BkonuM" TargetMode="External"/><Relationship Id="rId1" Type="http://schemas.openxmlformats.org/officeDocument/2006/relationships/hyperlink" Target="https://portal.tce.rs.gov.br/aplicprod/f?p=50500:10:::NO:10:P10_ID_LICITACAO,P10_PAG_RETORNO:1263893,19&amp;cs=11tjJ1NVinTMtpTcyR73BcoPua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26"/>
  <sheetViews>
    <sheetView showGridLines="0" tabSelected="1" zoomScale="110" zoomScaleNormal="110" workbookViewId="0">
      <selection activeCell="B15" sqref="B15:I20"/>
    </sheetView>
  </sheetViews>
  <sheetFormatPr defaultColWidth="8.7109375" defaultRowHeight="15" customHeight="1" x14ac:dyDescent="0.25"/>
  <cols>
    <col min="1" max="1" width="8.5703125" customWidth="1"/>
    <col min="2" max="2" width="10.140625" customWidth="1"/>
    <col min="4" max="4" width="40.7109375" customWidth="1"/>
    <col min="5" max="5" width="19.5703125" customWidth="1"/>
    <col min="6" max="6" width="13.140625" customWidth="1"/>
    <col min="7" max="7" width="14.28515625" customWidth="1"/>
    <col min="8" max="8" width="15.140625" customWidth="1"/>
    <col min="9" max="9" width="16.42578125" customWidth="1"/>
    <col min="11" max="11" width="15.42578125" customWidth="1"/>
    <col min="17" max="17" width="11.5703125" customWidth="1"/>
  </cols>
  <sheetData>
    <row r="2" spans="1:11" ht="15.75" x14ac:dyDescent="0.25">
      <c r="A2" s="1"/>
      <c r="B2" s="683" t="s">
        <v>0</v>
      </c>
      <c r="C2" s="683"/>
      <c r="D2" s="683"/>
      <c r="E2" s="683"/>
      <c r="F2" s="683"/>
      <c r="G2" s="683"/>
      <c r="H2" s="683"/>
      <c r="I2" s="683"/>
    </row>
    <row r="3" spans="1:11" x14ac:dyDescent="0.25">
      <c r="B3" s="689"/>
      <c r="C3" s="689"/>
      <c r="D3" s="689"/>
      <c r="E3" s="689"/>
      <c r="F3" s="689"/>
      <c r="G3" s="689"/>
      <c r="H3" s="689"/>
      <c r="I3" s="689"/>
    </row>
    <row r="4" spans="1:11" ht="60.75" customHeight="1" x14ac:dyDescent="0.25">
      <c r="B4" s="2" t="s">
        <v>1</v>
      </c>
      <c r="C4" s="690" t="s">
        <v>2</v>
      </c>
      <c r="D4" s="690"/>
      <c r="E4" s="690"/>
      <c r="F4" s="691" t="s">
        <v>3</v>
      </c>
      <c r="G4" s="691"/>
      <c r="H4" s="692" t="s">
        <v>4</v>
      </c>
      <c r="I4" s="692"/>
    </row>
    <row r="5" spans="1:11" x14ac:dyDescent="0.25">
      <c r="B5" s="686"/>
      <c r="C5" s="686"/>
      <c r="D5" s="686"/>
      <c r="E5" s="686"/>
      <c r="F5" s="686"/>
      <c r="G5" s="686"/>
      <c r="H5" s="686"/>
      <c r="I5" s="686"/>
    </row>
    <row r="6" spans="1:11" x14ac:dyDescent="0.25">
      <c r="B6" s="687"/>
      <c r="C6" s="687"/>
      <c r="D6" s="687"/>
      <c r="E6" s="687"/>
      <c r="F6" s="687"/>
      <c r="G6" s="687"/>
      <c r="H6" s="687"/>
      <c r="I6" s="687"/>
    </row>
    <row r="7" spans="1:11" x14ac:dyDescent="0.25">
      <c r="B7" s="672" t="s">
        <v>5</v>
      </c>
      <c r="C7" s="672"/>
      <c r="D7" s="672"/>
      <c r="E7" s="672"/>
      <c r="F7" s="672"/>
      <c r="G7" s="672"/>
      <c r="H7" s="672"/>
      <c r="I7" s="672"/>
    </row>
    <row r="8" spans="1:11" x14ac:dyDescent="0.25">
      <c r="B8" s="4" t="s">
        <v>6</v>
      </c>
      <c r="C8" s="594" t="s">
        <v>7</v>
      </c>
      <c r="D8" s="594"/>
      <c r="E8" s="594"/>
      <c r="F8" s="594"/>
      <c r="G8" s="594"/>
      <c r="H8" s="688" t="s">
        <v>8</v>
      </c>
      <c r="I8" s="688"/>
    </row>
    <row r="9" spans="1:11" x14ac:dyDescent="0.25">
      <c r="B9" s="4" t="s">
        <v>9</v>
      </c>
      <c r="C9" s="594" t="s">
        <v>10</v>
      </c>
      <c r="D9" s="594"/>
      <c r="E9" s="594"/>
      <c r="F9" s="594"/>
      <c r="G9" s="594"/>
      <c r="H9" s="688" t="s">
        <v>11</v>
      </c>
      <c r="I9" s="688"/>
    </row>
    <row r="10" spans="1:11" x14ac:dyDescent="0.25">
      <c r="B10" s="4" t="s">
        <v>12</v>
      </c>
      <c r="C10" s="594" t="s">
        <v>13</v>
      </c>
      <c r="D10" s="594"/>
      <c r="E10" s="594"/>
      <c r="F10" s="594"/>
      <c r="G10" s="594"/>
      <c r="H10" s="688" t="s">
        <v>14</v>
      </c>
      <c r="I10" s="688"/>
    </row>
    <row r="11" spans="1:11" x14ac:dyDescent="0.25">
      <c r="B11" s="4" t="s">
        <v>15</v>
      </c>
      <c r="C11" s="594" t="s">
        <v>16</v>
      </c>
      <c r="D11" s="594"/>
      <c r="E11" s="594"/>
      <c r="F11" s="594"/>
      <c r="G11" s="594"/>
      <c r="H11" s="688">
        <v>6</v>
      </c>
      <c r="I11" s="688"/>
    </row>
    <row r="12" spans="1:11" x14ac:dyDescent="0.25">
      <c r="B12" s="4" t="s">
        <v>17</v>
      </c>
      <c r="C12" s="594" t="s">
        <v>18</v>
      </c>
      <c r="D12" s="594"/>
      <c r="E12" s="594"/>
      <c r="F12" s="594"/>
      <c r="G12" s="594"/>
      <c r="H12" s="685">
        <f>I20</f>
        <v>15249466.896713756</v>
      </c>
      <c r="I12" s="685"/>
    </row>
    <row r="13" spans="1:11" x14ac:dyDescent="0.25">
      <c r="B13" s="686"/>
      <c r="C13" s="686"/>
      <c r="D13" s="686"/>
      <c r="E13" s="686"/>
      <c r="F13" s="686"/>
      <c r="G13" s="686"/>
      <c r="H13" s="686"/>
      <c r="I13" s="686"/>
    </row>
    <row r="14" spans="1:11" x14ac:dyDescent="0.25">
      <c r="B14" s="687"/>
      <c r="C14" s="687"/>
      <c r="D14" s="687"/>
      <c r="E14" s="687"/>
      <c r="F14" s="687"/>
      <c r="G14" s="687"/>
      <c r="H14" s="687"/>
      <c r="I14" s="687"/>
    </row>
    <row r="15" spans="1:11" ht="45" x14ac:dyDescent="0.25">
      <c r="B15" s="911" t="s">
        <v>19</v>
      </c>
      <c r="C15" s="912"/>
      <c r="D15" s="6" t="s">
        <v>20</v>
      </c>
      <c r="E15" s="7" t="s">
        <v>21</v>
      </c>
      <c r="F15" s="6" t="s">
        <v>22</v>
      </c>
      <c r="G15" s="7" t="s">
        <v>23</v>
      </c>
      <c r="H15" s="7" t="s">
        <v>24</v>
      </c>
      <c r="I15" s="7" t="s">
        <v>25</v>
      </c>
    </row>
    <row r="16" spans="1:11" ht="30" x14ac:dyDescent="0.25">
      <c r="B16" s="913">
        <v>1</v>
      </c>
      <c r="C16" s="914"/>
      <c r="D16" s="9" t="s">
        <v>26</v>
      </c>
      <c r="E16" s="10">
        <v>4800</v>
      </c>
      <c r="F16" s="8" t="s">
        <v>27</v>
      </c>
      <c r="G16" s="11">
        <f>H16/E16</f>
        <v>256.06721771255337</v>
      </c>
      <c r="H16" s="11">
        <f>'OK 2.1 - COLETA RSD'!K22</f>
        <v>1229122.6450202563</v>
      </c>
      <c r="I16" s="11">
        <f>H16*6</f>
        <v>7374735.8701215377</v>
      </c>
      <c r="K16" s="12"/>
    </row>
    <row r="17" spans="2:18" ht="30" customHeight="1" x14ac:dyDescent="0.25">
      <c r="B17" s="913">
        <v>2</v>
      </c>
      <c r="C17" s="914"/>
      <c r="D17" s="9" t="s">
        <v>28</v>
      </c>
      <c r="E17" s="10">
        <v>850</v>
      </c>
      <c r="F17" s="8" t="s">
        <v>29</v>
      </c>
      <c r="G17" s="11">
        <f>H17/E17</f>
        <v>886.50371353070761</v>
      </c>
      <c r="H17" s="11">
        <f>'OK 3.1 - COLETA CONTEIN.'!K23</f>
        <v>753528.15650110145</v>
      </c>
      <c r="I17" s="11">
        <f>H17*6</f>
        <v>4521168.9390066089</v>
      </c>
      <c r="K17" s="13"/>
    </row>
    <row r="18" spans="2:18" ht="30" customHeight="1" x14ac:dyDescent="0.25">
      <c r="B18" s="913">
        <v>3</v>
      </c>
      <c r="C18" s="914"/>
      <c r="D18" s="9" t="s">
        <v>30</v>
      </c>
      <c r="E18" s="10">
        <v>7</v>
      </c>
      <c r="F18" s="8" t="s">
        <v>31</v>
      </c>
      <c r="G18" s="11">
        <f>H18/E18</f>
        <v>70708.302156229402</v>
      </c>
      <c r="H18" s="11">
        <f>'OK 4.1 - COLETA SELETIVA'!K19</f>
        <v>494958.11509360583</v>
      </c>
      <c r="I18" s="11">
        <f>H18*6</f>
        <v>2969748.690561635</v>
      </c>
      <c r="K18" s="12"/>
      <c r="P18" s="14"/>
    </row>
    <row r="19" spans="2:18" ht="30" customHeight="1" x14ac:dyDescent="0.25">
      <c r="B19" s="913">
        <v>4</v>
      </c>
      <c r="C19" s="914"/>
      <c r="D19" s="9" t="s">
        <v>32</v>
      </c>
      <c r="E19" s="10">
        <v>1</v>
      </c>
      <c r="F19" s="8" t="s">
        <v>33</v>
      </c>
      <c r="G19" s="11">
        <f>H19/E19</f>
        <v>63968.899503995723</v>
      </c>
      <c r="H19" s="11">
        <f>'OK 5.1 - COLETA ÓLEOS'!K18</f>
        <v>63968.899503995723</v>
      </c>
      <c r="I19" s="11">
        <f>H19*6</f>
        <v>383813.39702397434</v>
      </c>
      <c r="K19" s="12"/>
      <c r="P19" s="14"/>
    </row>
    <row r="20" spans="2:18" x14ac:dyDescent="0.25">
      <c r="B20" s="684" t="s">
        <v>34</v>
      </c>
      <c r="C20" s="684"/>
      <c r="D20" s="684"/>
      <c r="E20" s="684"/>
      <c r="F20" s="684"/>
      <c r="G20" s="684"/>
      <c r="H20" s="16">
        <f>SUM(H16:H19)</f>
        <v>2541577.8161189593</v>
      </c>
      <c r="I20" s="17">
        <f>SUM(I16:I19)</f>
        <v>15249466.896713756</v>
      </c>
      <c r="K20" s="12"/>
      <c r="P20" s="14"/>
    </row>
    <row r="21" spans="2:18" x14ac:dyDescent="0.25">
      <c r="E21" s="18"/>
      <c r="P21" s="14"/>
    </row>
    <row r="22" spans="2:18" x14ac:dyDescent="0.25">
      <c r="E22" s="18"/>
      <c r="G22" s="19"/>
      <c r="H22" s="20"/>
      <c r="I22" s="21"/>
      <c r="P22" s="14"/>
    </row>
    <row r="23" spans="2:18" x14ac:dyDescent="0.25">
      <c r="E23" s="18"/>
      <c r="G23" s="19"/>
      <c r="H23" s="20"/>
      <c r="I23" s="22"/>
      <c r="P23" s="14"/>
    </row>
    <row r="24" spans="2:18" x14ac:dyDescent="0.25">
      <c r="E24" s="18"/>
      <c r="P24" s="14"/>
      <c r="R24" s="14"/>
    </row>
    <row r="25" spans="2:18" x14ac:dyDescent="0.25">
      <c r="E25" s="18"/>
      <c r="R25" s="14"/>
    </row>
    <row r="26" spans="2:18" x14ac:dyDescent="0.25">
      <c r="R26" s="14"/>
    </row>
  </sheetData>
  <mergeCells count="26">
    <mergeCell ref="B2:I2"/>
    <mergeCell ref="B3:I3"/>
    <mergeCell ref="C4:E4"/>
    <mergeCell ref="F4:G4"/>
    <mergeCell ref="H4:I4"/>
    <mergeCell ref="B5:I5"/>
    <mergeCell ref="B6:I6"/>
    <mergeCell ref="B7:I7"/>
    <mergeCell ref="C8:G8"/>
    <mergeCell ref="H8:I8"/>
    <mergeCell ref="C9:G9"/>
    <mergeCell ref="H9:I9"/>
    <mergeCell ref="C10:G10"/>
    <mergeCell ref="H10:I10"/>
    <mergeCell ref="C11:G11"/>
    <mergeCell ref="H11:I11"/>
    <mergeCell ref="B20:G20"/>
    <mergeCell ref="C12:G12"/>
    <mergeCell ref="H12:I12"/>
    <mergeCell ref="B13:I13"/>
    <mergeCell ref="B14:I14"/>
    <mergeCell ref="B15:C15"/>
    <mergeCell ref="B16:C16"/>
    <mergeCell ref="B17:C17"/>
    <mergeCell ref="B18:C18"/>
    <mergeCell ref="B19:C19"/>
  </mergeCells>
  <pageMargins left="0.51180555555555596" right="0.51180555555555596" top="0.78749999999999998" bottom="0.78749999999999998" header="0.511811023622047" footer="0.31527777777777799"/>
  <pageSetup paperSize="9" fitToHeight="0" orientation="portrait" horizontalDpi="300" verticalDpi="300"/>
  <headerFooter>
    <oddFooter>&amp;R&amp;P de 45</oddFooter>
  </headerFooter>
  <ignoredErrors>
    <ignoredError sqref="H1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V1048576"/>
  <sheetViews>
    <sheetView showGridLines="0" topLeftCell="A489" zoomScale="110" zoomScaleNormal="110" workbookViewId="0">
      <selection activeCell="H26" sqref="H26"/>
    </sheetView>
  </sheetViews>
  <sheetFormatPr defaultColWidth="8.7109375" defaultRowHeight="15" customHeight="1" x14ac:dyDescent="0.25"/>
  <cols>
    <col min="1" max="1" width="26.7109375" customWidth="1"/>
    <col min="2" max="2" width="9.140625" customWidth="1"/>
    <col min="3" max="3" width="9" customWidth="1"/>
    <col min="5" max="5" width="9.7109375" customWidth="1"/>
    <col min="6" max="6" width="12.85546875" customWidth="1"/>
    <col min="7" max="7" width="11.85546875" customWidth="1"/>
    <col min="8" max="8" width="13.42578125" customWidth="1"/>
    <col min="9" max="9" width="10" customWidth="1"/>
    <col min="10" max="10" width="9.85546875" customWidth="1"/>
    <col min="11" max="11" width="18.7109375" style="1" customWidth="1"/>
    <col min="12" max="12" width="38.7109375" style="535" bestFit="1" customWidth="1"/>
    <col min="13" max="13" width="19.140625" style="536" customWidth="1"/>
    <col min="14" max="14" width="20.5703125" customWidth="1"/>
    <col min="18" max="18" width="9.5703125" customWidth="1"/>
    <col min="19" max="19" width="10" customWidth="1"/>
    <col min="22" max="22" width="9" customWidth="1"/>
  </cols>
  <sheetData>
    <row r="2" spans="2:14" ht="15.75" x14ac:dyDescent="0.25">
      <c r="B2" s="683" t="s">
        <v>35</v>
      </c>
      <c r="C2" s="683"/>
      <c r="D2" s="683"/>
      <c r="E2" s="683"/>
      <c r="F2" s="683"/>
      <c r="G2" s="683"/>
      <c r="H2" s="683"/>
      <c r="I2" s="683"/>
      <c r="J2" s="683"/>
      <c r="K2" s="683"/>
      <c r="L2" s="543"/>
      <c r="M2" s="559"/>
    </row>
    <row r="4" spans="2:14" x14ac:dyDescent="0.25">
      <c r="B4" s="672" t="s">
        <v>36</v>
      </c>
      <c r="C4" s="672"/>
      <c r="D4" s="672"/>
      <c r="E4" s="672"/>
      <c r="F4" s="672"/>
      <c r="G4" s="672"/>
      <c r="H4" s="672"/>
      <c r="I4" s="672"/>
      <c r="J4" s="672"/>
      <c r="K4" s="672"/>
    </row>
    <row r="5" spans="2:14" ht="33" customHeight="1" x14ac:dyDescent="0.25">
      <c r="B5" s="614" t="s">
        <v>37</v>
      </c>
      <c r="C5" s="614"/>
      <c r="D5" s="614"/>
      <c r="E5" s="614"/>
      <c r="F5" s="614"/>
      <c r="G5" s="614"/>
      <c r="H5" s="25" t="s">
        <v>38</v>
      </c>
      <c r="I5" s="664" t="s">
        <v>39</v>
      </c>
      <c r="J5" s="664"/>
      <c r="K5" s="26" t="s">
        <v>40</v>
      </c>
    </row>
    <row r="6" spans="2:14" x14ac:dyDescent="0.25">
      <c r="B6" s="27" t="s">
        <v>41</v>
      </c>
      <c r="C6" s="676" t="s">
        <v>42</v>
      </c>
      <c r="D6" s="676"/>
      <c r="E6" s="676"/>
      <c r="F6" s="676"/>
      <c r="G6" s="676"/>
      <c r="H6" s="28">
        <f>SUM(H7:H18)</f>
        <v>14</v>
      </c>
      <c r="I6" s="678"/>
      <c r="J6" s="678"/>
      <c r="K6" s="29">
        <f>SUM(K7:K18)</f>
        <v>102202.31778285671</v>
      </c>
    </row>
    <row r="7" spans="2:14" x14ac:dyDescent="0.25">
      <c r="B7" s="5" t="s">
        <v>43</v>
      </c>
      <c r="C7" s="594" t="s">
        <v>44</v>
      </c>
      <c r="D7" s="594"/>
      <c r="E7" s="594"/>
      <c r="F7" s="594"/>
      <c r="G7" s="594"/>
      <c r="H7" s="8">
        <v>1</v>
      </c>
      <c r="I7" s="617">
        <f>K53</f>
        <v>12578.929312692355</v>
      </c>
      <c r="J7" s="617"/>
      <c r="K7" s="31">
        <f t="shared" ref="K7:K18" si="0">I7*H7</f>
        <v>12578.929312692355</v>
      </c>
    </row>
    <row r="8" spans="2:14" x14ac:dyDescent="0.25">
      <c r="B8" s="5" t="s">
        <v>45</v>
      </c>
      <c r="C8" s="594" t="s">
        <v>46</v>
      </c>
      <c r="D8" s="594"/>
      <c r="E8" s="594"/>
      <c r="F8" s="594"/>
      <c r="G8" s="594"/>
      <c r="H8" s="8">
        <v>1</v>
      </c>
      <c r="I8" s="617">
        <f>K74</f>
        <v>10130.565976910362</v>
      </c>
      <c r="J8" s="617"/>
      <c r="K8" s="31">
        <f t="shared" si="0"/>
        <v>10130.565976910362</v>
      </c>
    </row>
    <row r="9" spans="2:14" x14ac:dyDescent="0.25">
      <c r="B9" s="5" t="s">
        <v>47</v>
      </c>
      <c r="C9" s="594" t="s">
        <v>48</v>
      </c>
      <c r="D9" s="594"/>
      <c r="E9" s="594"/>
      <c r="F9" s="594"/>
      <c r="G9" s="594"/>
      <c r="H9" s="8">
        <v>1</v>
      </c>
      <c r="I9" s="617">
        <f>K99</f>
        <v>11102.637751129234</v>
      </c>
      <c r="J9" s="617"/>
      <c r="K9" s="31">
        <f t="shared" si="0"/>
        <v>11102.637751129234</v>
      </c>
    </row>
    <row r="10" spans="2:14" x14ac:dyDescent="0.25">
      <c r="B10" s="5" t="s">
        <v>49</v>
      </c>
      <c r="C10" s="594" t="s">
        <v>50</v>
      </c>
      <c r="D10" s="594"/>
      <c r="E10" s="594"/>
      <c r="F10" s="594"/>
      <c r="G10" s="594"/>
      <c r="H10" s="8">
        <v>1</v>
      </c>
      <c r="I10" s="617">
        <f>K118</f>
        <v>5130.0715059133481</v>
      </c>
      <c r="J10" s="617"/>
      <c r="K10" s="31">
        <f t="shared" si="0"/>
        <v>5130.0715059133481</v>
      </c>
      <c r="N10" s="19"/>
    </row>
    <row r="11" spans="2:14" x14ac:dyDescent="0.25">
      <c r="B11" s="5" t="s">
        <v>51</v>
      </c>
      <c r="C11" s="594" t="s">
        <v>52</v>
      </c>
      <c r="D11" s="594"/>
      <c r="E11" s="594"/>
      <c r="F11" s="594"/>
      <c r="G11" s="594"/>
      <c r="H11" s="8">
        <v>1</v>
      </c>
      <c r="I11" s="617">
        <f>K139</f>
        <v>6496.322753689923</v>
      </c>
      <c r="J11" s="617"/>
      <c r="K11" s="31">
        <f t="shared" si="0"/>
        <v>6496.322753689923</v>
      </c>
    </row>
    <row r="12" spans="2:14" x14ac:dyDescent="0.25">
      <c r="B12" s="5" t="s">
        <v>53</v>
      </c>
      <c r="C12" s="594" t="s">
        <v>54</v>
      </c>
      <c r="D12" s="594"/>
      <c r="E12" s="594"/>
      <c r="F12" s="594"/>
      <c r="G12" s="594"/>
      <c r="H12" s="8">
        <v>1</v>
      </c>
      <c r="I12" s="617">
        <f>K164</f>
        <v>7070.7016115313463</v>
      </c>
      <c r="J12" s="617"/>
      <c r="K12" s="31">
        <f t="shared" si="0"/>
        <v>7070.7016115313463</v>
      </c>
    </row>
    <row r="13" spans="2:14" x14ac:dyDescent="0.25">
      <c r="B13" s="5" t="s">
        <v>55</v>
      </c>
      <c r="C13" s="594" t="s">
        <v>56</v>
      </c>
      <c r="D13" s="594"/>
      <c r="E13" s="594"/>
      <c r="F13" s="594"/>
      <c r="G13" s="594"/>
      <c r="H13" s="8">
        <v>1</v>
      </c>
      <c r="I13" s="617">
        <f>K185</f>
        <v>5926.7079345371476</v>
      </c>
      <c r="J13" s="617"/>
      <c r="K13" s="31">
        <f t="shared" si="0"/>
        <v>5926.7079345371476</v>
      </c>
    </row>
    <row r="14" spans="2:14" x14ac:dyDescent="0.25">
      <c r="B14" s="5" t="s">
        <v>57</v>
      </c>
      <c r="C14" s="594" t="s">
        <v>58</v>
      </c>
      <c r="D14" s="594"/>
      <c r="E14" s="594"/>
      <c r="F14" s="594"/>
      <c r="G14" s="594"/>
      <c r="H14" s="4">
        <v>1</v>
      </c>
      <c r="I14" s="760">
        <f>K210</f>
        <v>6591.8172284100037</v>
      </c>
      <c r="J14" s="760"/>
      <c r="K14" s="33">
        <f t="shared" si="0"/>
        <v>6591.8172284100037</v>
      </c>
    </row>
    <row r="15" spans="2:14" x14ac:dyDescent="0.25">
      <c r="B15" s="5" t="s">
        <v>59</v>
      </c>
      <c r="C15" s="594" t="s">
        <v>60</v>
      </c>
      <c r="D15" s="594"/>
      <c r="E15" s="594"/>
      <c r="F15" s="594"/>
      <c r="G15" s="594"/>
      <c r="H15" s="8">
        <v>1</v>
      </c>
      <c r="I15" s="617">
        <f>K232</f>
        <v>5684.6895066241468</v>
      </c>
      <c r="J15" s="617"/>
      <c r="K15" s="31">
        <f t="shared" si="0"/>
        <v>5684.6895066241468</v>
      </c>
    </row>
    <row r="16" spans="2:14" x14ac:dyDescent="0.25">
      <c r="B16" s="5" t="s">
        <v>61</v>
      </c>
      <c r="C16" s="594" t="s">
        <v>62</v>
      </c>
      <c r="D16" s="594"/>
      <c r="E16" s="594"/>
      <c r="F16" s="594"/>
      <c r="G16" s="594"/>
      <c r="H16" s="8">
        <v>1</v>
      </c>
      <c r="I16" s="617">
        <f>K254</f>
        <v>5684.6895066241468</v>
      </c>
      <c r="J16" s="617"/>
      <c r="K16" s="31">
        <f t="shared" si="0"/>
        <v>5684.6895066241468</v>
      </c>
    </row>
    <row r="17" spans="2:14" x14ac:dyDescent="0.25">
      <c r="B17" s="5" t="s">
        <v>63</v>
      </c>
      <c r="C17" s="604" t="s">
        <v>64</v>
      </c>
      <c r="D17" s="604"/>
      <c r="E17" s="604"/>
      <c r="F17" s="604"/>
      <c r="G17" s="604"/>
      <c r="H17" s="8">
        <v>2</v>
      </c>
      <c r="I17" s="617">
        <f>K276</f>
        <v>6121.6611467860021</v>
      </c>
      <c r="J17" s="617"/>
      <c r="K17" s="31">
        <f t="shared" si="0"/>
        <v>12243.322293572004</v>
      </c>
    </row>
    <row r="18" spans="2:14" x14ac:dyDescent="0.25">
      <c r="B18" s="5" t="s">
        <v>65</v>
      </c>
      <c r="C18" s="604" t="s">
        <v>66</v>
      </c>
      <c r="D18" s="604"/>
      <c r="E18" s="604"/>
      <c r="F18" s="604"/>
      <c r="G18" s="604"/>
      <c r="H18" s="8">
        <v>2</v>
      </c>
      <c r="I18" s="617">
        <f>K302</f>
        <v>6780.931200611356</v>
      </c>
      <c r="J18" s="617"/>
      <c r="K18" s="31">
        <f t="shared" si="0"/>
        <v>13561.862401222712</v>
      </c>
    </row>
    <row r="19" spans="2:14" x14ac:dyDescent="0.25">
      <c r="B19" s="27" t="s">
        <v>67</v>
      </c>
      <c r="C19" s="678" t="s">
        <v>68</v>
      </c>
      <c r="D19" s="678"/>
      <c r="E19" s="678"/>
      <c r="F19" s="678"/>
      <c r="G19" s="678"/>
      <c r="H19" s="28">
        <f>SUM(H20:H24)</f>
        <v>14</v>
      </c>
      <c r="I19" s="757"/>
      <c r="J19" s="757"/>
      <c r="K19" s="29">
        <f>SUM(K20:K24)</f>
        <v>1072.4033333333334</v>
      </c>
    </row>
    <row r="20" spans="2:14" x14ac:dyDescent="0.25">
      <c r="B20" s="34" t="s">
        <v>69</v>
      </c>
      <c r="C20" s="594" t="s">
        <v>70</v>
      </c>
      <c r="D20" s="594"/>
      <c r="E20" s="594"/>
      <c r="F20" s="594"/>
      <c r="G20" s="594"/>
      <c r="H20" s="8">
        <f>H7+H10</f>
        <v>2</v>
      </c>
      <c r="I20" s="617">
        <f>K314</f>
        <v>25.710555555555555</v>
      </c>
      <c r="J20" s="617"/>
      <c r="K20" s="30">
        <f>I20*H20</f>
        <v>51.421111111111109</v>
      </c>
    </row>
    <row r="21" spans="2:14" ht="15" customHeight="1" x14ac:dyDescent="0.25">
      <c r="B21" s="35" t="s">
        <v>71</v>
      </c>
      <c r="C21" s="670" t="s">
        <v>72</v>
      </c>
      <c r="D21" s="670"/>
      <c r="E21" s="670"/>
      <c r="F21" s="670"/>
      <c r="G21" s="670"/>
      <c r="H21" s="8">
        <v>2</v>
      </c>
      <c r="I21" s="617">
        <f>K326</f>
        <v>99.687777777777768</v>
      </c>
      <c r="J21" s="617"/>
      <c r="K21" s="30">
        <f>I21*H21</f>
        <v>199.37555555555554</v>
      </c>
      <c r="M21" s="550"/>
      <c r="N21" s="36"/>
    </row>
    <row r="22" spans="2:14" ht="15" customHeight="1" x14ac:dyDescent="0.25">
      <c r="B22" s="35" t="s">
        <v>73</v>
      </c>
      <c r="C22" s="759" t="s">
        <v>74</v>
      </c>
      <c r="D22" s="759"/>
      <c r="E22" s="759"/>
      <c r="F22" s="759"/>
      <c r="G22" s="759"/>
      <c r="H22" s="8">
        <v>4</v>
      </c>
      <c r="I22" s="617">
        <f>K340</f>
        <v>101.32777777777777</v>
      </c>
      <c r="J22" s="617"/>
      <c r="K22" s="30">
        <f>I22*H22</f>
        <v>405.31111111111107</v>
      </c>
    </row>
    <row r="23" spans="2:14" x14ac:dyDescent="0.25">
      <c r="B23" s="35" t="s">
        <v>75</v>
      </c>
      <c r="C23" s="670" t="s">
        <v>76</v>
      </c>
      <c r="D23" s="670"/>
      <c r="E23" s="670"/>
      <c r="F23" s="670"/>
      <c r="G23" s="670"/>
      <c r="H23" s="37">
        <v>2</v>
      </c>
      <c r="I23" s="617">
        <f>K353</f>
        <v>77.268888888888881</v>
      </c>
      <c r="J23" s="617"/>
      <c r="K23" s="30">
        <f>I23*H23</f>
        <v>154.53777777777776</v>
      </c>
    </row>
    <row r="24" spans="2:14" x14ac:dyDescent="0.25">
      <c r="B24" s="34" t="s">
        <v>77</v>
      </c>
      <c r="C24" s="604" t="s">
        <v>78</v>
      </c>
      <c r="D24" s="604"/>
      <c r="E24" s="604"/>
      <c r="F24" s="604"/>
      <c r="G24" s="604"/>
      <c r="H24" s="8">
        <v>4</v>
      </c>
      <c r="I24" s="617">
        <f>K363</f>
        <v>65.439444444444447</v>
      </c>
      <c r="J24" s="617"/>
      <c r="K24" s="30">
        <f>I24*H24</f>
        <v>261.75777777777779</v>
      </c>
    </row>
    <row r="25" spans="2:14" x14ac:dyDescent="0.25">
      <c r="B25" s="27" t="s">
        <v>79</v>
      </c>
      <c r="C25" s="678" t="s">
        <v>80</v>
      </c>
      <c r="D25" s="678"/>
      <c r="E25" s="678"/>
      <c r="F25" s="678"/>
      <c r="G25" s="678"/>
      <c r="H25" s="28">
        <f>H26</f>
        <v>1</v>
      </c>
      <c r="I25" s="757"/>
      <c r="J25" s="757"/>
      <c r="K25" s="29">
        <f>K457</f>
        <v>1806.987205749354</v>
      </c>
    </row>
    <row r="26" spans="2:14" x14ac:dyDescent="0.25">
      <c r="B26" s="5" t="s">
        <v>81</v>
      </c>
      <c r="C26" s="594" t="s">
        <v>82</v>
      </c>
      <c r="D26" s="594"/>
      <c r="E26" s="594"/>
      <c r="F26" s="594"/>
      <c r="G26" s="594"/>
      <c r="H26" s="558">
        <v>1</v>
      </c>
      <c r="I26" s="617">
        <f>K391+K399+K413+I428+K438+K451</f>
        <v>1708.6494974160209</v>
      </c>
      <c r="J26" s="617"/>
      <c r="K26" s="31">
        <f>I26*H26</f>
        <v>1708.6494974160209</v>
      </c>
    </row>
    <row r="27" spans="2:14" x14ac:dyDescent="0.25">
      <c r="B27" s="27" t="s">
        <v>83</v>
      </c>
      <c r="C27" s="678" t="s">
        <v>84</v>
      </c>
      <c r="D27" s="678"/>
      <c r="E27" s="678"/>
      <c r="F27" s="678"/>
      <c r="G27" s="678"/>
      <c r="H27" s="28">
        <v>1</v>
      </c>
      <c r="I27" s="758"/>
      <c r="J27" s="758"/>
      <c r="K27" s="29">
        <f>K468</f>
        <v>17000</v>
      </c>
    </row>
    <row r="28" spans="2:14" x14ac:dyDescent="0.25">
      <c r="B28" s="27" t="s">
        <v>85</v>
      </c>
      <c r="C28" s="678" t="s">
        <v>86</v>
      </c>
      <c r="D28" s="678"/>
      <c r="E28" s="678"/>
      <c r="F28" s="678"/>
      <c r="G28" s="678"/>
      <c r="H28" s="28">
        <v>1</v>
      </c>
      <c r="I28" s="758"/>
      <c r="J28" s="758"/>
      <c r="K28" s="29">
        <f>K478</f>
        <v>33804.295622404352</v>
      </c>
    </row>
    <row r="29" spans="2:14" x14ac:dyDescent="0.25">
      <c r="B29" s="665" t="s">
        <v>87</v>
      </c>
      <c r="C29" s="665"/>
      <c r="D29" s="665"/>
      <c r="E29" s="665"/>
      <c r="F29" s="665"/>
      <c r="G29" s="665"/>
      <c r="H29" s="665"/>
      <c r="I29" s="665"/>
      <c r="J29" s="665"/>
      <c r="K29" s="39">
        <f>K27+K25+K19+K6+K28</f>
        <v>155886.00394434374</v>
      </c>
    </row>
    <row r="30" spans="2:14" x14ac:dyDescent="0.25">
      <c r="B30" s="756" t="s">
        <v>88</v>
      </c>
      <c r="C30" s="756"/>
      <c r="D30" s="756"/>
      <c r="E30" s="756"/>
      <c r="F30" s="756"/>
      <c r="G30" s="756"/>
      <c r="H30" s="756"/>
      <c r="I30" s="756"/>
      <c r="J30" s="40" t="s">
        <v>89</v>
      </c>
      <c r="K30" s="41" t="s">
        <v>90</v>
      </c>
    </row>
    <row r="31" spans="2:14" x14ac:dyDescent="0.25">
      <c r="B31" s="594" t="s">
        <v>91</v>
      </c>
      <c r="C31" s="594"/>
      <c r="D31" s="594"/>
      <c r="E31" s="594"/>
      <c r="F31" s="594"/>
      <c r="G31" s="594"/>
      <c r="H31" s="594"/>
      <c r="I31" s="594"/>
      <c r="J31" s="42">
        <f>I487</f>
        <v>0.54885365972321676</v>
      </c>
      <c r="K31" s="31">
        <f>$K$29*J31</f>
        <v>85558.603764480868</v>
      </c>
      <c r="M31" s="560"/>
    </row>
    <row r="32" spans="2:14" x14ac:dyDescent="0.25">
      <c r="B32" s="672" t="s">
        <v>34</v>
      </c>
      <c r="C32" s="672"/>
      <c r="D32" s="672"/>
      <c r="E32" s="672"/>
      <c r="F32" s="672"/>
      <c r="G32" s="672"/>
      <c r="H32" s="672"/>
      <c r="I32" s="672"/>
      <c r="J32" s="43">
        <f>SUM(J31)</f>
        <v>0.54885365972321676</v>
      </c>
      <c r="K32" s="44">
        <f>SUM(K31)</f>
        <v>85558.603764480868</v>
      </c>
    </row>
    <row r="33" spans="2:12" ht="15" customHeight="1" x14ac:dyDescent="0.25">
      <c r="B33" s="644" t="s">
        <v>92</v>
      </c>
      <c r="C33" s="644"/>
      <c r="D33" s="644"/>
      <c r="E33" s="644"/>
      <c r="F33" s="644"/>
      <c r="G33" s="644"/>
      <c r="H33" s="644"/>
      <c r="I33" s="644"/>
      <c r="J33" s="644"/>
      <c r="K33" s="644"/>
    </row>
    <row r="34" spans="2:12" ht="15" customHeight="1" x14ac:dyDescent="0.25">
      <c r="B34" s="644"/>
      <c r="C34" s="644"/>
      <c r="D34" s="644"/>
      <c r="E34" s="644"/>
      <c r="F34" s="644"/>
      <c r="G34" s="644"/>
      <c r="H34" s="644"/>
      <c r="I34" s="644"/>
      <c r="J34" s="644"/>
      <c r="K34" s="644"/>
    </row>
    <row r="36" spans="2:12" x14ac:dyDescent="0.25">
      <c r="B36" s="601" t="s">
        <v>93</v>
      </c>
      <c r="C36" s="601"/>
      <c r="D36" s="601"/>
      <c r="E36" s="601"/>
      <c r="F36" s="601"/>
      <c r="G36" s="601"/>
      <c r="H36" s="601"/>
      <c r="I36" s="601"/>
      <c r="J36" s="601"/>
      <c r="K36" s="601"/>
    </row>
    <row r="37" spans="2:12" x14ac:dyDescent="0.25">
      <c r="B37" s="707"/>
      <c r="C37" s="707"/>
      <c r="D37" s="707"/>
      <c r="E37" s="707"/>
      <c r="F37" s="707"/>
      <c r="G37" s="707"/>
      <c r="H37" s="707"/>
      <c r="I37" s="707"/>
      <c r="J37" s="707"/>
      <c r="K37" s="707"/>
    </row>
    <row r="38" spans="2:12" x14ac:dyDescent="0.25">
      <c r="B38" s="663" t="s">
        <v>94</v>
      </c>
      <c r="C38" s="663"/>
      <c r="D38" s="663"/>
      <c r="E38" s="663"/>
      <c r="F38" s="663"/>
      <c r="G38" s="663"/>
      <c r="H38" s="663"/>
      <c r="I38" s="663"/>
      <c r="J38" s="663"/>
      <c r="K38" s="663"/>
    </row>
    <row r="39" spans="2:12" x14ac:dyDescent="0.25">
      <c r="B39" s="3" t="s">
        <v>95</v>
      </c>
      <c r="C39" s="602" t="s">
        <v>96</v>
      </c>
      <c r="D39" s="602"/>
      <c r="E39" s="602"/>
      <c r="F39" s="602"/>
      <c r="G39" s="602"/>
      <c r="H39" s="602"/>
      <c r="I39" s="602"/>
      <c r="J39" s="45"/>
      <c r="K39" s="45" t="s">
        <v>97</v>
      </c>
    </row>
    <row r="40" spans="2:12" x14ac:dyDescent="0.25">
      <c r="B40" s="4" t="s">
        <v>98</v>
      </c>
      <c r="C40" s="604" t="s">
        <v>99</v>
      </c>
      <c r="D40" s="604"/>
      <c r="E40" s="604"/>
      <c r="F40" s="604"/>
      <c r="G40" s="604"/>
      <c r="H40" s="604"/>
      <c r="I40" s="604"/>
      <c r="J40" s="46"/>
      <c r="K40" s="47">
        <f>'6 - DADOS CC MO'!E113</f>
        <v>6876.95</v>
      </c>
    </row>
    <row r="41" spans="2:12" x14ac:dyDescent="0.25">
      <c r="B41" s="4"/>
      <c r="C41" s="661" t="s">
        <v>100</v>
      </c>
      <c r="D41" s="661"/>
      <c r="E41" s="661"/>
      <c r="F41" s="661"/>
      <c r="G41" s="661"/>
      <c r="H41" s="661"/>
      <c r="I41" s="661"/>
      <c r="J41" s="48"/>
      <c r="K41" s="49">
        <f>K40</f>
        <v>6876.95</v>
      </c>
    </row>
    <row r="42" spans="2:12" x14ac:dyDescent="0.25">
      <c r="B42" s="45" t="s">
        <v>101</v>
      </c>
      <c r="C42" s="602" t="s">
        <v>102</v>
      </c>
      <c r="D42" s="602"/>
      <c r="E42" s="602"/>
      <c r="F42" s="602"/>
      <c r="G42" s="602"/>
      <c r="H42" s="602"/>
      <c r="I42" s="602"/>
      <c r="J42" s="45" t="s">
        <v>89</v>
      </c>
      <c r="K42" s="45" t="s">
        <v>97</v>
      </c>
    </row>
    <row r="43" spans="2:12" x14ac:dyDescent="0.25">
      <c r="B43" s="8" t="s">
        <v>103</v>
      </c>
      <c r="C43" s="622" t="s">
        <v>104</v>
      </c>
      <c r="D43" s="622"/>
      <c r="E43" s="622"/>
      <c r="F43" s="622"/>
      <c r="G43" s="622"/>
      <c r="H43" s="622"/>
      <c r="I43" s="622"/>
      <c r="J43" s="50">
        <f>'7 - ENCARGOS SOCIAIS'!$D$13</f>
        <v>0.36800000000000005</v>
      </c>
      <c r="K43" s="47">
        <f>J43*$K$40</f>
        <v>2530.7176000000004</v>
      </c>
    </row>
    <row r="44" spans="2:12" x14ac:dyDescent="0.25">
      <c r="B44" s="8" t="s">
        <v>105</v>
      </c>
      <c r="C44" s="622" t="s">
        <v>106</v>
      </c>
      <c r="D44" s="622"/>
      <c r="E44" s="622"/>
      <c r="F44" s="622"/>
      <c r="G44" s="622"/>
      <c r="H44" s="622"/>
      <c r="I44" s="622"/>
      <c r="J44" s="50">
        <f>'7 - ENCARGOS SOCIAIS'!$D$21</f>
        <v>0.15387245147090212</v>
      </c>
      <c r="K44" s="47">
        <f>J44*$K$40</f>
        <v>1058.1731551428202</v>
      </c>
    </row>
    <row r="45" spans="2:12" x14ac:dyDescent="0.25">
      <c r="B45" s="8" t="s">
        <v>107</v>
      </c>
      <c r="C45" s="622" t="s">
        <v>108</v>
      </c>
      <c r="D45" s="622"/>
      <c r="E45" s="622"/>
      <c r="F45" s="622"/>
      <c r="G45" s="622"/>
      <c r="H45" s="622"/>
      <c r="I45" s="622"/>
      <c r="J45" s="50">
        <f>'7 - ENCARGOS SOCIAIS'!$D$28</f>
        <v>0.12666581537651095</v>
      </c>
      <c r="K45" s="47">
        <f>J45*$K$40</f>
        <v>871.07447905349693</v>
      </c>
    </row>
    <row r="46" spans="2:12" x14ac:dyDescent="0.25">
      <c r="B46" s="8" t="s">
        <v>109</v>
      </c>
      <c r="C46" s="622" t="s">
        <v>110</v>
      </c>
      <c r="D46" s="622"/>
      <c r="E46" s="622"/>
      <c r="F46" s="622"/>
      <c r="G46" s="622"/>
      <c r="H46" s="622"/>
      <c r="I46" s="622"/>
      <c r="J46" s="50">
        <f>'7 - ENCARGOS SOCIAIS'!$D$32</f>
        <v>5.9231502118822603E-2</v>
      </c>
      <c r="K46" s="47">
        <f>J46*$K$40</f>
        <v>407.33207849603707</v>
      </c>
    </row>
    <row r="47" spans="2:12" x14ac:dyDescent="0.25">
      <c r="B47" s="25"/>
      <c r="C47" s="614" t="s">
        <v>111</v>
      </c>
      <c r="D47" s="614"/>
      <c r="E47" s="614"/>
      <c r="F47" s="614"/>
      <c r="G47" s="614"/>
      <c r="H47" s="614"/>
      <c r="I47" s="614"/>
      <c r="J47" s="51">
        <f>SUM(J43:J46)</f>
        <v>0.70776976896623567</v>
      </c>
      <c r="K47" s="52">
        <f>SUM(K43:K46)</f>
        <v>4867.2973126923544</v>
      </c>
    </row>
    <row r="48" spans="2:12" ht="30" customHeight="1" x14ac:dyDescent="0.25">
      <c r="B48" s="45" t="s">
        <v>112</v>
      </c>
      <c r="C48" s="667" t="s">
        <v>113</v>
      </c>
      <c r="D48" s="667"/>
      <c r="E48" s="667"/>
      <c r="F48" s="667"/>
      <c r="G48" s="667"/>
      <c r="H48" s="53" t="s">
        <v>114</v>
      </c>
      <c r="I48" s="45" t="s">
        <v>115</v>
      </c>
      <c r="J48" s="45" t="s">
        <v>116</v>
      </c>
      <c r="K48" s="45" t="s">
        <v>97</v>
      </c>
      <c r="L48" s="550"/>
    </row>
    <row r="49" spans="2:11" ht="15" customHeight="1" x14ac:dyDescent="0.25">
      <c r="B49" s="8" t="s">
        <v>117</v>
      </c>
      <c r="C49" s="670" t="s">
        <v>118</v>
      </c>
      <c r="D49" s="670"/>
      <c r="E49" s="670"/>
      <c r="F49" s="670"/>
      <c r="G49" s="670"/>
      <c r="H49" s="4">
        <v>26</v>
      </c>
      <c r="I49" s="54">
        <v>27.15</v>
      </c>
      <c r="J49" s="55">
        <v>0.19</v>
      </c>
      <c r="K49" s="31">
        <f>(H49*I49)-((H49*I49)*J49)</f>
        <v>571.779</v>
      </c>
    </row>
    <row r="50" spans="2:11" ht="15" customHeight="1" x14ac:dyDescent="0.25">
      <c r="B50" s="8" t="s">
        <v>119</v>
      </c>
      <c r="C50" s="670" t="s">
        <v>120</v>
      </c>
      <c r="D50" s="670"/>
      <c r="E50" s="670"/>
      <c r="F50" s="670"/>
      <c r="G50" s="670"/>
      <c r="H50" s="4">
        <f>H49*4</f>
        <v>104</v>
      </c>
      <c r="I50" s="56">
        <v>6.25</v>
      </c>
      <c r="J50" s="55">
        <v>0.06</v>
      </c>
      <c r="K50" s="31">
        <f>(H50*I50)-(K40*J50)</f>
        <v>237.38300000000004</v>
      </c>
    </row>
    <row r="51" spans="2:11" x14ac:dyDescent="0.25">
      <c r="B51" s="8" t="s">
        <v>121</v>
      </c>
      <c r="C51" s="622" t="s">
        <v>122</v>
      </c>
      <c r="D51" s="622"/>
      <c r="E51" s="622"/>
      <c r="F51" s="622"/>
      <c r="G51" s="622"/>
      <c r="H51" s="4">
        <v>1</v>
      </c>
      <c r="I51" s="54">
        <v>25.52</v>
      </c>
      <c r="J51" s="5"/>
      <c r="K51" s="32">
        <f>I51</f>
        <v>25.52</v>
      </c>
    </row>
    <row r="52" spans="2:11" x14ac:dyDescent="0.25">
      <c r="B52" s="5"/>
      <c r="C52" s="661" t="s">
        <v>123</v>
      </c>
      <c r="D52" s="661"/>
      <c r="E52" s="661"/>
      <c r="F52" s="661"/>
      <c r="G52" s="661"/>
      <c r="H52" s="661"/>
      <c r="I52" s="661"/>
      <c r="J52" s="48"/>
      <c r="K52" s="57">
        <f>SUM(K49:K51)</f>
        <v>834.68200000000002</v>
      </c>
    </row>
    <row r="53" spans="2:11" x14ac:dyDescent="0.25">
      <c r="B53" s="747" t="s">
        <v>124</v>
      </c>
      <c r="C53" s="747"/>
      <c r="D53" s="747"/>
      <c r="E53" s="747"/>
      <c r="F53" s="747"/>
      <c r="G53" s="747"/>
      <c r="H53" s="747"/>
      <c r="I53" s="747"/>
      <c r="J53" s="747"/>
      <c r="K53" s="58">
        <f>K52+K47+K41</f>
        <v>12578.929312692355</v>
      </c>
    </row>
    <row r="54" spans="2:11" x14ac:dyDescent="0.25">
      <c r="B54" s="666" t="s">
        <v>125</v>
      </c>
      <c r="C54" s="666"/>
      <c r="D54" s="666"/>
      <c r="E54" s="666"/>
      <c r="F54" s="666"/>
      <c r="G54" s="666"/>
      <c r="H54" s="666"/>
      <c r="I54" s="59">
        <v>1</v>
      </c>
      <c r="J54" s="59" t="s">
        <v>126</v>
      </c>
      <c r="K54" s="60">
        <f>K53*I54</f>
        <v>12578.929312692355</v>
      </c>
    </row>
    <row r="55" spans="2:11" x14ac:dyDescent="0.25">
      <c r="H55" s="12"/>
    </row>
    <row r="56" spans="2:11" x14ac:dyDescent="0.25">
      <c r="B56" s="663" t="s">
        <v>127</v>
      </c>
      <c r="C56" s="663"/>
      <c r="D56" s="663"/>
      <c r="E56" s="663"/>
      <c r="F56" s="663"/>
      <c r="G56" s="663"/>
      <c r="H56" s="663"/>
      <c r="I56" s="663"/>
      <c r="J56" s="663"/>
      <c r="K56" s="663"/>
    </row>
    <row r="57" spans="2:11" x14ac:dyDescent="0.25">
      <c r="B57" s="3" t="s">
        <v>95</v>
      </c>
      <c r="C57" s="602" t="s">
        <v>96</v>
      </c>
      <c r="D57" s="602"/>
      <c r="E57" s="602"/>
      <c r="F57" s="602"/>
      <c r="G57" s="602"/>
      <c r="H57" s="53" t="s">
        <v>128</v>
      </c>
      <c r="I57" s="61" t="s">
        <v>129</v>
      </c>
      <c r="J57" s="45" t="s">
        <v>115</v>
      </c>
      <c r="K57" s="45" t="s">
        <v>97</v>
      </c>
    </row>
    <row r="58" spans="2:11" x14ac:dyDescent="0.25">
      <c r="B58" s="4" t="s">
        <v>98</v>
      </c>
      <c r="C58" s="594" t="s">
        <v>99</v>
      </c>
      <c r="D58" s="594"/>
      <c r="E58" s="594"/>
      <c r="F58" s="594"/>
      <c r="G58" s="594"/>
      <c r="H58" s="4">
        <v>220</v>
      </c>
      <c r="I58" s="8" t="s">
        <v>130</v>
      </c>
      <c r="J58" s="62">
        <f>K58/H58</f>
        <v>16.363636363636363</v>
      </c>
      <c r="K58" s="47">
        <f>'6 - DADOS CC MO'!E102</f>
        <v>3600</v>
      </c>
    </row>
    <row r="59" spans="2:11" x14ac:dyDescent="0.25">
      <c r="B59" s="8" t="s">
        <v>131</v>
      </c>
      <c r="C59" s="63" t="s">
        <v>132</v>
      </c>
      <c r="D59" s="64"/>
      <c r="E59" s="64"/>
      <c r="F59" s="64"/>
      <c r="G59" s="65"/>
      <c r="H59" s="66">
        <f>7+1/3</f>
        <v>7.333333333333333</v>
      </c>
      <c r="I59" s="8" t="s">
        <v>130</v>
      </c>
      <c r="J59" s="62">
        <f>J58*2</f>
        <v>32.727272727272727</v>
      </c>
      <c r="K59" s="67">
        <f>H59*J59</f>
        <v>239.99999999999997</v>
      </c>
    </row>
    <row r="60" spans="2:11" x14ac:dyDescent="0.25">
      <c r="B60" s="8" t="s">
        <v>133</v>
      </c>
      <c r="C60" s="63" t="s">
        <v>134</v>
      </c>
      <c r="D60" s="64"/>
      <c r="E60" s="64"/>
      <c r="F60" s="64"/>
      <c r="G60" s="65"/>
      <c r="H60" s="66"/>
      <c r="I60" s="8"/>
      <c r="J60" s="62">
        <f>61/304*(SUM(K59))</f>
        <v>48.157894736842103</v>
      </c>
      <c r="K60" s="67">
        <f>J60</f>
        <v>48.157894736842103</v>
      </c>
    </row>
    <row r="61" spans="2:11" x14ac:dyDescent="0.25">
      <c r="B61" s="4" t="s">
        <v>135</v>
      </c>
      <c r="C61" s="594" t="s">
        <v>136</v>
      </c>
      <c r="D61" s="594"/>
      <c r="E61" s="594"/>
      <c r="F61" s="594"/>
      <c r="G61" s="594"/>
      <c r="H61" s="4">
        <v>40</v>
      </c>
      <c r="I61" s="8" t="s">
        <v>89</v>
      </c>
      <c r="J61" s="46"/>
      <c r="K61" s="68">
        <f>K58*40%</f>
        <v>1440</v>
      </c>
    </row>
    <row r="62" spans="2:11" x14ac:dyDescent="0.25">
      <c r="B62" s="4"/>
      <c r="C62" s="661" t="s">
        <v>100</v>
      </c>
      <c r="D62" s="661"/>
      <c r="E62" s="661"/>
      <c r="F62" s="661"/>
      <c r="G62" s="661"/>
      <c r="H62" s="661"/>
      <c r="I62" s="661"/>
      <c r="J62" s="48"/>
      <c r="K62" s="49">
        <f>SUM(K58:K61)</f>
        <v>5328.1578947368416</v>
      </c>
    </row>
    <row r="63" spans="2:11" x14ac:dyDescent="0.25">
      <c r="B63" s="45" t="s">
        <v>101</v>
      </c>
      <c r="C63" s="602" t="s">
        <v>102</v>
      </c>
      <c r="D63" s="602"/>
      <c r="E63" s="602"/>
      <c r="F63" s="602"/>
      <c r="G63" s="602"/>
      <c r="H63" s="602"/>
      <c r="I63" s="602"/>
      <c r="J63" s="45" t="s">
        <v>89</v>
      </c>
      <c r="K63" s="45" t="s">
        <v>97</v>
      </c>
    </row>
    <row r="64" spans="2:11" x14ac:dyDescent="0.25">
      <c r="B64" s="8" t="s">
        <v>103</v>
      </c>
      <c r="C64" s="622" t="s">
        <v>104</v>
      </c>
      <c r="D64" s="622"/>
      <c r="E64" s="622"/>
      <c r="F64" s="622"/>
      <c r="G64" s="622"/>
      <c r="H64" s="622"/>
      <c r="I64" s="622"/>
      <c r="J64" s="50">
        <f>'7 - ENCARGOS SOCIAIS'!$D$13</f>
        <v>0.36800000000000005</v>
      </c>
      <c r="K64" s="47">
        <f>J64*$K$62</f>
        <v>1960.762105263158</v>
      </c>
    </row>
    <row r="65" spans="2:11" x14ac:dyDescent="0.25">
      <c r="B65" s="8" t="s">
        <v>105</v>
      </c>
      <c r="C65" s="622" t="s">
        <v>106</v>
      </c>
      <c r="D65" s="622"/>
      <c r="E65" s="622"/>
      <c r="F65" s="622"/>
      <c r="G65" s="622"/>
      <c r="H65" s="622"/>
      <c r="I65" s="622"/>
      <c r="J65" s="50">
        <f>'7 - ENCARGOS SOCIAIS'!$D$21</f>
        <v>0.15387245147090212</v>
      </c>
      <c r="K65" s="47">
        <f>J65*$K$62</f>
        <v>819.8567170871986</v>
      </c>
    </row>
    <row r="66" spans="2:11" x14ac:dyDescent="0.25">
      <c r="B66" s="8" t="s">
        <v>107</v>
      </c>
      <c r="C66" s="622" t="s">
        <v>108</v>
      </c>
      <c r="D66" s="622"/>
      <c r="E66" s="622"/>
      <c r="F66" s="622"/>
      <c r="G66" s="622"/>
      <c r="H66" s="622"/>
      <c r="I66" s="622"/>
      <c r="J66" s="50">
        <f>'7 - ENCARGOS SOCIAIS'!$D$28</f>
        <v>0.12666581537651095</v>
      </c>
      <c r="K66" s="47">
        <f>J66*$K$62</f>
        <v>674.89546419163605</v>
      </c>
    </row>
    <row r="67" spans="2:11" x14ac:dyDescent="0.25">
      <c r="B67" s="8" t="s">
        <v>109</v>
      </c>
      <c r="C67" s="622" t="s">
        <v>110</v>
      </c>
      <c r="D67" s="622"/>
      <c r="E67" s="622"/>
      <c r="F67" s="622"/>
      <c r="G67" s="622"/>
      <c r="H67" s="622"/>
      <c r="I67" s="622"/>
      <c r="J67" s="50">
        <f>'7 - ENCARGOS SOCIAIS'!$D$32</f>
        <v>5.9231502118822603E-2</v>
      </c>
      <c r="K67" s="47">
        <f>J67*$K$62</f>
        <v>315.59479563152661</v>
      </c>
    </row>
    <row r="68" spans="2:11" x14ac:dyDescent="0.25">
      <c r="B68" s="25"/>
      <c r="C68" s="614" t="s">
        <v>111</v>
      </c>
      <c r="D68" s="614"/>
      <c r="E68" s="614"/>
      <c r="F68" s="614"/>
      <c r="G68" s="614"/>
      <c r="H68" s="614"/>
      <c r="I68" s="614"/>
      <c r="J68" s="51">
        <f>SUM(J64:J67)</f>
        <v>0.70776976896623567</v>
      </c>
      <c r="K68" s="52">
        <f>SUM(K64:K67)</f>
        <v>3771.1090821735197</v>
      </c>
    </row>
    <row r="69" spans="2:11" x14ac:dyDescent="0.25">
      <c r="B69" s="45" t="s">
        <v>112</v>
      </c>
      <c r="C69" s="667" t="s">
        <v>113</v>
      </c>
      <c r="D69" s="667"/>
      <c r="E69" s="667"/>
      <c r="F69" s="667"/>
      <c r="G69" s="667"/>
      <c r="H69" s="53" t="s">
        <v>114</v>
      </c>
      <c r="I69" s="45" t="s">
        <v>115</v>
      </c>
      <c r="J69" s="45" t="s">
        <v>116</v>
      </c>
      <c r="K69" s="45" t="s">
        <v>97</v>
      </c>
    </row>
    <row r="70" spans="2:11" ht="15" customHeight="1" x14ac:dyDescent="0.25">
      <c r="B70" s="8" t="s">
        <v>117</v>
      </c>
      <c r="C70" s="670" t="s">
        <v>118</v>
      </c>
      <c r="D70" s="670"/>
      <c r="E70" s="670"/>
      <c r="F70" s="670"/>
      <c r="G70" s="670"/>
      <c r="H70" s="8">
        <v>26</v>
      </c>
      <c r="I70" s="54">
        <v>27.15</v>
      </c>
      <c r="J70" s="69">
        <v>0.19</v>
      </c>
      <c r="K70" s="31">
        <f>(H70*I70)-((H70*I70)*J70)</f>
        <v>571.779</v>
      </c>
    </row>
    <row r="71" spans="2:11" ht="15" customHeight="1" x14ac:dyDescent="0.25">
      <c r="B71" s="8" t="s">
        <v>119</v>
      </c>
      <c r="C71" s="622" t="s">
        <v>120</v>
      </c>
      <c r="D71" s="622"/>
      <c r="E71" s="622"/>
      <c r="F71" s="622"/>
      <c r="G71" s="622"/>
      <c r="H71" s="8">
        <f>H70*4</f>
        <v>104</v>
      </c>
      <c r="I71" s="56">
        <v>6.25</v>
      </c>
      <c r="J71" s="69">
        <v>0.06</v>
      </c>
      <c r="K71" s="31">
        <f>(H71*I71)-(K58*J71)</f>
        <v>434</v>
      </c>
    </row>
    <row r="72" spans="2:11" x14ac:dyDescent="0.25">
      <c r="B72" s="8" t="s">
        <v>121</v>
      </c>
      <c r="C72" s="622" t="s">
        <v>122</v>
      </c>
      <c r="D72" s="622"/>
      <c r="E72" s="622"/>
      <c r="F72" s="622"/>
      <c r="G72" s="622"/>
      <c r="H72" s="4">
        <v>1</v>
      </c>
      <c r="I72" s="54">
        <v>25.52</v>
      </c>
      <c r="J72" s="5"/>
      <c r="K72" s="32">
        <f>I72</f>
        <v>25.52</v>
      </c>
    </row>
    <row r="73" spans="2:11" x14ac:dyDescent="0.25">
      <c r="B73" s="5"/>
      <c r="C73" s="661" t="s">
        <v>123</v>
      </c>
      <c r="D73" s="661"/>
      <c r="E73" s="661"/>
      <c r="F73" s="661"/>
      <c r="G73" s="661"/>
      <c r="H73" s="661"/>
      <c r="I73" s="661"/>
      <c r="J73" s="48"/>
      <c r="K73" s="57">
        <f>SUM(K70:K72)</f>
        <v>1031.299</v>
      </c>
    </row>
    <row r="74" spans="2:11" x14ac:dyDescent="0.25">
      <c r="B74" s="747" t="s">
        <v>137</v>
      </c>
      <c r="C74" s="747"/>
      <c r="D74" s="747"/>
      <c r="E74" s="747"/>
      <c r="F74" s="747"/>
      <c r="G74" s="747"/>
      <c r="H74" s="747"/>
      <c r="I74" s="747"/>
      <c r="J74" s="747"/>
      <c r="K74" s="58">
        <f>K73+K68+K62</f>
        <v>10130.565976910362</v>
      </c>
    </row>
    <row r="75" spans="2:11" x14ac:dyDescent="0.25">
      <c r="B75" s="666" t="s">
        <v>125</v>
      </c>
      <c r="C75" s="666"/>
      <c r="D75" s="666"/>
      <c r="E75" s="666"/>
      <c r="F75" s="666"/>
      <c r="G75" s="666"/>
      <c r="H75" s="666"/>
      <c r="I75" s="59">
        <v>1</v>
      </c>
      <c r="J75" s="59" t="s">
        <v>126</v>
      </c>
      <c r="K75" s="60">
        <f>K74*I75</f>
        <v>10130.565976910362</v>
      </c>
    </row>
    <row r="76" spans="2:11" x14ac:dyDescent="0.25"/>
    <row r="77" spans="2:11" x14ac:dyDescent="0.25">
      <c r="B77" s="663" t="s">
        <v>138</v>
      </c>
      <c r="C77" s="663"/>
      <c r="D77" s="663"/>
      <c r="E77" s="663"/>
      <c r="F77" s="663"/>
      <c r="G77" s="663"/>
      <c r="H77" s="663"/>
      <c r="I77" s="663"/>
      <c r="J77" s="663"/>
      <c r="K77" s="663"/>
    </row>
    <row r="78" spans="2:11" x14ac:dyDescent="0.25">
      <c r="B78" s="3" t="s">
        <v>95</v>
      </c>
      <c r="C78" s="602" t="s">
        <v>96</v>
      </c>
      <c r="D78" s="602"/>
      <c r="E78" s="602"/>
      <c r="F78" s="602"/>
      <c r="G78" s="602"/>
      <c r="H78" s="53" t="s">
        <v>128</v>
      </c>
      <c r="I78" s="61" t="s">
        <v>129</v>
      </c>
      <c r="J78" s="45" t="s">
        <v>115</v>
      </c>
      <c r="K78" s="45" t="s">
        <v>97</v>
      </c>
    </row>
    <row r="79" spans="2:11" x14ac:dyDescent="0.25">
      <c r="B79" s="8" t="s">
        <v>98</v>
      </c>
      <c r="C79" s="622" t="s">
        <v>99</v>
      </c>
      <c r="D79" s="622"/>
      <c r="E79" s="622"/>
      <c r="F79" s="622"/>
      <c r="G79" s="622"/>
      <c r="H79" s="4">
        <v>220</v>
      </c>
      <c r="I79" s="8" t="s">
        <v>130</v>
      </c>
      <c r="J79" s="62">
        <f>K79/H79</f>
        <v>16.363636363636363</v>
      </c>
      <c r="K79" s="47">
        <f>'6 - DADOS CC MO'!E102</f>
        <v>3600</v>
      </c>
    </row>
    <row r="80" spans="2:11" x14ac:dyDescent="0.25">
      <c r="B80" s="668" t="s">
        <v>135</v>
      </c>
      <c r="C80" s="615" t="s">
        <v>139</v>
      </c>
      <c r="D80" s="615"/>
      <c r="E80" s="615"/>
      <c r="F80" s="615"/>
      <c r="G80" s="615"/>
      <c r="H80" s="66">
        <f>H83*H95</f>
        <v>112.66666666666666</v>
      </c>
      <c r="I80" s="8" t="s">
        <v>140</v>
      </c>
      <c r="J80" s="62"/>
      <c r="K80" s="47"/>
    </row>
    <row r="81" spans="2:11" x14ac:dyDescent="0.25">
      <c r="B81" s="668"/>
      <c r="C81" s="615"/>
      <c r="D81" s="615"/>
      <c r="E81" s="615"/>
      <c r="F81" s="615"/>
      <c r="G81" s="615"/>
      <c r="H81" s="66">
        <f>H80*8/7</f>
        <v>128.76190476190476</v>
      </c>
      <c r="I81" s="8" t="s">
        <v>141</v>
      </c>
      <c r="J81" s="62">
        <f>J79*0.2</f>
        <v>3.2727272727272729</v>
      </c>
      <c r="K81" s="47">
        <f>H81*J81</f>
        <v>421.40259740259739</v>
      </c>
    </row>
    <row r="82" spans="2:11" x14ac:dyDescent="0.25">
      <c r="B82" s="8" t="s">
        <v>142</v>
      </c>
      <c r="C82" s="63" t="s">
        <v>132</v>
      </c>
      <c r="D82" s="64"/>
      <c r="E82" s="64"/>
      <c r="F82" s="64"/>
      <c r="G82" s="65"/>
      <c r="H82" s="66">
        <f>7+1/3-H83</f>
        <v>3</v>
      </c>
      <c r="I82" s="8" t="s">
        <v>130</v>
      </c>
      <c r="J82" s="62">
        <f>J79*2</f>
        <v>32.727272727272727</v>
      </c>
      <c r="K82" s="67">
        <f>H82*J82</f>
        <v>98.181818181818187</v>
      </c>
    </row>
    <row r="83" spans="2:11" x14ac:dyDescent="0.25">
      <c r="B83" s="8" t="s">
        <v>143</v>
      </c>
      <c r="C83" s="63" t="s">
        <v>144</v>
      </c>
      <c r="D83" s="64"/>
      <c r="E83" s="64"/>
      <c r="F83" s="64"/>
      <c r="G83" s="65"/>
      <c r="H83" s="66">
        <f>4+1/3</f>
        <v>4.333333333333333</v>
      </c>
      <c r="I83" s="8" t="s">
        <v>130</v>
      </c>
      <c r="J83" s="62"/>
      <c r="K83" s="67"/>
    </row>
    <row r="84" spans="2:11" x14ac:dyDescent="0.25">
      <c r="B84" s="8" t="s">
        <v>145</v>
      </c>
      <c r="C84" s="63" t="s">
        <v>146</v>
      </c>
      <c r="D84" s="64"/>
      <c r="E84" s="64"/>
      <c r="F84" s="64"/>
      <c r="G84" s="65"/>
      <c r="H84" s="66">
        <f>H83*8/7</f>
        <v>4.9523809523809517</v>
      </c>
      <c r="I84" s="8" t="s">
        <v>130</v>
      </c>
      <c r="J84" s="62">
        <f>J79*2*1.2</f>
        <v>39.272727272727273</v>
      </c>
      <c r="K84" s="67">
        <f>H84*J84</f>
        <v>194.49350649350646</v>
      </c>
    </row>
    <row r="85" spans="2:11" x14ac:dyDescent="0.25">
      <c r="B85" s="8" t="s">
        <v>147</v>
      </c>
      <c r="C85" s="63" t="s">
        <v>134</v>
      </c>
      <c r="D85" s="64"/>
      <c r="E85" s="64"/>
      <c r="F85" s="64"/>
      <c r="G85" s="65"/>
      <c r="H85" s="66"/>
      <c r="I85" s="8"/>
      <c r="J85" s="62">
        <f>61/304*(SUM(K81:K84))</f>
        <v>143.28537252221463</v>
      </c>
      <c r="K85" s="67">
        <f>J85</f>
        <v>143.28537252221463</v>
      </c>
    </row>
    <row r="86" spans="2:11" x14ac:dyDescent="0.25">
      <c r="B86" s="8" t="s">
        <v>148</v>
      </c>
      <c r="C86" s="622" t="s">
        <v>136</v>
      </c>
      <c r="D86" s="622"/>
      <c r="E86" s="622"/>
      <c r="F86" s="622"/>
      <c r="G86" s="622"/>
      <c r="H86" s="4">
        <v>40</v>
      </c>
      <c r="I86" s="8" t="s">
        <v>89</v>
      </c>
      <c r="J86" s="46"/>
      <c r="K86" s="68">
        <f>K79*40%</f>
        <v>1440</v>
      </c>
    </row>
    <row r="87" spans="2:11" x14ac:dyDescent="0.25">
      <c r="B87" s="4"/>
      <c r="C87" s="661" t="s">
        <v>100</v>
      </c>
      <c r="D87" s="661"/>
      <c r="E87" s="661"/>
      <c r="F87" s="661"/>
      <c r="G87" s="661"/>
      <c r="H87" s="661"/>
      <c r="I87" s="661"/>
      <c r="J87" s="48"/>
      <c r="K87" s="49">
        <f>SUM(K79:K86)</f>
        <v>5897.3632946001362</v>
      </c>
    </row>
    <row r="88" spans="2:11" x14ac:dyDescent="0.25">
      <c r="B88" s="45" t="s">
        <v>101</v>
      </c>
      <c r="C88" s="602" t="s">
        <v>102</v>
      </c>
      <c r="D88" s="602"/>
      <c r="E88" s="602"/>
      <c r="F88" s="602"/>
      <c r="G88" s="602"/>
      <c r="H88" s="602"/>
      <c r="I88" s="602"/>
      <c r="J88" s="45" t="s">
        <v>89</v>
      </c>
      <c r="K88" s="45" t="s">
        <v>97</v>
      </c>
    </row>
    <row r="89" spans="2:11" x14ac:dyDescent="0.25">
      <c r="B89" s="8" t="s">
        <v>103</v>
      </c>
      <c r="C89" s="622" t="s">
        <v>104</v>
      </c>
      <c r="D89" s="622"/>
      <c r="E89" s="622"/>
      <c r="F89" s="622"/>
      <c r="G89" s="622"/>
      <c r="H89" s="622"/>
      <c r="I89" s="622"/>
      <c r="J89" s="50">
        <f>'7 - ENCARGOS SOCIAIS'!$D$13</f>
        <v>0.36800000000000005</v>
      </c>
      <c r="K89" s="47">
        <f>J89*$K$87</f>
        <v>2170.2296924128505</v>
      </c>
    </row>
    <row r="90" spans="2:11" ht="15" customHeight="1" x14ac:dyDescent="0.25">
      <c r="B90" s="8" t="s">
        <v>105</v>
      </c>
      <c r="C90" s="622" t="s">
        <v>106</v>
      </c>
      <c r="D90" s="622"/>
      <c r="E90" s="622"/>
      <c r="F90" s="622"/>
      <c r="G90" s="622"/>
      <c r="H90" s="622"/>
      <c r="I90" s="622"/>
      <c r="J90" s="50">
        <f>'7 - ENCARGOS SOCIAIS'!$D$21</f>
        <v>0.15387245147090212</v>
      </c>
      <c r="K90" s="47">
        <f>J90*$K$87</f>
        <v>907.44174735463889</v>
      </c>
    </row>
    <row r="91" spans="2:11" x14ac:dyDescent="0.25">
      <c r="B91" s="8" t="s">
        <v>107</v>
      </c>
      <c r="C91" s="622" t="s">
        <v>108</v>
      </c>
      <c r="D91" s="622"/>
      <c r="E91" s="622"/>
      <c r="F91" s="622"/>
      <c r="G91" s="622"/>
      <c r="H91" s="622"/>
      <c r="I91" s="622"/>
      <c r="J91" s="50">
        <f>'7 - ENCARGOS SOCIAIS'!$D$28</f>
        <v>0.12666581537651095</v>
      </c>
      <c r="K91" s="47">
        <f>J91*$K$87</f>
        <v>746.99433028203316</v>
      </c>
    </row>
    <row r="92" spans="2:11" x14ac:dyDescent="0.25">
      <c r="B92" s="8" t="s">
        <v>109</v>
      </c>
      <c r="C92" s="622" t="s">
        <v>110</v>
      </c>
      <c r="D92" s="622"/>
      <c r="E92" s="622"/>
      <c r="F92" s="622"/>
      <c r="G92" s="622"/>
      <c r="H92" s="622"/>
      <c r="I92" s="622"/>
      <c r="J92" s="50">
        <f>'7 - ENCARGOS SOCIAIS'!$D$32</f>
        <v>5.9231502118822603E-2</v>
      </c>
      <c r="K92" s="47">
        <f>J92*$K$87</f>
        <v>349.30968647957462</v>
      </c>
    </row>
    <row r="93" spans="2:11" x14ac:dyDescent="0.25">
      <c r="B93" s="25"/>
      <c r="C93" s="614" t="s">
        <v>111</v>
      </c>
      <c r="D93" s="614"/>
      <c r="E93" s="614"/>
      <c r="F93" s="614"/>
      <c r="G93" s="614"/>
      <c r="H93" s="614"/>
      <c r="I93" s="614"/>
      <c r="J93" s="51">
        <f>SUM(J89:J92)</f>
        <v>0.70776976896623567</v>
      </c>
      <c r="K93" s="52">
        <f>SUM(K89:K92)</f>
        <v>4173.9754565290968</v>
      </c>
    </row>
    <row r="94" spans="2:11" ht="34.15" customHeight="1" x14ac:dyDescent="0.25">
      <c r="B94" s="45" t="s">
        <v>112</v>
      </c>
      <c r="C94" s="667" t="s">
        <v>113</v>
      </c>
      <c r="D94" s="667"/>
      <c r="E94" s="667"/>
      <c r="F94" s="667"/>
      <c r="G94" s="667"/>
      <c r="H94" s="53" t="s">
        <v>114</v>
      </c>
      <c r="I94" s="45" t="s">
        <v>115</v>
      </c>
      <c r="J94" s="45" t="s">
        <v>116</v>
      </c>
      <c r="K94" s="45" t="s">
        <v>97</v>
      </c>
    </row>
    <row r="95" spans="2:11" ht="15" customHeight="1" x14ac:dyDescent="0.25">
      <c r="B95" s="8" t="s">
        <v>117</v>
      </c>
      <c r="C95" s="670" t="s">
        <v>118</v>
      </c>
      <c r="D95" s="670"/>
      <c r="E95" s="670"/>
      <c r="F95" s="670"/>
      <c r="G95" s="670"/>
      <c r="H95" s="8">
        <v>26</v>
      </c>
      <c r="I95" s="54">
        <v>27.15</v>
      </c>
      <c r="J95" s="69">
        <v>0.19</v>
      </c>
      <c r="K95" s="31">
        <f>(H95*I95)-((H95*I95)*J95)</f>
        <v>571.779</v>
      </c>
    </row>
    <row r="96" spans="2:11" x14ac:dyDescent="0.25">
      <c r="B96" s="8" t="s">
        <v>119</v>
      </c>
      <c r="C96" s="622" t="s">
        <v>120</v>
      </c>
      <c r="D96" s="622"/>
      <c r="E96" s="622"/>
      <c r="F96" s="622"/>
      <c r="G96" s="622"/>
      <c r="H96" s="8">
        <f>H95*4</f>
        <v>104</v>
      </c>
      <c r="I96" s="56">
        <v>6.25</v>
      </c>
      <c r="J96" s="69">
        <v>0.06</v>
      </c>
      <c r="K96" s="31">
        <f>(H96*I96)-(K79*J96)</f>
        <v>434</v>
      </c>
    </row>
    <row r="97" spans="2:11" x14ac:dyDescent="0.25">
      <c r="B97" s="8" t="s">
        <v>121</v>
      </c>
      <c r="C97" s="622" t="s">
        <v>122</v>
      </c>
      <c r="D97" s="622"/>
      <c r="E97" s="622"/>
      <c r="F97" s="622"/>
      <c r="G97" s="622"/>
      <c r="H97" s="4">
        <v>1</v>
      </c>
      <c r="I97" s="54">
        <v>25.52</v>
      </c>
      <c r="J97" s="5"/>
      <c r="K97" s="32">
        <f>I97</f>
        <v>25.52</v>
      </c>
    </row>
    <row r="98" spans="2:11" x14ac:dyDescent="0.25">
      <c r="B98" s="5"/>
      <c r="C98" s="661" t="s">
        <v>123</v>
      </c>
      <c r="D98" s="661"/>
      <c r="E98" s="661"/>
      <c r="F98" s="661"/>
      <c r="G98" s="661"/>
      <c r="H98" s="661"/>
      <c r="I98" s="661"/>
      <c r="J98" s="48"/>
      <c r="K98" s="57">
        <f>SUM(K95:K97)</f>
        <v>1031.299</v>
      </c>
    </row>
    <row r="99" spans="2:11" x14ac:dyDescent="0.25">
      <c r="B99" s="747" t="s">
        <v>149</v>
      </c>
      <c r="C99" s="747"/>
      <c r="D99" s="747"/>
      <c r="E99" s="747"/>
      <c r="F99" s="747"/>
      <c r="G99" s="747"/>
      <c r="H99" s="747"/>
      <c r="I99" s="747"/>
      <c r="J99" s="747"/>
      <c r="K99" s="58">
        <f>K98+K93+K87</f>
        <v>11102.637751129234</v>
      </c>
    </row>
    <row r="100" spans="2:11" x14ac:dyDescent="0.25">
      <c r="B100" s="666" t="s">
        <v>125</v>
      </c>
      <c r="C100" s="666"/>
      <c r="D100" s="666"/>
      <c r="E100" s="666"/>
      <c r="F100" s="666"/>
      <c r="G100" s="666"/>
      <c r="H100" s="666"/>
      <c r="I100" s="59">
        <v>1</v>
      </c>
      <c r="J100" s="59" t="s">
        <v>126</v>
      </c>
      <c r="K100" s="60">
        <f>K99*I100</f>
        <v>11102.637751129234</v>
      </c>
    </row>
    <row r="101" spans="2:11" x14ac:dyDescent="0.25"/>
    <row r="102" spans="2:11" x14ac:dyDescent="0.25">
      <c r="B102" s="663" t="s">
        <v>150</v>
      </c>
      <c r="C102" s="663"/>
      <c r="D102" s="663"/>
      <c r="E102" s="663"/>
      <c r="F102" s="663"/>
      <c r="G102" s="663"/>
      <c r="H102" s="663"/>
      <c r="I102" s="663"/>
      <c r="J102" s="663"/>
      <c r="K102" s="663"/>
    </row>
    <row r="103" spans="2:11" x14ac:dyDescent="0.25">
      <c r="B103" s="3" t="s">
        <v>95</v>
      </c>
      <c r="C103" s="602" t="s">
        <v>96</v>
      </c>
      <c r="D103" s="602"/>
      <c r="E103" s="602"/>
      <c r="F103" s="602"/>
      <c r="G103" s="602"/>
      <c r="H103" s="602"/>
      <c r="I103" s="602"/>
      <c r="J103" s="45"/>
      <c r="K103" s="45" t="s">
        <v>97</v>
      </c>
    </row>
    <row r="104" spans="2:11" x14ac:dyDescent="0.25">
      <c r="B104" s="4" t="s">
        <v>98</v>
      </c>
      <c r="C104" s="604" t="s">
        <v>99</v>
      </c>
      <c r="D104" s="604"/>
      <c r="E104" s="604"/>
      <c r="F104" s="604"/>
      <c r="G104" s="604"/>
      <c r="H104" s="604"/>
      <c r="I104" s="604"/>
      <c r="J104" s="46"/>
      <c r="K104" s="47">
        <f>'6 - DADOS CC MO'!E56</f>
        <v>2307.83</v>
      </c>
    </row>
    <row r="105" spans="2:11" x14ac:dyDescent="0.25">
      <c r="B105" s="4"/>
      <c r="C105" s="661" t="s">
        <v>100</v>
      </c>
      <c r="D105" s="661"/>
      <c r="E105" s="661"/>
      <c r="F105" s="661"/>
      <c r="G105" s="661"/>
      <c r="H105" s="661"/>
      <c r="I105" s="661"/>
      <c r="J105" s="48"/>
      <c r="K105" s="49">
        <f>K104</f>
        <v>2307.83</v>
      </c>
    </row>
    <row r="106" spans="2:11" x14ac:dyDescent="0.25">
      <c r="B106" s="45" t="s">
        <v>101</v>
      </c>
      <c r="C106" s="602" t="s">
        <v>102</v>
      </c>
      <c r="D106" s="602"/>
      <c r="E106" s="602"/>
      <c r="F106" s="602"/>
      <c r="G106" s="602"/>
      <c r="H106" s="602"/>
      <c r="I106" s="602"/>
      <c r="J106" s="45" t="s">
        <v>89</v>
      </c>
      <c r="K106" s="45" t="s">
        <v>97</v>
      </c>
    </row>
    <row r="107" spans="2:11" ht="15" customHeight="1" x14ac:dyDescent="0.25">
      <c r="B107" s="8" t="s">
        <v>103</v>
      </c>
      <c r="C107" s="622" t="s">
        <v>104</v>
      </c>
      <c r="D107" s="622"/>
      <c r="E107" s="622"/>
      <c r="F107" s="622"/>
      <c r="G107" s="622"/>
      <c r="H107" s="622"/>
      <c r="I107" s="622"/>
      <c r="J107" s="50">
        <f>'7 - ENCARGOS SOCIAIS'!$D$13</f>
        <v>0.36800000000000005</v>
      </c>
      <c r="K107" s="47">
        <f>J107*$K$105</f>
        <v>849.28144000000009</v>
      </c>
    </row>
    <row r="108" spans="2:11" x14ac:dyDescent="0.25">
      <c r="B108" s="8" t="s">
        <v>105</v>
      </c>
      <c r="C108" s="622" t="s">
        <v>106</v>
      </c>
      <c r="D108" s="622"/>
      <c r="E108" s="622"/>
      <c r="F108" s="622"/>
      <c r="G108" s="622"/>
      <c r="H108" s="622"/>
      <c r="I108" s="622"/>
      <c r="J108" s="50">
        <f>'7 - ENCARGOS SOCIAIS'!$D$21</f>
        <v>0.15387245147090212</v>
      </c>
      <c r="K108" s="47">
        <f>J108*$K$105</f>
        <v>355.11145967809205</v>
      </c>
    </row>
    <row r="109" spans="2:11" x14ac:dyDescent="0.25">
      <c r="B109" s="8" t="s">
        <v>107</v>
      </c>
      <c r="C109" s="622" t="s">
        <v>108</v>
      </c>
      <c r="D109" s="622"/>
      <c r="E109" s="622"/>
      <c r="F109" s="622"/>
      <c r="G109" s="622"/>
      <c r="H109" s="622"/>
      <c r="I109" s="622"/>
      <c r="J109" s="50">
        <f>'7 - ENCARGOS SOCIAIS'!$D$28</f>
        <v>0.12666581537651095</v>
      </c>
      <c r="K109" s="47">
        <f>J109*$K$105</f>
        <v>292.32316870037323</v>
      </c>
    </row>
    <row r="110" spans="2:11" x14ac:dyDescent="0.25">
      <c r="B110" s="8" t="s">
        <v>109</v>
      </c>
      <c r="C110" s="622" t="s">
        <v>110</v>
      </c>
      <c r="D110" s="622"/>
      <c r="E110" s="622"/>
      <c r="F110" s="622"/>
      <c r="G110" s="622"/>
      <c r="H110" s="622"/>
      <c r="I110" s="622"/>
      <c r="J110" s="50">
        <f>'7 - ENCARGOS SOCIAIS'!$D$32</f>
        <v>5.9231502118822603E-2</v>
      </c>
      <c r="K110" s="47">
        <f>J110*$K$105</f>
        <v>136.69623753488236</v>
      </c>
    </row>
    <row r="111" spans="2:11" x14ac:dyDescent="0.25">
      <c r="B111" s="25"/>
      <c r="C111" s="614" t="s">
        <v>111</v>
      </c>
      <c r="D111" s="614"/>
      <c r="E111" s="614"/>
      <c r="F111" s="614"/>
      <c r="G111" s="614"/>
      <c r="H111" s="614"/>
      <c r="I111" s="614"/>
      <c r="J111" s="51">
        <f>SUM(J107:J110)</f>
        <v>0.70776976896623567</v>
      </c>
      <c r="K111" s="52">
        <f>SUM(K107:K110)</f>
        <v>1633.4123059133478</v>
      </c>
    </row>
    <row r="112" spans="2:11" ht="30.6" customHeight="1" x14ac:dyDescent="0.25">
      <c r="B112" s="45" t="s">
        <v>112</v>
      </c>
      <c r="C112" s="667" t="s">
        <v>113</v>
      </c>
      <c r="D112" s="667"/>
      <c r="E112" s="667"/>
      <c r="F112" s="667"/>
      <c r="G112" s="667"/>
      <c r="H112" s="53" t="s">
        <v>114</v>
      </c>
      <c r="I112" s="45" t="s">
        <v>115</v>
      </c>
      <c r="J112" s="45" t="s">
        <v>116</v>
      </c>
      <c r="K112" s="45" t="s">
        <v>97</v>
      </c>
    </row>
    <row r="113" spans="2:11" ht="15" customHeight="1" x14ac:dyDescent="0.25">
      <c r="B113" s="8" t="s">
        <v>117</v>
      </c>
      <c r="C113" s="670" t="s">
        <v>118</v>
      </c>
      <c r="D113" s="670"/>
      <c r="E113" s="670"/>
      <c r="F113" s="670"/>
      <c r="G113" s="670"/>
      <c r="H113" s="8">
        <v>26</v>
      </c>
      <c r="I113" s="54">
        <v>27.15</v>
      </c>
      <c r="J113" s="69">
        <v>0.19</v>
      </c>
      <c r="K113" s="31">
        <f>(H113*I113)-((H113*I113)*J113)</f>
        <v>571.779</v>
      </c>
    </row>
    <row r="114" spans="2:11" x14ac:dyDescent="0.25">
      <c r="B114" s="8" t="s">
        <v>119</v>
      </c>
      <c r="C114" s="622" t="s">
        <v>151</v>
      </c>
      <c r="D114" s="622"/>
      <c r="E114" s="622"/>
      <c r="F114" s="622"/>
      <c r="G114" s="622"/>
      <c r="H114" s="8">
        <f>H113*4</f>
        <v>104</v>
      </c>
      <c r="I114" s="56">
        <v>6.25</v>
      </c>
      <c r="J114" s="69">
        <v>0.06</v>
      </c>
      <c r="K114" s="31">
        <f>(H114*I114)-(K104*J114)</f>
        <v>511.53020000000004</v>
      </c>
    </row>
    <row r="115" spans="2:11" x14ac:dyDescent="0.25">
      <c r="B115" s="8" t="s">
        <v>121</v>
      </c>
      <c r="C115" s="622" t="s">
        <v>122</v>
      </c>
      <c r="D115" s="622"/>
      <c r="E115" s="622"/>
      <c r="F115" s="622"/>
      <c r="G115" s="622"/>
      <c r="H115" s="4">
        <v>1</v>
      </c>
      <c r="I115" s="54">
        <v>25.52</v>
      </c>
      <c r="J115" s="5"/>
      <c r="K115" s="70">
        <f>I115</f>
        <v>25.52</v>
      </c>
    </row>
    <row r="116" spans="2:11" x14ac:dyDescent="0.25">
      <c r="B116" s="8" t="s">
        <v>152</v>
      </c>
      <c r="C116" s="671" t="s">
        <v>153</v>
      </c>
      <c r="D116" s="671"/>
      <c r="E116" s="671"/>
      <c r="F116" s="671"/>
      <c r="G116" s="671"/>
      <c r="H116" s="4">
        <v>1</v>
      </c>
      <c r="I116" s="54">
        <v>80</v>
      </c>
      <c r="J116" s="5"/>
      <c r="K116" s="32">
        <f>I116</f>
        <v>80</v>
      </c>
    </row>
    <row r="117" spans="2:11" x14ac:dyDescent="0.25">
      <c r="B117" s="5"/>
      <c r="C117" s="661" t="s">
        <v>123</v>
      </c>
      <c r="D117" s="661"/>
      <c r="E117" s="661"/>
      <c r="F117" s="661"/>
      <c r="G117" s="661"/>
      <c r="H117" s="661"/>
      <c r="I117" s="661"/>
      <c r="J117" s="48"/>
      <c r="K117" s="57">
        <f>SUM(K113:K116)</f>
        <v>1188.8292000000001</v>
      </c>
    </row>
    <row r="118" spans="2:11" x14ac:dyDescent="0.25">
      <c r="B118" s="747" t="s">
        <v>154</v>
      </c>
      <c r="C118" s="747"/>
      <c r="D118" s="747"/>
      <c r="E118" s="747"/>
      <c r="F118" s="747"/>
      <c r="G118" s="747"/>
      <c r="H118" s="747"/>
      <c r="I118" s="747"/>
      <c r="J118" s="747"/>
      <c r="K118" s="58">
        <f>K117+K111+K105</f>
        <v>5130.0715059133481</v>
      </c>
    </row>
    <row r="119" spans="2:11" x14ac:dyDescent="0.25">
      <c r="B119" s="666" t="s">
        <v>125</v>
      </c>
      <c r="C119" s="666"/>
      <c r="D119" s="666"/>
      <c r="E119" s="666"/>
      <c r="F119" s="666"/>
      <c r="G119" s="666"/>
      <c r="H119" s="666"/>
      <c r="I119" s="59">
        <f>H10</f>
        <v>1</v>
      </c>
      <c r="J119" s="59" t="s">
        <v>126</v>
      </c>
      <c r="K119" s="60">
        <f>K118*I119</f>
        <v>5130.0715059133481</v>
      </c>
    </row>
    <row r="120" spans="2:11" x14ac:dyDescent="0.25"/>
    <row r="121" spans="2:11" x14ac:dyDescent="0.25">
      <c r="B121" s="663" t="s">
        <v>155</v>
      </c>
      <c r="C121" s="663"/>
      <c r="D121" s="663"/>
      <c r="E121" s="663"/>
      <c r="F121" s="663"/>
      <c r="G121" s="663"/>
      <c r="H121" s="663"/>
      <c r="I121" s="663"/>
      <c r="J121" s="663"/>
      <c r="K121" s="663"/>
    </row>
    <row r="122" spans="2:11" x14ac:dyDescent="0.25">
      <c r="B122" s="3" t="s">
        <v>95</v>
      </c>
      <c r="C122" s="602" t="s">
        <v>96</v>
      </c>
      <c r="D122" s="602"/>
      <c r="E122" s="602"/>
      <c r="F122" s="602"/>
      <c r="G122" s="602"/>
      <c r="H122" s="53" t="s">
        <v>128</v>
      </c>
      <c r="I122" s="61" t="s">
        <v>129</v>
      </c>
      <c r="J122" s="45" t="s">
        <v>115</v>
      </c>
      <c r="K122" s="45" t="s">
        <v>97</v>
      </c>
    </row>
    <row r="123" spans="2:11" x14ac:dyDescent="0.25">
      <c r="B123" s="8" t="s">
        <v>98</v>
      </c>
      <c r="C123" s="622" t="s">
        <v>99</v>
      </c>
      <c r="D123" s="622"/>
      <c r="E123" s="622"/>
      <c r="F123" s="622"/>
      <c r="G123" s="622"/>
      <c r="H123" s="4">
        <v>220</v>
      </c>
      <c r="I123" s="8" t="s">
        <v>130</v>
      </c>
      <c r="J123" s="62">
        <f>K123/H123</f>
        <v>9.6690909090909081</v>
      </c>
      <c r="K123" s="47">
        <f>'6 - DADOS CC MO'!E34</f>
        <v>2127.1999999999998</v>
      </c>
    </row>
    <row r="124" spans="2:11" x14ac:dyDescent="0.25">
      <c r="B124" s="8" t="s">
        <v>131</v>
      </c>
      <c r="C124" s="63" t="s">
        <v>132</v>
      </c>
      <c r="D124" s="64"/>
      <c r="E124" s="64"/>
      <c r="F124" s="64"/>
      <c r="G124" s="65"/>
      <c r="H124" s="66">
        <f>7+1/3</f>
        <v>7.333333333333333</v>
      </c>
      <c r="I124" s="8" t="s">
        <v>130</v>
      </c>
      <c r="J124" s="62">
        <f>J123*2</f>
        <v>19.338181818181816</v>
      </c>
      <c r="K124" s="67">
        <f>H124*J124</f>
        <v>141.8133333333333</v>
      </c>
    </row>
    <row r="125" spans="2:11" ht="15" customHeight="1" x14ac:dyDescent="0.25">
      <c r="B125" s="8" t="s">
        <v>133</v>
      </c>
      <c r="C125" s="63" t="s">
        <v>134</v>
      </c>
      <c r="D125" s="64"/>
      <c r="E125" s="64"/>
      <c r="F125" s="64"/>
      <c r="G125" s="65"/>
      <c r="H125" s="66"/>
      <c r="I125" s="8"/>
      <c r="J125" s="62">
        <f>61/304*(SUM(K124))</f>
        <v>28.455964912280699</v>
      </c>
      <c r="K125" s="67">
        <f>J125</f>
        <v>28.455964912280699</v>
      </c>
    </row>
    <row r="126" spans="2:11" x14ac:dyDescent="0.25">
      <c r="B126" s="8" t="s">
        <v>135</v>
      </c>
      <c r="C126" s="622" t="s">
        <v>136</v>
      </c>
      <c r="D126" s="622"/>
      <c r="E126" s="622"/>
      <c r="F126" s="622"/>
      <c r="G126" s="622"/>
      <c r="H126" s="4">
        <v>40</v>
      </c>
      <c r="I126" s="8" t="s">
        <v>89</v>
      </c>
      <c r="J126" s="46"/>
      <c r="K126" s="47">
        <f>K123*40%</f>
        <v>850.88</v>
      </c>
    </row>
    <row r="127" spans="2:11" x14ac:dyDescent="0.25">
      <c r="B127" s="4"/>
      <c r="C127" s="661" t="s">
        <v>100</v>
      </c>
      <c r="D127" s="661"/>
      <c r="E127" s="661"/>
      <c r="F127" s="661"/>
      <c r="G127" s="661"/>
      <c r="H127" s="661"/>
      <c r="I127" s="661"/>
      <c r="J127" s="48"/>
      <c r="K127" s="49">
        <f>SUM(K123:K126)</f>
        <v>3148.3492982456141</v>
      </c>
    </row>
    <row r="128" spans="2:11" x14ac:dyDescent="0.25">
      <c r="B128" s="45" t="s">
        <v>101</v>
      </c>
      <c r="C128" s="602" t="s">
        <v>102</v>
      </c>
      <c r="D128" s="602"/>
      <c r="E128" s="602"/>
      <c r="F128" s="602"/>
      <c r="G128" s="602"/>
      <c r="H128" s="602"/>
      <c r="I128" s="602"/>
      <c r="J128" s="45" t="s">
        <v>89</v>
      </c>
      <c r="K128" s="45" t="s">
        <v>97</v>
      </c>
    </row>
    <row r="129" spans="2:11" x14ac:dyDescent="0.25">
      <c r="B129" s="8" t="s">
        <v>103</v>
      </c>
      <c r="C129" s="622" t="s">
        <v>104</v>
      </c>
      <c r="D129" s="622"/>
      <c r="E129" s="622"/>
      <c r="F129" s="622"/>
      <c r="G129" s="622"/>
      <c r="H129" s="622"/>
      <c r="I129" s="622"/>
      <c r="J129" s="50">
        <f>'7 - ENCARGOS SOCIAIS'!$D$13</f>
        <v>0.36800000000000005</v>
      </c>
      <c r="K129" s="47">
        <f>J129*$K$127</f>
        <v>1158.592541754386</v>
      </c>
    </row>
    <row r="130" spans="2:11" x14ac:dyDescent="0.25">
      <c r="B130" s="8" t="s">
        <v>105</v>
      </c>
      <c r="C130" s="622" t="s">
        <v>106</v>
      </c>
      <c r="D130" s="622"/>
      <c r="E130" s="622"/>
      <c r="F130" s="622"/>
      <c r="G130" s="622"/>
      <c r="H130" s="622"/>
      <c r="I130" s="622"/>
      <c r="J130" s="50">
        <f>'7 - ENCARGOS SOCIAIS'!$D$21</f>
        <v>0.15387245147090212</v>
      </c>
      <c r="K130" s="47">
        <f>J130*$K$127</f>
        <v>484.444224607747</v>
      </c>
    </row>
    <row r="131" spans="2:11" x14ac:dyDescent="0.25">
      <c r="B131" s="8" t="s">
        <v>107</v>
      </c>
      <c r="C131" s="622" t="s">
        <v>108</v>
      </c>
      <c r="D131" s="622"/>
      <c r="E131" s="622"/>
      <c r="F131" s="622"/>
      <c r="G131" s="622"/>
      <c r="H131" s="622"/>
      <c r="I131" s="622"/>
      <c r="J131" s="50">
        <f>'7 - ENCARGOS SOCIAIS'!$D$28</f>
        <v>0.12666581537651095</v>
      </c>
      <c r="K131" s="47">
        <f>J131*$K$127</f>
        <v>398.78823095234674</v>
      </c>
    </row>
    <row r="132" spans="2:11" x14ac:dyDescent="0.25">
      <c r="B132" s="8" t="s">
        <v>109</v>
      </c>
      <c r="C132" s="622" t="s">
        <v>110</v>
      </c>
      <c r="D132" s="622"/>
      <c r="E132" s="622"/>
      <c r="F132" s="622"/>
      <c r="G132" s="622"/>
      <c r="H132" s="622"/>
      <c r="I132" s="622"/>
      <c r="J132" s="50">
        <f>'7 - ENCARGOS SOCIAIS'!$D$32</f>
        <v>5.9231502118822603E-2</v>
      </c>
      <c r="K132" s="47">
        <f>J132*$K$127</f>
        <v>186.48145812982875</v>
      </c>
    </row>
    <row r="133" spans="2:11" x14ac:dyDescent="0.25">
      <c r="B133" s="25"/>
      <c r="C133" s="614" t="s">
        <v>111</v>
      </c>
      <c r="D133" s="614"/>
      <c r="E133" s="614"/>
      <c r="F133" s="614"/>
      <c r="G133" s="614"/>
      <c r="H133" s="614"/>
      <c r="I133" s="614"/>
      <c r="J133" s="51">
        <f>SUM(J129:J132)</f>
        <v>0.70776976896623567</v>
      </c>
      <c r="K133" s="52">
        <f>SUM(K129:K132)</f>
        <v>2228.3064554443085</v>
      </c>
    </row>
    <row r="134" spans="2:11" ht="32.450000000000003" customHeight="1" x14ac:dyDescent="0.25">
      <c r="B134" s="45" t="s">
        <v>112</v>
      </c>
      <c r="C134" s="667" t="s">
        <v>113</v>
      </c>
      <c r="D134" s="667"/>
      <c r="E134" s="667"/>
      <c r="F134" s="667"/>
      <c r="G134" s="667"/>
      <c r="H134" s="53" t="s">
        <v>114</v>
      </c>
      <c r="I134" s="45" t="s">
        <v>115</v>
      </c>
      <c r="J134" s="45" t="s">
        <v>116</v>
      </c>
      <c r="K134" s="45" t="s">
        <v>97</v>
      </c>
    </row>
    <row r="135" spans="2:11" x14ac:dyDescent="0.25">
      <c r="B135" s="8" t="s">
        <v>117</v>
      </c>
      <c r="C135" s="622" t="s">
        <v>156</v>
      </c>
      <c r="D135" s="622"/>
      <c r="E135" s="622"/>
      <c r="F135" s="622"/>
      <c r="G135" s="622"/>
      <c r="H135" s="4">
        <v>26</v>
      </c>
      <c r="I135" s="54">
        <v>27.15</v>
      </c>
      <c r="J135" s="55">
        <v>0.19</v>
      </c>
      <c r="K135" s="31">
        <f>(H135*I135)-((H135*I135)*J135)</f>
        <v>571.779</v>
      </c>
    </row>
    <row r="136" spans="2:11" x14ac:dyDescent="0.25">
      <c r="B136" s="8" t="s">
        <v>119</v>
      </c>
      <c r="C136" s="670" t="s">
        <v>120</v>
      </c>
      <c r="D136" s="670"/>
      <c r="E136" s="670"/>
      <c r="F136" s="670"/>
      <c r="G136" s="670"/>
      <c r="H136" s="4">
        <f>H135*4</f>
        <v>104</v>
      </c>
      <c r="I136" s="56">
        <v>6.25</v>
      </c>
      <c r="J136" s="55">
        <v>0.06</v>
      </c>
      <c r="K136" s="31">
        <f>(H136*I136)-(K123*J136)</f>
        <v>522.36800000000005</v>
      </c>
    </row>
    <row r="137" spans="2:11" x14ac:dyDescent="0.25">
      <c r="B137" s="8" t="s">
        <v>121</v>
      </c>
      <c r="C137" s="622" t="s">
        <v>122</v>
      </c>
      <c r="D137" s="622"/>
      <c r="E137" s="622"/>
      <c r="F137" s="622"/>
      <c r="G137" s="622"/>
      <c r="H137" s="4">
        <v>1</v>
      </c>
      <c r="I137" s="54">
        <v>25.52</v>
      </c>
      <c r="J137" s="5"/>
      <c r="K137" s="32">
        <f>I137</f>
        <v>25.52</v>
      </c>
    </row>
    <row r="138" spans="2:11" x14ac:dyDescent="0.25">
      <c r="B138" s="5"/>
      <c r="C138" s="661" t="s">
        <v>123</v>
      </c>
      <c r="D138" s="661"/>
      <c r="E138" s="661"/>
      <c r="F138" s="661"/>
      <c r="G138" s="661"/>
      <c r="H138" s="661"/>
      <c r="I138" s="661"/>
      <c r="J138" s="48"/>
      <c r="K138" s="57">
        <f>SUM(K135:K137)</f>
        <v>1119.6669999999999</v>
      </c>
    </row>
    <row r="139" spans="2:11" x14ac:dyDescent="0.25">
      <c r="B139" s="747" t="s">
        <v>157</v>
      </c>
      <c r="C139" s="747"/>
      <c r="D139" s="747"/>
      <c r="E139" s="747"/>
      <c r="F139" s="747"/>
      <c r="G139" s="747"/>
      <c r="H139" s="747"/>
      <c r="I139" s="747"/>
      <c r="J139" s="747"/>
      <c r="K139" s="58">
        <f>K138+K133+K127</f>
        <v>6496.322753689923</v>
      </c>
    </row>
    <row r="140" spans="2:11" x14ac:dyDescent="0.25">
      <c r="B140" s="666" t="s">
        <v>125</v>
      </c>
      <c r="C140" s="666"/>
      <c r="D140" s="666"/>
      <c r="E140" s="666"/>
      <c r="F140" s="666"/>
      <c r="G140" s="666"/>
      <c r="H140" s="666"/>
      <c r="I140" s="59">
        <v>1</v>
      </c>
      <c r="J140" s="59" t="s">
        <v>126</v>
      </c>
      <c r="K140" s="60">
        <f>K139*I140</f>
        <v>6496.322753689923</v>
      </c>
    </row>
    <row r="141" spans="2:11" x14ac:dyDescent="0.25"/>
    <row r="142" spans="2:11" x14ac:dyDescent="0.25">
      <c r="B142" s="752" t="s">
        <v>158</v>
      </c>
      <c r="C142" s="752"/>
      <c r="D142" s="752"/>
      <c r="E142" s="752"/>
      <c r="F142" s="752"/>
      <c r="G142" s="752"/>
      <c r="H142" s="752"/>
      <c r="I142" s="752"/>
      <c r="J142" s="752"/>
      <c r="K142" s="752"/>
    </row>
    <row r="143" spans="2:11" x14ac:dyDescent="0.25">
      <c r="B143" s="72" t="s">
        <v>95</v>
      </c>
      <c r="C143" s="753" t="s">
        <v>96</v>
      </c>
      <c r="D143" s="753"/>
      <c r="E143" s="753"/>
      <c r="F143" s="753"/>
      <c r="G143" s="753"/>
      <c r="H143" s="74" t="s">
        <v>128</v>
      </c>
      <c r="I143" s="75" t="s">
        <v>129</v>
      </c>
      <c r="J143" s="73" t="s">
        <v>115</v>
      </c>
      <c r="K143" s="73" t="s">
        <v>97</v>
      </c>
    </row>
    <row r="144" spans="2:11" x14ac:dyDescent="0.25">
      <c r="B144" s="76" t="s">
        <v>98</v>
      </c>
      <c r="C144" s="671" t="s">
        <v>99</v>
      </c>
      <c r="D144" s="671"/>
      <c r="E144" s="671"/>
      <c r="F144" s="671"/>
      <c r="G144" s="671"/>
      <c r="H144" s="77">
        <v>220</v>
      </c>
      <c r="I144" s="76" t="s">
        <v>130</v>
      </c>
      <c r="J144" s="78">
        <f>K144/H144</f>
        <v>9.6690909090909081</v>
      </c>
      <c r="K144" s="79">
        <v>2127.1999999999998</v>
      </c>
    </row>
    <row r="145" spans="2:11" x14ac:dyDescent="0.25">
      <c r="B145" s="754" t="s">
        <v>135</v>
      </c>
      <c r="C145" s="755" t="s">
        <v>139</v>
      </c>
      <c r="D145" s="755"/>
      <c r="E145" s="755"/>
      <c r="F145" s="755"/>
      <c r="G145" s="755"/>
      <c r="H145" s="80">
        <v>112.67</v>
      </c>
      <c r="I145" s="77" t="s">
        <v>140</v>
      </c>
      <c r="J145" s="81"/>
      <c r="K145" s="79"/>
    </row>
    <row r="146" spans="2:11" x14ac:dyDescent="0.25">
      <c r="B146" s="754"/>
      <c r="C146" s="755"/>
      <c r="D146" s="755"/>
      <c r="E146" s="755"/>
      <c r="F146" s="755"/>
      <c r="G146" s="755"/>
      <c r="H146" s="82">
        <v>128.76</v>
      </c>
      <c r="I146" s="77" t="s">
        <v>141</v>
      </c>
      <c r="J146" s="80">
        <f>J144*0.2</f>
        <v>1.9338181818181817</v>
      </c>
      <c r="K146" s="79">
        <f>J146*H146</f>
        <v>248.99842909090904</v>
      </c>
    </row>
    <row r="147" spans="2:11" x14ac:dyDescent="0.25">
      <c r="B147" s="76" t="s">
        <v>142</v>
      </c>
      <c r="C147" s="83" t="s">
        <v>132</v>
      </c>
      <c r="D147" s="84"/>
      <c r="E147" s="84"/>
      <c r="F147" s="84"/>
      <c r="G147" s="85"/>
      <c r="H147" s="80">
        <f>7+1/3-H148</f>
        <v>3</v>
      </c>
      <c r="I147" s="77" t="s">
        <v>130</v>
      </c>
      <c r="J147" s="80">
        <f>J144*2</f>
        <v>19.338181818181816</v>
      </c>
      <c r="K147" s="79">
        <f>J147*H147</f>
        <v>58.014545454545448</v>
      </c>
    </row>
    <row r="148" spans="2:11" x14ac:dyDescent="0.25">
      <c r="B148" s="76" t="s">
        <v>143</v>
      </c>
      <c r="C148" s="83" t="s">
        <v>144</v>
      </c>
      <c r="D148" s="84"/>
      <c r="E148" s="84"/>
      <c r="F148" s="84"/>
      <c r="G148" s="85"/>
      <c r="H148" s="80">
        <f>4+1/3</f>
        <v>4.333333333333333</v>
      </c>
      <c r="I148" s="77" t="s">
        <v>130</v>
      </c>
      <c r="J148" s="77"/>
      <c r="K148" s="79"/>
    </row>
    <row r="149" spans="2:11" x14ac:dyDescent="0.25">
      <c r="B149" s="76" t="s">
        <v>145</v>
      </c>
      <c r="C149" s="83" t="s">
        <v>146</v>
      </c>
      <c r="D149" s="84"/>
      <c r="E149" s="84"/>
      <c r="F149" s="84"/>
      <c r="G149" s="85"/>
      <c r="H149" s="80">
        <f>H148*8/7</f>
        <v>4.9523809523809517</v>
      </c>
      <c r="I149" s="77" t="s">
        <v>130</v>
      </c>
      <c r="J149" s="80">
        <f>J144*2*1.2</f>
        <v>23.205818181818177</v>
      </c>
      <c r="K149" s="79">
        <f>J149*H149</f>
        <v>114.92405194805191</v>
      </c>
    </row>
    <row r="150" spans="2:11" x14ac:dyDescent="0.25">
      <c r="B150" s="76" t="s">
        <v>147</v>
      </c>
      <c r="C150" s="83" t="s">
        <v>159</v>
      </c>
      <c r="D150" s="84"/>
      <c r="E150" s="84"/>
      <c r="F150" s="84"/>
      <c r="G150" s="85"/>
      <c r="H150" s="77"/>
      <c r="I150" s="86"/>
      <c r="J150" s="80">
        <f>61/304*(SUM(K146:K149))</f>
        <v>84.664995447710169</v>
      </c>
      <c r="K150" s="79">
        <f>J150</f>
        <v>84.664995447710169</v>
      </c>
    </row>
    <row r="151" spans="2:11" x14ac:dyDescent="0.25">
      <c r="B151" s="76" t="s">
        <v>148</v>
      </c>
      <c r="C151" s="671" t="s">
        <v>136</v>
      </c>
      <c r="D151" s="671"/>
      <c r="E151" s="671"/>
      <c r="F151" s="671"/>
      <c r="G151" s="671"/>
      <c r="H151" s="77">
        <v>40</v>
      </c>
      <c r="I151" s="76" t="s">
        <v>89</v>
      </c>
      <c r="J151" s="81"/>
      <c r="K151" s="79">
        <f>K144*40%</f>
        <v>850.88</v>
      </c>
    </row>
    <row r="152" spans="2:11" x14ac:dyDescent="0.25">
      <c r="B152" s="77"/>
      <c r="C152" s="748" t="s">
        <v>100</v>
      </c>
      <c r="D152" s="748"/>
      <c r="E152" s="748"/>
      <c r="F152" s="748"/>
      <c r="G152" s="748"/>
      <c r="H152" s="748"/>
      <c r="I152" s="748"/>
      <c r="J152" s="87"/>
      <c r="K152" s="88">
        <f>SUM(K144:K151)</f>
        <v>3484.6820219412166</v>
      </c>
    </row>
    <row r="153" spans="2:11" x14ac:dyDescent="0.25">
      <c r="B153" s="73" t="s">
        <v>101</v>
      </c>
      <c r="C153" s="753" t="s">
        <v>102</v>
      </c>
      <c r="D153" s="753"/>
      <c r="E153" s="753"/>
      <c r="F153" s="753"/>
      <c r="G153" s="753"/>
      <c r="H153" s="753"/>
      <c r="I153" s="753"/>
      <c r="J153" s="73" t="s">
        <v>89</v>
      </c>
      <c r="K153" s="73" t="s">
        <v>97</v>
      </c>
    </row>
    <row r="154" spans="2:11" x14ac:dyDescent="0.25">
      <c r="B154" s="76" t="s">
        <v>103</v>
      </c>
      <c r="C154" s="671" t="s">
        <v>104</v>
      </c>
      <c r="D154" s="671"/>
      <c r="E154" s="671"/>
      <c r="F154" s="671"/>
      <c r="G154" s="671"/>
      <c r="H154" s="671"/>
      <c r="I154" s="671"/>
      <c r="J154" s="50">
        <f>'7 - ENCARGOS SOCIAIS'!$D$13</f>
        <v>0.36800000000000005</v>
      </c>
      <c r="K154" s="79">
        <f>J154*K152</f>
        <v>1282.3629840743679</v>
      </c>
    </row>
    <row r="155" spans="2:11" x14ac:dyDescent="0.25">
      <c r="B155" s="76" t="s">
        <v>105</v>
      </c>
      <c r="C155" s="671" t="s">
        <v>106</v>
      </c>
      <c r="D155" s="671"/>
      <c r="E155" s="671"/>
      <c r="F155" s="671"/>
      <c r="G155" s="671"/>
      <c r="H155" s="671"/>
      <c r="I155" s="671"/>
      <c r="J155" s="50">
        <f>'7 - ENCARGOS SOCIAIS'!$D$21</f>
        <v>0.15387245147090212</v>
      </c>
      <c r="K155" s="79">
        <f>J155*K152</f>
        <v>536.19656531267492</v>
      </c>
    </row>
    <row r="156" spans="2:11" x14ac:dyDescent="0.25">
      <c r="B156" s="76" t="s">
        <v>107</v>
      </c>
      <c r="C156" s="671" t="s">
        <v>108</v>
      </c>
      <c r="D156" s="671"/>
      <c r="E156" s="671"/>
      <c r="F156" s="671"/>
      <c r="G156" s="671"/>
      <c r="H156" s="671"/>
      <c r="I156" s="671"/>
      <c r="J156" s="50">
        <f>'7 - ENCARGOS SOCIAIS'!$D$28</f>
        <v>0.12666581537651095</v>
      </c>
      <c r="K156" s="79">
        <f>J156*K152</f>
        <v>441.39008963705299</v>
      </c>
    </row>
    <row r="157" spans="2:11" x14ac:dyDescent="0.25">
      <c r="B157" s="76" t="s">
        <v>109</v>
      </c>
      <c r="C157" s="671" t="s">
        <v>110</v>
      </c>
      <c r="D157" s="671"/>
      <c r="E157" s="671"/>
      <c r="F157" s="671"/>
      <c r="G157" s="671"/>
      <c r="H157" s="671"/>
      <c r="I157" s="671"/>
      <c r="J157" s="50">
        <f>'7 - ENCARGOS SOCIAIS'!$D$32</f>
        <v>5.9231502118822603E-2</v>
      </c>
      <c r="K157" s="79">
        <f>J157*K152</f>
        <v>206.40295056603421</v>
      </c>
    </row>
    <row r="158" spans="2:11" x14ac:dyDescent="0.25">
      <c r="B158" s="89"/>
      <c r="C158" s="750" t="s">
        <v>111</v>
      </c>
      <c r="D158" s="750"/>
      <c r="E158" s="750"/>
      <c r="F158" s="750"/>
      <c r="G158" s="750"/>
      <c r="H158" s="750"/>
      <c r="I158" s="750"/>
      <c r="J158" s="90">
        <f>SUM(J154:J157)</f>
        <v>0.70776976896623567</v>
      </c>
      <c r="K158" s="91">
        <f>SUM(K154:K157)</f>
        <v>2466.3525895901298</v>
      </c>
    </row>
    <row r="159" spans="2:11" ht="34.15" customHeight="1" x14ac:dyDescent="0.25">
      <c r="B159" s="73" t="s">
        <v>112</v>
      </c>
      <c r="C159" s="751" t="s">
        <v>113</v>
      </c>
      <c r="D159" s="751"/>
      <c r="E159" s="751"/>
      <c r="F159" s="751"/>
      <c r="G159" s="751"/>
      <c r="H159" s="74" t="s">
        <v>114</v>
      </c>
      <c r="I159" s="73" t="s">
        <v>115</v>
      </c>
      <c r="J159" s="73" t="s">
        <v>116</v>
      </c>
      <c r="K159" s="73" t="s">
        <v>97</v>
      </c>
    </row>
    <row r="160" spans="2:11" x14ac:dyDescent="0.25">
      <c r="B160" s="76" t="s">
        <v>117</v>
      </c>
      <c r="C160" s="671" t="s">
        <v>156</v>
      </c>
      <c r="D160" s="671"/>
      <c r="E160" s="671"/>
      <c r="F160" s="671"/>
      <c r="G160" s="671"/>
      <c r="H160" s="76">
        <v>26</v>
      </c>
      <c r="I160" s="92">
        <v>27.15</v>
      </c>
      <c r="J160" s="93">
        <v>0.19</v>
      </c>
      <c r="K160" s="94">
        <f>(H160*I160)-((H160*I160)*0.19)</f>
        <v>571.779</v>
      </c>
    </row>
    <row r="161" spans="2:11" x14ac:dyDescent="0.25">
      <c r="B161" s="76" t="s">
        <v>119</v>
      </c>
      <c r="C161" s="671" t="s">
        <v>160</v>
      </c>
      <c r="D161" s="671"/>
      <c r="E161" s="671"/>
      <c r="F161" s="671"/>
      <c r="G161" s="671"/>
      <c r="H161" s="76">
        <f>H160*4</f>
        <v>104</v>
      </c>
      <c r="I161" s="95">
        <v>6.25</v>
      </c>
      <c r="J161" s="93">
        <v>0.06</v>
      </c>
      <c r="K161" s="94">
        <f>(H161*I161)-(K144*0.06)</f>
        <v>522.36800000000005</v>
      </c>
    </row>
    <row r="162" spans="2:11" x14ac:dyDescent="0.25">
      <c r="B162" s="76" t="s">
        <v>121</v>
      </c>
      <c r="C162" s="671" t="s">
        <v>122</v>
      </c>
      <c r="D162" s="671"/>
      <c r="E162" s="671"/>
      <c r="F162" s="671"/>
      <c r="G162" s="671"/>
      <c r="H162" s="77">
        <v>1</v>
      </c>
      <c r="I162" s="92">
        <v>25.52</v>
      </c>
      <c r="J162" s="96"/>
      <c r="K162" s="97">
        <f>I162</f>
        <v>25.52</v>
      </c>
    </row>
    <row r="163" spans="2:11" x14ac:dyDescent="0.25">
      <c r="B163" s="96"/>
      <c r="C163" s="748" t="s">
        <v>123</v>
      </c>
      <c r="D163" s="748"/>
      <c r="E163" s="748"/>
      <c r="F163" s="748"/>
      <c r="G163" s="748"/>
      <c r="H163" s="748"/>
      <c r="I163" s="748"/>
      <c r="J163" s="87"/>
      <c r="K163" s="98">
        <f>SUM(K160:K162)</f>
        <v>1119.6669999999999</v>
      </c>
    </row>
    <row r="164" spans="2:11" x14ac:dyDescent="0.25">
      <c r="B164" s="749" t="s">
        <v>157</v>
      </c>
      <c r="C164" s="749"/>
      <c r="D164" s="749"/>
      <c r="E164" s="749"/>
      <c r="F164" s="749"/>
      <c r="G164" s="749"/>
      <c r="H164" s="749"/>
      <c r="I164" s="749"/>
      <c r="J164" s="749"/>
      <c r="K164" s="99">
        <f>K163+K158+K152</f>
        <v>7070.7016115313463</v>
      </c>
    </row>
    <row r="165" spans="2:11" x14ac:dyDescent="0.25">
      <c r="B165" s="666" t="s">
        <v>125</v>
      </c>
      <c r="C165" s="666"/>
      <c r="D165" s="666"/>
      <c r="E165" s="666"/>
      <c r="F165" s="666"/>
      <c r="G165" s="666"/>
      <c r="H165" s="666"/>
      <c r="I165" s="59">
        <v>1</v>
      </c>
      <c r="J165" s="59" t="s">
        <v>126</v>
      </c>
      <c r="K165" s="100">
        <f>K164*1</f>
        <v>7070.7016115313463</v>
      </c>
    </row>
    <row r="166" spans="2:11" x14ac:dyDescent="0.25"/>
    <row r="167" spans="2:11" ht="15" customHeight="1" x14ac:dyDescent="0.25">
      <c r="B167" s="663" t="s">
        <v>161</v>
      </c>
      <c r="C167" s="663"/>
      <c r="D167" s="663"/>
      <c r="E167" s="663"/>
      <c r="F167" s="663"/>
      <c r="G167" s="663"/>
      <c r="H167" s="663"/>
      <c r="I167" s="663"/>
      <c r="J167" s="663"/>
      <c r="K167" s="663"/>
    </row>
    <row r="168" spans="2:11" x14ac:dyDescent="0.25">
      <c r="B168" s="3" t="s">
        <v>95</v>
      </c>
      <c r="C168" s="602" t="s">
        <v>96</v>
      </c>
      <c r="D168" s="602"/>
      <c r="E168" s="602"/>
      <c r="F168" s="602"/>
      <c r="G168" s="602"/>
      <c r="H168" s="53" t="s">
        <v>128</v>
      </c>
      <c r="I168" s="61" t="s">
        <v>129</v>
      </c>
      <c r="J168" s="45" t="s">
        <v>115</v>
      </c>
      <c r="K168" s="45" t="s">
        <v>97</v>
      </c>
    </row>
    <row r="169" spans="2:11" x14ac:dyDescent="0.25">
      <c r="B169" s="8" t="s">
        <v>98</v>
      </c>
      <c r="C169" s="622" t="s">
        <v>99</v>
      </c>
      <c r="D169" s="622"/>
      <c r="E169" s="622"/>
      <c r="F169" s="622"/>
      <c r="G169" s="622"/>
      <c r="H169" s="4">
        <v>220</v>
      </c>
      <c r="I169" s="8" t="s">
        <v>130</v>
      </c>
      <c r="J169" s="62">
        <f>K169/H169</f>
        <v>8.6198181818181805</v>
      </c>
      <c r="K169" s="47">
        <v>1896.36</v>
      </c>
    </row>
    <row r="170" spans="2:11" x14ac:dyDescent="0.25">
      <c r="B170" s="8" t="s">
        <v>131</v>
      </c>
      <c r="C170" s="63" t="s">
        <v>132</v>
      </c>
      <c r="D170" s="64"/>
      <c r="E170" s="64"/>
      <c r="F170" s="64"/>
      <c r="G170" s="65"/>
      <c r="H170" s="66">
        <f>7+1/3</f>
        <v>7.333333333333333</v>
      </c>
      <c r="I170" s="8" t="s">
        <v>130</v>
      </c>
      <c r="J170" s="62">
        <f>J169*2</f>
        <v>17.239636363636361</v>
      </c>
      <c r="K170" s="67">
        <f>H170*J170</f>
        <v>126.42399999999998</v>
      </c>
    </row>
    <row r="171" spans="2:11" x14ac:dyDescent="0.25">
      <c r="B171" s="8" t="s">
        <v>133</v>
      </c>
      <c r="C171" s="63" t="s">
        <v>134</v>
      </c>
      <c r="D171" s="64"/>
      <c r="E171" s="64"/>
      <c r="F171" s="64"/>
      <c r="G171" s="65"/>
      <c r="H171" s="66"/>
      <c r="I171" s="8"/>
      <c r="J171" s="62">
        <f>61/304*(SUM(K170))</f>
        <v>25.367973684210522</v>
      </c>
      <c r="K171" s="67">
        <f>J171</f>
        <v>25.367973684210522</v>
      </c>
    </row>
    <row r="172" spans="2:11" x14ac:dyDescent="0.25">
      <c r="B172" s="8" t="s">
        <v>135</v>
      </c>
      <c r="C172" s="622" t="s">
        <v>136</v>
      </c>
      <c r="D172" s="622"/>
      <c r="E172" s="622"/>
      <c r="F172" s="622"/>
      <c r="G172" s="622"/>
      <c r="H172" s="4">
        <v>40</v>
      </c>
      <c r="I172" s="8" t="s">
        <v>89</v>
      </c>
      <c r="J172" s="46"/>
      <c r="K172" s="47">
        <f>K169*40%</f>
        <v>758.54399999999998</v>
      </c>
    </row>
    <row r="173" spans="2:11" x14ac:dyDescent="0.25">
      <c r="B173" s="4"/>
      <c r="C173" s="661" t="s">
        <v>100</v>
      </c>
      <c r="D173" s="661"/>
      <c r="E173" s="661"/>
      <c r="F173" s="661"/>
      <c r="G173" s="661"/>
      <c r="H173" s="661"/>
      <c r="I173" s="661"/>
      <c r="J173" s="48"/>
      <c r="K173" s="49">
        <f>SUM(K169:K172)</f>
        <v>2806.6959736842105</v>
      </c>
    </row>
    <row r="174" spans="2:11" x14ac:dyDescent="0.25">
      <c r="B174" s="45" t="s">
        <v>101</v>
      </c>
      <c r="C174" s="602" t="s">
        <v>102</v>
      </c>
      <c r="D174" s="602"/>
      <c r="E174" s="602"/>
      <c r="F174" s="602"/>
      <c r="G174" s="602"/>
      <c r="H174" s="602"/>
      <c r="I174" s="602"/>
      <c r="J174" s="45" t="s">
        <v>89</v>
      </c>
      <c r="K174" s="45" t="s">
        <v>97</v>
      </c>
    </row>
    <row r="175" spans="2:11" x14ac:dyDescent="0.25">
      <c r="B175" s="8" t="s">
        <v>103</v>
      </c>
      <c r="C175" s="622" t="s">
        <v>104</v>
      </c>
      <c r="D175" s="622"/>
      <c r="E175" s="622"/>
      <c r="F175" s="622"/>
      <c r="G175" s="622"/>
      <c r="H175" s="622"/>
      <c r="I175" s="622"/>
      <c r="J175" s="50">
        <f>'7 - ENCARGOS SOCIAIS'!D13</f>
        <v>0.36800000000000005</v>
      </c>
      <c r="K175" s="47">
        <f>J175*$K$173</f>
        <v>1032.8641183157895</v>
      </c>
    </row>
    <row r="176" spans="2:11" x14ac:dyDescent="0.25">
      <c r="B176" s="8" t="s">
        <v>105</v>
      </c>
      <c r="C176" s="622" t="s">
        <v>106</v>
      </c>
      <c r="D176" s="622"/>
      <c r="E176" s="622"/>
      <c r="F176" s="622"/>
      <c r="G176" s="622"/>
      <c r="H176" s="622"/>
      <c r="I176" s="622"/>
      <c r="J176" s="50">
        <f>'7 - ENCARGOS SOCIAIS'!D21</f>
        <v>0.15387245147090212</v>
      </c>
      <c r="K176" s="47">
        <f>J176*$K$173</f>
        <v>431.87319000430006</v>
      </c>
    </row>
    <row r="177" spans="2:11" x14ac:dyDescent="0.25">
      <c r="B177" s="8" t="s">
        <v>107</v>
      </c>
      <c r="C177" s="622" t="s">
        <v>108</v>
      </c>
      <c r="D177" s="622"/>
      <c r="E177" s="622"/>
      <c r="F177" s="622"/>
      <c r="G177" s="622"/>
      <c r="H177" s="622"/>
      <c r="I177" s="622"/>
      <c r="J177" s="50">
        <f>'7 - ENCARGOS SOCIAIS'!D28</f>
        <v>0.12666581537651095</v>
      </c>
      <c r="K177" s="47">
        <f>J177*$K$173</f>
        <v>355.51243402068081</v>
      </c>
    </row>
    <row r="178" spans="2:11" x14ac:dyDescent="0.25">
      <c r="B178" s="8" t="s">
        <v>109</v>
      </c>
      <c r="C178" s="622" t="s">
        <v>110</v>
      </c>
      <c r="D178" s="622"/>
      <c r="E178" s="622"/>
      <c r="F178" s="622"/>
      <c r="G178" s="622"/>
      <c r="H178" s="622"/>
      <c r="I178" s="622"/>
      <c r="J178" s="50">
        <f>'7 - ENCARGOS SOCIAIS'!D32</f>
        <v>5.9231502118822603E-2</v>
      </c>
      <c r="K178" s="47">
        <f>J178*$K$173</f>
        <v>166.24481851216717</v>
      </c>
    </row>
    <row r="179" spans="2:11" x14ac:dyDescent="0.25">
      <c r="B179" s="25"/>
      <c r="C179" s="614" t="s">
        <v>111</v>
      </c>
      <c r="D179" s="614"/>
      <c r="E179" s="614"/>
      <c r="F179" s="614"/>
      <c r="G179" s="614"/>
      <c r="H179" s="614"/>
      <c r="I179" s="614"/>
      <c r="J179" s="51">
        <f>SUM(J175:J178)</f>
        <v>0.70776976896623567</v>
      </c>
      <c r="K179" s="52">
        <f>SUM(K175:K178)</f>
        <v>1986.4945608529374</v>
      </c>
    </row>
    <row r="180" spans="2:11" ht="28.15" customHeight="1" x14ac:dyDescent="0.25">
      <c r="B180" s="45" t="s">
        <v>112</v>
      </c>
      <c r="C180" s="667" t="s">
        <v>113</v>
      </c>
      <c r="D180" s="667"/>
      <c r="E180" s="667"/>
      <c r="F180" s="667"/>
      <c r="G180" s="667"/>
      <c r="H180" s="53" t="s">
        <v>114</v>
      </c>
      <c r="I180" s="45" t="s">
        <v>115</v>
      </c>
      <c r="J180" s="45" t="s">
        <v>116</v>
      </c>
      <c r="K180" s="45" t="s">
        <v>97</v>
      </c>
    </row>
    <row r="181" spans="2:11" x14ac:dyDescent="0.25">
      <c r="B181" s="8" t="s">
        <v>117</v>
      </c>
      <c r="C181" s="622" t="s">
        <v>156</v>
      </c>
      <c r="D181" s="622"/>
      <c r="E181" s="622"/>
      <c r="F181" s="622"/>
      <c r="G181" s="622"/>
      <c r="H181" s="4">
        <v>26</v>
      </c>
      <c r="I181" s="54">
        <v>27.15</v>
      </c>
      <c r="J181" s="55">
        <v>0.19</v>
      </c>
      <c r="K181" s="31">
        <f>(H181*I181)-((H181*I181)*J181)</f>
        <v>571.779</v>
      </c>
    </row>
    <row r="182" spans="2:11" ht="15" customHeight="1" x14ac:dyDescent="0.25">
      <c r="B182" s="8" t="s">
        <v>119</v>
      </c>
      <c r="C182" s="670" t="s">
        <v>120</v>
      </c>
      <c r="D182" s="670"/>
      <c r="E182" s="670"/>
      <c r="F182" s="670"/>
      <c r="G182" s="670"/>
      <c r="H182" s="4">
        <f>H181*4</f>
        <v>104</v>
      </c>
      <c r="I182" s="56">
        <v>6.25</v>
      </c>
      <c r="J182" s="55">
        <v>0.06</v>
      </c>
      <c r="K182" s="31">
        <f>(H182*I182)-(K169*J182)</f>
        <v>536.21839999999997</v>
      </c>
    </row>
    <row r="183" spans="2:11" x14ac:dyDescent="0.25">
      <c r="B183" s="8" t="s">
        <v>121</v>
      </c>
      <c r="C183" s="622" t="s">
        <v>122</v>
      </c>
      <c r="D183" s="622"/>
      <c r="E183" s="622"/>
      <c r="F183" s="622"/>
      <c r="G183" s="622"/>
      <c r="H183" s="4">
        <v>1</v>
      </c>
      <c r="I183" s="54">
        <v>25.52</v>
      </c>
      <c r="J183" s="5"/>
      <c r="K183" s="32">
        <f>I183</f>
        <v>25.52</v>
      </c>
    </row>
    <row r="184" spans="2:11" x14ac:dyDescent="0.25">
      <c r="B184" s="5"/>
      <c r="C184" s="661" t="s">
        <v>123</v>
      </c>
      <c r="D184" s="661"/>
      <c r="E184" s="661"/>
      <c r="F184" s="661"/>
      <c r="G184" s="661"/>
      <c r="H184" s="661"/>
      <c r="I184" s="661"/>
      <c r="J184" s="48"/>
      <c r="K184" s="57">
        <f>SUM(K181:K183)</f>
        <v>1133.5174</v>
      </c>
    </row>
    <row r="185" spans="2:11" ht="15" customHeight="1" x14ac:dyDescent="0.25">
      <c r="B185" s="747" t="s">
        <v>162</v>
      </c>
      <c r="C185" s="747"/>
      <c r="D185" s="747"/>
      <c r="E185" s="747"/>
      <c r="F185" s="747"/>
      <c r="G185" s="747"/>
      <c r="H185" s="747"/>
      <c r="I185" s="747"/>
      <c r="J185" s="747"/>
      <c r="K185" s="58">
        <f>K184+K179+K173</f>
        <v>5926.7079345371476</v>
      </c>
    </row>
    <row r="186" spans="2:11" x14ac:dyDescent="0.25">
      <c r="B186" s="666" t="s">
        <v>125</v>
      </c>
      <c r="C186" s="666"/>
      <c r="D186" s="666"/>
      <c r="E186" s="666"/>
      <c r="F186" s="666"/>
      <c r="G186" s="666"/>
      <c r="H186" s="666"/>
      <c r="I186" s="59">
        <v>1</v>
      </c>
      <c r="J186" s="59" t="s">
        <v>126</v>
      </c>
      <c r="K186" s="60">
        <f>K185*I186</f>
        <v>5926.7079345371476</v>
      </c>
    </row>
    <row r="187" spans="2:11" x14ac:dyDescent="0.25"/>
    <row r="188" spans="2:11" x14ac:dyDescent="0.25">
      <c r="B188" s="752" t="s">
        <v>163</v>
      </c>
      <c r="C188" s="752"/>
      <c r="D188" s="752"/>
      <c r="E188" s="752"/>
      <c r="F188" s="752"/>
      <c r="G188" s="752"/>
      <c r="H188" s="752"/>
      <c r="I188" s="752"/>
      <c r="J188" s="752"/>
      <c r="K188" s="752"/>
    </row>
    <row r="189" spans="2:11" x14ac:dyDescent="0.25">
      <c r="B189" s="72" t="s">
        <v>95</v>
      </c>
      <c r="C189" s="753" t="s">
        <v>96</v>
      </c>
      <c r="D189" s="753"/>
      <c r="E189" s="753"/>
      <c r="F189" s="753"/>
      <c r="G189" s="753"/>
      <c r="H189" s="74" t="s">
        <v>128</v>
      </c>
      <c r="I189" s="75" t="s">
        <v>129</v>
      </c>
      <c r="J189" s="73" t="s">
        <v>115</v>
      </c>
      <c r="K189" s="73" t="s">
        <v>97</v>
      </c>
    </row>
    <row r="190" spans="2:11" x14ac:dyDescent="0.25">
      <c r="B190" s="76" t="s">
        <v>98</v>
      </c>
      <c r="C190" s="671" t="s">
        <v>99</v>
      </c>
      <c r="D190" s="671"/>
      <c r="E190" s="671"/>
      <c r="F190" s="671"/>
      <c r="G190" s="671"/>
      <c r="H190" s="77">
        <v>220</v>
      </c>
      <c r="I190" s="76" t="s">
        <v>130</v>
      </c>
      <c r="J190" s="78">
        <f>K190/H190</f>
        <v>8.6198181818181805</v>
      </c>
      <c r="K190" s="79">
        <f>'6 - DADOS CC MO'!E45</f>
        <v>1896.36</v>
      </c>
    </row>
    <row r="191" spans="2:11" x14ac:dyDescent="0.25">
      <c r="B191" s="754" t="s">
        <v>135</v>
      </c>
      <c r="C191" s="755" t="s">
        <v>139</v>
      </c>
      <c r="D191" s="755"/>
      <c r="E191" s="755"/>
      <c r="F191" s="755"/>
      <c r="G191" s="755"/>
      <c r="H191" s="80">
        <v>112.67</v>
      </c>
      <c r="I191" s="77" t="s">
        <v>140</v>
      </c>
      <c r="J191" s="81"/>
      <c r="K191" s="79"/>
    </row>
    <row r="192" spans="2:11" x14ac:dyDescent="0.25">
      <c r="B192" s="754"/>
      <c r="C192" s="755"/>
      <c r="D192" s="755"/>
      <c r="E192" s="755"/>
      <c r="F192" s="755"/>
      <c r="G192" s="755"/>
      <c r="H192" s="82">
        <v>128.76</v>
      </c>
      <c r="I192" s="77" t="s">
        <v>141</v>
      </c>
      <c r="J192" s="80">
        <f>J190*0.2</f>
        <v>1.7239636363636361</v>
      </c>
      <c r="K192" s="79">
        <f>J192*H192</f>
        <v>221.97755781818177</v>
      </c>
    </row>
    <row r="193" spans="2:11" x14ac:dyDescent="0.25">
      <c r="B193" s="76" t="s">
        <v>142</v>
      </c>
      <c r="C193" s="83" t="s">
        <v>132</v>
      </c>
      <c r="D193" s="84"/>
      <c r="E193" s="84"/>
      <c r="F193" s="84"/>
      <c r="G193" s="85"/>
      <c r="H193" s="80">
        <v>7.33</v>
      </c>
      <c r="I193" s="77" t="s">
        <v>130</v>
      </c>
      <c r="J193" s="80">
        <f>J190*2</f>
        <v>17.239636363636361</v>
      </c>
      <c r="K193" s="79">
        <f>J193*H193</f>
        <v>126.36653454545453</v>
      </c>
    </row>
    <row r="194" spans="2:11" x14ac:dyDescent="0.25">
      <c r="B194" s="76" t="s">
        <v>143</v>
      </c>
      <c r="C194" s="83" t="s">
        <v>144</v>
      </c>
      <c r="D194" s="84"/>
      <c r="E194" s="84"/>
      <c r="F194" s="84"/>
      <c r="G194" s="85"/>
      <c r="H194" s="80">
        <f>4+1/3</f>
        <v>4.333333333333333</v>
      </c>
      <c r="I194" s="77" t="s">
        <v>130</v>
      </c>
      <c r="J194" s="77"/>
      <c r="K194" s="79"/>
    </row>
    <row r="195" spans="2:11" x14ac:dyDescent="0.25">
      <c r="B195" s="76" t="s">
        <v>145</v>
      </c>
      <c r="C195" s="83" t="s">
        <v>146</v>
      </c>
      <c r="D195" s="84"/>
      <c r="E195" s="84"/>
      <c r="F195" s="84"/>
      <c r="G195" s="85"/>
      <c r="H195" s="80">
        <f>H194*8/7</f>
        <v>4.9523809523809517</v>
      </c>
      <c r="I195" s="77" t="s">
        <v>130</v>
      </c>
      <c r="J195" s="80">
        <f>J190*2*1.2</f>
        <v>20.687563636363631</v>
      </c>
      <c r="K195" s="79">
        <f>J195*H195</f>
        <v>102.45269610389606</v>
      </c>
    </row>
    <row r="196" spans="2:11" x14ac:dyDescent="0.25">
      <c r="B196" s="76" t="s">
        <v>147</v>
      </c>
      <c r="C196" s="83" t="s">
        <v>159</v>
      </c>
      <c r="D196" s="84"/>
      <c r="E196" s="84"/>
      <c r="F196" s="84"/>
      <c r="G196" s="85"/>
      <c r="H196" s="77"/>
      <c r="I196" s="86"/>
      <c r="J196" s="80">
        <f>61/304*(SUM(K192:K195))</f>
        <v>90.455934528024585</v>
      </c>
      <c r="K196" s="79">
        <f>J196</f>
        <v>90.455934528024585</v>
      </c>
    </row>
    <row r="197" spans="2:11" x14ac:dyDescent="0.25">
      <c r="B197" s="76" t="s">
        <v>148</v>
      </c>
      <c r="C197" s="671" t="s">
        <v>136</v>
      </c>
      <c r="D197" s="671"/>
      <c r="E197" s="671"/>
      <c r="F197" s="671"/>
      <c r="G197" s="671"/>
      <c r="H197" s="77">
        <v>40</v>
      </c>
      <c r="I197" s="76" t="s">
        <v>89</v>
      </c>
      <c r="J197" s="81"/>
      <c r="K197" s="79">
        <f>K190*40%</f>
        <v>758.54399999999998</v>
      </c>
    </row>
    <row r="198" spans="2:11" x14ac:dyDescent="0.25">
      <c r="B198" s="77"/>
      <c r="C198" s="748" t="s">
        <v>100</v>
      </c>
      <c r="D198" s="748"/>
      <c r="E198" s="748"/>
      <c r="F198" s="748"/>
      <c r="G198" s="748"/>
      <c r="H198" s="748"/>
      <c r="I198" s="748"/>
      <c r="J198" s="87"/>
      <c r="K198" s="88">
        <f>SUM(K190:K197)</f>
        <v>3196.1567229955567</v>
      </c>
    </row>
    <row r="199" spans="2:11" x14ac:dyDescent="0.25">
      <c r="B199" s="73" t="s">
        <v>101</v>
      </c>
      <c r="C199" s="753" t="s">
        <v>102</v>
      </c>
      <c r="D199" s="753"/>
      <c r="E199" s="753"/>
      <c r="F199" s="753"/>
      <c r="G199" s="753"/>
      <c r="H199" s="753"/>
      <c r="I199" s="753"/>
      <c r="J199" s="73" t="s">
        <v>89</v>
      </c>
      <c r="K199" s="73" t="s">
        <v>97</v>
      </c>
    </row>
    <row r="200" spans="2:11" x14ac:dyDescent="0.25">
      <c r="B200" s="76" t="s">
        <v>103</v>
      </c>
      <c r="C200" s="671" t="s">
        <v>104</v>
      </c>
      <c r="D200" s="671"/>
      <c r="E200" s="671"/>
      <c r="F200" s="671"/>
      <c r="G200" s="671"/>
      <c r="H200" s="671"/>
      <c r="I200" s="671"/>
      <c r="J200" s="50">
        <f>'7 - ENCARGOS SOCIAIS'!$D$13</f>
        <v>0.36800000000000005</v>
      </c>
      <c r="K200" s="79">
        <f>J200*K198</f>
        <v>1176.185674062365</v>
      </c>
    </row>
    <row r="201" spans="2:11" x14ac:dyDescent="0.25">
      <c r="B201" s="76" t="s">
        <v>105</v>
      </c>
      <c r="C201" s="671" t="s">
        <v>106</v>
      </c>
      <c r="D201" s="671"/>
      <c r="E201" s="671"/>
      <c r="F201" s="671"/>
      <c r="G201" s="671"/>
      <c r="H201" s="671"/>
      <c r="I201" s="671"/>
      <c r="J201" s="50">
        <f>'7 - ENCARGOS SOCIAIS'!$D$21</f>
        <v>0.15387245147090212</v>
      </c>
      <c r="K201" s="79">
        <f>J201*K198</f>
        <v>491.80047025253134</v>
      </c>
    </row>
    <row r="202" spans="2:11" x14ac:dyDescent="0.25">
      <c r="B202" s="76" t="s">
        <v>107</v>
      </c>
      <c r="C202" s="671" t="s">
        <v>108</v>
      </c>
      <c r="D202" s="671"/>
      <c r="E202" s="671"/>
      <c r="F202" s="671"/>
      <c r="G202" s="671"/>
      <c r="H202" s="671"/>
      <c r="I202" s="671"/>
      <c r="J202" s="50">
        <f>'7 - ENCARGOS SOCIAIS'!$D$28</f>
        <v>0.12666581537651095</v>
      </c>
      <c r="K202" s="79">
        <f>J202*K198</f>
        <v>404.84379738934945</v>
      </c>
    </row>
    <row r="203" spans="2:11" x14ac:dyDescent="0.25">
      <c r="B203" s="76" t="s">
        <v>109</v>
      </c>
      <c r="C203" s="671" t="s">
        <v>110</v>
      </c>
      <c r="D203" s="671"/>
      <c r="E203" s="671"/>
      <c r="F203" s="671"/>
      <c r="G203" s="671"/>
      <c r="H203" s="671"/>
      <c r="I203" s="671"/>
      <c r="J203" s="50">
        <f>'7 - ENCARGOS SOCIAIS'!$D$32</f>
        <v>5.9231502118822603E-2</v>
      </c>
      <c r="K203" s="79">
        <f>J203*K198</f>
        <v>189.31316371020043</v>
      </c>
    </row>
    <row r="204" spans="2:11" x14ac:dyDescent="0.25">
      <c r="B204" s="89"/>
      <c r="C204" s="750" t="s">
        <v>111</v>
      </c>
      <c r="D204" s="750"/>
      <c r="E204" s="750"/>
      <c r="F204" s="750"/>
      <c r="G204" s="750"/>
      <c r="H204" s="750"/>
      <c r="I204" s="750"/>
      <c r="J204" s="90">
        <f>SUM(J200:J203)</f>
        <v>0.70776976896623567</v>
      </c>
      <c r="K204" s="91">
        <f>SUM(K200:K203)</f>
        <v>2262.1431054144464</v>
      </c>
    </row>
    <row r="205" spans="2:11" ht="33.6" customHeight="1" x14ac:dyDescent="0.25">
      <c r="B205" s="73" t="s">
        <v>112</v>
      </c>
      <c r="C205" s="751" t="s">
        <v>113</v>
      </c>
      <c r="D205" s="751"/>
      <c r="E205" s="751"/>
      <c r="F205" s="751"/>
      <c r="G205" s="751"/>
      <c r="H205" s="74" t="s">
        <v>114</v>
      </c>
      <c r="I205" s="73" t="s">
        <v>115</v>
      </c>
      <c r="J205" s="73" t="s">
        <v>116</v>
      </c>
      <c r="K205" s="73" t="s">
        <v>97</v>
      </c>
    </row>
    <row r="206" spans="2:11" x14ac:dyDescent="0.25">
      <c r="B206" s="76" t="s">
        <v>117</v>
      </c>
      <c r="C206" s="671" t="s">
        <v>156</v>
      </c>
      <c r="D206" s="671"/>
      <c r="E206" s="671"/>
      <c r="F206" s="671"/>
      <c r="G206" s="671"/>
      <c r="H206" s="76">
        <v>26</v>
      </c>
      <c r="I206" s="92">
        <v>27.15</v>
      </c>
      <c r="J206" s="93">
        <v>0.19</v>
      </c>
      <c r="K206" s="94">
        <f>(H206*I206)-((H206*I206)*0.19)</f>
        <v>571.779</v>
      </c>
    </row>
    <row r="207" spans="2:11" x14ac:dyDescent="0.25">
      <c r="B207" s="76" t="s">
        <v>119</v>
      </c>
      <c r="C207" s="671" t="s">
        <v>160</v>
      </c>
      <c r="D207" s="671"/>
      <c r="E207" s="671"/>
      <c r="F207" s="671"/>
      <c r="G207" s="671"/>
      <c r="H207" s="76">
        <f>H206*4</f>
        <v>104</v>
      </c>
      <c r="I207" s="95">
        <v>6.25</v>
      </c>
      <c r="J207" s="93">
        <v>0.06</v>
      </c>
      <c r="K207" s="94">
        <f>(H207*I207)-(K190*0.06)</f>
        <v>536.21839999999997</v>
      </c>
    </row>
    <row r="208" spans="2:11" x14ac:dyDescent="0.25">
      <c r="B208" s="76" t="s">
        <v>121</v>
      </c>
      <c r="C208" s="671" t="s">
        <v>122</v>
      </c>
      <c r="D208" s="671"/>
      <c r="E208" s="671"/>
      <c r="F208" s="671"/>
      <c r="G208" s="671"/>
      <c r="H208" s="77">
        <v>1</v>
      </c>
      <c r="I208" s="92">
        <v>25.52</v>
      </c>
      <c r="J208" s="96"/>
      <c r="K208" s="97">
        <f>I208</f>
        <v>25.52</v>
      </c>
    </row>
    <row r="209" spans="2:11" x14ac:dyDescent="0.25">
      <c r="B209" s="96"/>
      <c r="C209" s="748" t="s">
        <v>123</v>
      </c>
      <c r="D209" s="748"/>
      <c r="E209" s="748"/>
      <c r="F209" s="748"/>
      <c r="G209" s="748"/>
      <c r="H209" s="748"/>
      <c r="I209" s="748"/>
      <c r="J209" s="87"/>
      <c r="K209" s="98">
        <f>SUM(K206:K208)</f>
        <v>1133.5174</v>
      </c>
    </row>
    <row r="210" spans="2:11" x14ac:dyDescent="0.25">
      <c r="B210" s="749" t="s">
        <v>162</v>
      </c>
      <c r="C210" s="749"/>
      <c r="D210" s="749"/>
      <c r="E210" s="749"/>
      <c r="F210" s="749"/>
      <c r="G210" s="749"/>
      <c r="H210" s="749"/>
      <c r="I210" s="749"/>
      <c r="J210" s="749"/>
      <c r="K210" s="99">
        <f>K209+K204+K198</f>
        <v>6591.8172284100037</v>
      </c>
    </row>
    <row r="211" spans="2:11" x14ac:dyDescent="0.25">
      <c r="B211" s="666" t="s">
        <v>125</v>
      </c>
      <c r="C211" s="666"/>
      <c r="D211" s="666"/>
      <c r="E211" s="666"/>
      <c r="F211" s="666"/>
      <c r="G211" s="666"/>
      <c r="H211" s="666"/>
      <c r="I211" s="59">
        <v>1</v>
      </c>
      <c r="J211" s="59" t="s">
        <v>126</v>
      </c>
      <c r="K211" s="100">
        <f>K210*1</f>
        <v>6591.8172284100037</v>
      </c>
    </row>
    <row r="212" spans="2:11" x14ac:dyDescent="0.25"/>
    <row r="213" spans="2:11" x14ac:dyDescent="0.25">
      <c r="B213" s="663" t="s">
        <v>164</v>
      </c>
      <c r="C213" s="663"/>
      <c r="D213" s="663"/>
      <c r="E213" s="663"/>
      <c r="F213" s="663"/>
      <c r="G213" s="663"/>
      <c r="H213" s="663"/>
      <c r="I213" s="663"/>
      <c r="J213" s="663"/>
      <c r="K213" s="663"/>
    </row>
    <row r="214" spans="2:11" x14ac:dyDescent="0.25">
      <c r="B214" s="3" t="s">
        <v>95</v>
      </c>
      <c r="C214" s="602" t="s">
        <v>96</v>
      </c>
      <c r="D214" s="602"/>
      <c r="E214" s="602"/>
      <c r="F214" s="602"/>
      <c r="G214" s="602"/>
      <c r="H214" s="53" t="s">
        <v>128</v>
      </c>
      <c r="I214" s="61" t="s">
        <v>129</v>
      </c>
      <c r="J214" s="45" t="s">
        <v>115</v>
      </c>
      <c r="K214" s="45" t="s">
        <v>97</v>
      </c>
    </row>
    <row r="215" spans="2:11" x14ac:dyDescent="0.25">
      <c r="B215" s="4" t="s">
        <v>98</v>
      </c>
      <c r="C215" s="594" t="s">
        <v>99</v>
      </c>
      <c r="D215" s="594"/>
      <c r="E215" s="594"/>
      <c r="F215" s="594"/>
      <c r="G215" s="594"/>
      <c r="H215" s="4">
        <v>220</v>
      </c>
      <c r="I215" s="8" t="s">
        <v>130</v>
      </c>
      <c r="J215" s="62">
        <f>K215/H215</f>
        <v>8.0266363636363636</v>
      </c>
      <c r="K215" s="47">
        <v>1765.86</v>
      </c>
    </row>
    <row r="216" spans="2:11" x14ac:dyDescent="0.25">
      <c r="B216" s="8" t="s">
        <v>131</v>
      </c>
      <c r="C216" s="63" t="s">
        <v>132</v>
      </c>
      <c r="D216" s="64"/>
      <c r="E216" s="64"/>
      <c r="F216" s="64"/>
      <c r="G216" s="65"/>
      <c r="H216" s="66">
        <f>7+1/3</f>
        <v>7.333333333333333</v>
      </c>
      <c r="I216" s="8" t="s">
        <v>130</v>
      </c>
      <c r="J216" s="62">
        <f>J215*2</f>
        <v>16.053272727272727</v>
      </c>
      <c r="K216" s="67">
        <f>H216*J216</f>
        <v>117.72399999999999</v>
      </c>
    </row>
    <row r="217" spans="2:11" x14ac:dyDescent="0.25">
      <c r="B217" s="8" t="s">
        <v>133</v>
      </c>
      <c r="C217" s="63" t="s">
        <v>134</v>
      </c>
      <c r="D217" s="64"/>
      <c r="E217" s="64"/>
      <c r="F217" s="64"/>
      <c r="G217" s="65"/>
      <c r="H217" s="66"/>
      <c r="I217" s="8"/>
      <c r="J217" s="62">
        <f>61/304*(SUM(K216))</f>
        <v>23.622250000000001</v>
      </c>
      <c r="K217" s="67">
        <f>J217</f>
        <v>23.622250000000001</v>
      </c>
    </row>
    <row r="218" spans="2:11" x14ac:dyDescent="0.25">
      <c r="B218" s="4" t="s">
        <v>135</v>
      </c>
      <c r="C218" s="594" t="s">
        <v>136</v>
      </c>
      <c r="D218" s="594"/>
      <c r="E218" s="594"/>
      <c r="F218" s="594"/>
      <c r="G218" s="594"/>
      <c r="H218" s="4">
        <v>40</v>
      </c>
      <c r="I218" s="8" t="s">
        <v>89</v>
      </c>
      <c r="J218" s="46"/>
      <c r="K218" s="47">
        <f>K215*40%</f>
        <v>706.34400000000005</v>
      </c>
    </row>
    <row r="219" spans="2:11" x14ac:dyDescent="0.25">
      <c r="B219" s="4"/>
      <c r="C219" s="661" t="s">
        <v>100</v>
      </c>
      <c r="D219" s="661"/>
      <c r="E219" s="661"/>
      <c r="F219" s="661"/>
      <c r="G219" s="661"/>
      <c r="H219" s="661"/>
      <c r="I219" s="661"/>
      <c r="J219" s="48"/>
      <c r="K219" s="49">
        <f>SUM(K215:K218)</f>
        <v>2613.5502499999998</v>
      </c>
    </row>
    <row r="220" spans="2:11" x14ac:dyDescent="0.25">
      <c r="B220" s="45" t="s">
        <v>101</v>
      </c>
      <c r="C220" s="602" t="s">
        <v>102</v>
      </c>
      <c r="D220" s="602"/>
      <c r="E220" s="602"/>
      <c r="F220" s="602"/>
      <c r="G220" s="602"/>
      <c r="H220" s="602"/>
      <c r="I220" s="602"/>
      <c r="J220" s="45" t="s">
        <v>89</v>
      </c>
      <c r="K220" s="45" t="s">
        <v>97</v>
      </c>
    </row>
    <row r="221" spans="2:11" x14ac:dyDescent="0.25">
      <c r="B221" s="8" t="s">
        <v>103</v>
      </c>
      <c r="C221" s="622" t="s">
        <v>104</v>
      </c>
      <c r="D221" s="622"/>
      <c r="E221" s="622"/>
      <c r="F221" s="622"/>
      <c r="G221" s="622"/>
      <c r="H221" s="622"/>
      <c r="I221" s="622"/>
      <c r="J221" s="50">
        <f>'7 - ENCARGOS SOCIAIS'!$D$13</f>
        <v>0.36800000000000005</v>
      </c>
      <c r="K221" s="47">
        <f>J221*$K$219</f>
        <v>961.78649200000007</v>
      </c>
    </row>
    <row r="222" spans="2:11" x14ac:dyDescent="0.25">
      <c r="B222" s="8" t="s">
        <v>105</v>
      </c>
      <c r="C222" s="622" t="s">
        <v>106</v>
      </c>
      <c r="D222" s="622"/>
      <c r="E222" s="622"/>
      <c r="F222" s="622"/>
      <c r="G222" s="622"/>
      <c r="H222" s="622"/>
      <c r="I222" s="622"/>
      <c r="J222" s="50">
        <f>'7 - ENCARGOS SOCIAIS'!$D$21</f>
        <v>0.15387245147090212</v>
      </c>
      <c r="K222" s="47">
        <f>J222*$K$219</f>
        <v>402.15338400988907</v>
      </c>
    </row>
    <row r="223" spans="2:11" x14ac:dyDescent="0.25">
      <c r="B223" s="8" t="s">
        <v>107</v>
      </c>
      <c r="C223" s="622" t="s">
        <v>108</v>
      </c>
      <c r="D223" s="622"/>
      <c r="E223" s="622"/>
      <c r="F223" s="622"/>
      <c r="G223" s="622"/>
      <c r="H223" s="622"/>
      <c r="I223" s="622"/>
      <c r="J223" s="50">
        <f>'7 - ENCARGOS SOCIAIS'!$D$28</f>
        <v>0.12666581537651095</v>
      </c>
      <c r="K223" s="47">
        <f>J223*$K$219</f>
        <v>331.04747344373402</v>
      </c>
    </row>
    <row r="224" spans="2:11" x14ac:dyDescent="0.25">
      <c r="B224" s="8" t="s">
        <v>109</v>
      </c>
      <c r="C224" s="622" t="s">
        <v>110</v>
      </c>
      <c r="D224" s="622"/>
      <c r="E224" s="622"/>
      <c r="F224" s="622"/>
      <c r="G224" s="622"/>
      <c r="H224" s="622"/>
      <c r="I224" s="622"/>
      <c r="J224" s="50">
        <f>'7 - ENCARGOS SOCIAIS'!$D$32</f>
        <v>5.9231502118822603E-2</v>
      </c>
      <c r="K224" s="47">
        <f>J224*$K$219</f>
        <v>154.80450717052432</v>
      </c>
    </row>
    <row r="225" spans="1:22" x14ac:dyDescent="0.25">
      <c r="B225" s="25"/>
      <c r="C225" s="614" t="s">
        <v>111</v>
      </c>
      <c r="D225" s="614"/>
      <c r="E225" s="614"/>
      <c r="F225" s="614"/>
      <c r="G225" s="614"/>
      <c r="H225" s="614"/>
      <c r="I225" s="614"/>
      <c r="J225" s="51">
        <f>SUM(J221:J224)</f>
        <v>0.70776976896623567</v>
      </c>
      <c r="K225" s="52">
        <f>SUM(K221:K224)</f>
        <v>1849.7918566241476</v>
      </c>
    </row>
    <row r="226" spans="1:22" ht="28.9" customHeight="1" x14ac:dyDescent="0.25">
      <c r="B226" s="45" t="s">
        <v>112</v>
      </c>
      <c r="C226" s="667" t="s">
        <v>113</v>
      </c>
      <c r="D226" s="667"/>
      <c r="E226" s="667"/>
      <c r="F226" s="667"/>
      <c r="G226" s="667"/>
      <c r="H226" s="53" t="s">
        <v>114</v>
      </c>
      <c r="I226" s="45" t="s">
        <v>115</v>
      </c>
      <c r="J226" s="45" t="s">
        <v>116</v>
      </c>
      <c r="K226" s="45" t="s">
        <v>97</v>
      </c>
    </row>
    <row r="227" spans="1:22" ht="15" customHeight="1" x14ac:dyDescent="0.25">
      <c r="B227" s="8" t="s">
        <v>117</v>
      </c>
      <c r="C227" s="670" t="s">
        <v>118</v>
      </c>
      <c r="D227" s="670"/>
      <c r="E227" s="670"/>
      <c r="F227" s="670"/>
      <c r="G227" s="670"/>
      <c r="H227" s="8">
        <v>26</v>
      </c>
      <c r="I227" s="54">
        <v>27.15</v>
      </c>
      <c r="J227" s="69">
        <v>0.19</v>
      </c>
      <c r="K227" s="31">
        <f>(H227*I227)-((H227*I227)*J227)</f>
        <v>571.779</v>
      </c>
    </row>
    <row r="228" spans="1:22" x14ac:dyDescent="0.25">
      <c r="B228" s="8" t="s">
        <v>119</v>
      </c>
      <c r="C228" s="622" t="s">
        <v>151</v>
      </c>
      <c r="D228" s="622"/>
      <c r="E228" s="622"/>
      <c r="F228" s="622"/>
      <c r="G228" s="622"/>
      <c r="H228" s="8">
        <f>H227*4</f>
        <v>104</v>
      </c>
      <c r="I228" s="56">
        <v>6.25</v>
      </c>
      <c r="J228" s="69">
        <v>0.06</v>
      </c>
      <c r="K228" s="31">
        <f>(H228*I228)-(K215*J228)</f>
        <v>544.04840000000002</v>
      </c>
    </row>
    <row r="229" spans="1:22" ht="15" customHeight="1" x14ac:dyDescent="0.25">
      <c r="B229" s="8" t="s">
        <v>121</v>
      </c>
      <c r="C229" s="622" t="s">
        <v>122</v>
      </c>
      <c r="D229" s="622"/>
      <c r="E229" s="622"/>
      <c r="F229" s="622"/>
      <c r="G229" s="622"/>
      <c r="H229" s="4">
        <v>1</v>
      </c>
      <c r="I229" s="54">
        <v>25.52</v>
      </c>
      <c r="J229" s="5"/>
      <c r="K229" s="70">
        <f>I229</f>
        <v>25.52</v>
      </c>
    </row>
    <row r="230" spans="1:22" x14ac:dyDescent="0.25">
      <c r="B230" s="8" t="s">
        <v>152</v>
      </c>
      <c r="C230" s="671" t="s">
        <v>153</v>
      </c>
      <c r="D230" s="671"/>
      <c r="E230" s="671"/>
      <c r="F230" s="671"/>
      <c r="G230" s="671"/>
      <c r="H230" s="77">
        <v>1</v>
      </c>
      <c r="I230" s="92">
        <v>80</v>
      </c>
      <c r="J230" s="96"/>
      <c r="K230" s="97">
        <f>I230</f>
        <v>80</v>
      </c>
    </row>
    <row r="231" spans="1:22" x14ac:dyDescent="0.25">
      <c r="B231" s="5"/>
      <c r="C231" s="661" t="s">
        <v>123</v>
      </c>
      <c r="D231" s="661"/>
      <c r="E231" s="661"/>
      <c r="F231" s="661"/>
      <c r="G231" s="661"/>
      <c r="H231" s="661"/>
      <c r="I231" s="661"/>
      <c r="J231" s="48"/>
      <c r="K231" s="57">
        <f>SUM(K227:K230)</f>
        <v>1221.3474000000001</v>
      </c>
    </row>
    <row r="232" spans="1:22" x14ac:dyDescent="0.25">
      <c r="B232" s="747" t="s">
        <v>165</v>
      </c>
      <c r="C232" s="747"/>
      <c r="D232" s="747"/>
      <c r="E232" s="747"/>
      <c r="F232" s="747"/>
      <c r="G232" s="747"/>
      <c r="H232" s="747"/>
      <c r="I232" s="747"/>
      <c r="J232" s="747"/>
      <c r="K232" s="58">
        <f>K231+K225+K219</f>
        <v>5684.6895066241468</v>
      </c>
    </row>
    <row r="233" spans="1:22" x14ac:dyDescent="0.25">
      <c r="B233" s="666" t="s">
        <v>125</v>
      </c>
      <c r="C233" s="666"/>
      <c r="D233" s="666"/>
      <c r="E233" s="666"/>
      <c r="F233" s="666"/>
      <c r="G233" s="666"/>
      <c r="H233" s="666"/>
      <c r="I233" s="59">
        <f>H15</f>
        <v>1</v>
      </c>
      <c r="J233" s="59" t="s">
        <v>126</v>
      </c>
      <c r="K233" s="60">
        <f>K232*I233</f>
        <v>5684.6895066241468</v>
      </c>
    </row>
    <row r="234" spans="1:22" x14ac:dyDescent="0.25"/>
    <row r="235" spans="1:22" x14ac:dyDescent="0.25">
      <c r="B235" s="663" t="s">
        <v>166</v>
      </c>
      <c r="C235" s="663"/>
      <c r="D235" s="663"/>
      <c r="E235" s="663"/>
      <c r="F235" s="663"/>
      <c r="G235" s="663"/>
      <c r="H235" s="663"/>
      <c r="I235" s="663"/>
      <c r="J235" s="663"/>
      <c r="K235" s="663"/>
    </row>
    <row r="236" spans="1:22" x14ac:dyDescent="0.25">
      <c r="B236" s="3" t="s">
        <v>95</v>
      </c>
      <c r="C236" s="602" t="s">
        <v>96</v>
      </c>
      <c r="D236" s="602"/>
      <c r="E236" s="602"/>
      <c r="F236" s="602"/>
      <c r="G236" s="602"/>
      <c r="H236" s="53" t="s">
        <v>128</v>
      </c>
      <c r="I236" s="61" t="s">
        <v>129</v>
      </c>
      <c r="J236" s="45" t="s">
        <v>115</v>
      </c>
      <c r="K236" s="45" t="s">
        <v>97</v>
      </c>
    </row>
    <row r="237" spans="1:22" x14ac:dyDescent="0.25">
      <c r="A237" s="101"/>
      <c r="B237" s="4" t="s">
        <v>98</v>
      </c>
      <c r="C237" s="594" t="s">
        <v>99</v>
      </c>
      <c r="D237" s="594"/>
      <c r="E237" s="594"/>
      <c r="F237" s="594"/>
      <c r="G237" s="594"/>
      <c r="H237" s="4">
        <v>220</v>
      </c>
      <c r="I237" s="8" t="s">
        <v>130</v>
      </c>
      <c r="J237" s="62">
        <f>K237/H237</f>
        <v>8.0266363636363636</v>
      </c>
      <c r="K237" s="47">
        <f>'6 - DADOS CC MO'!E79</f>
        <v>1765.86</v>
      </c>
      <c r="M237" s="561"/>
      <c r="N237" s="101"/>
      <c r="O237" s="101"/>
      <c r="P237" s="101"/>
      <c r="Q237" s="101"/>
      <c r="R237" s="101"/>
      <c r="S237" s="101"/>
      <c r="T237" s="101"/>
      <c r="U237" s="101"/>
      <c r="V237" s="101"/>
    </row>
    <row r="238" spans="1:22" x14ac:dyDescent="0.25">
      <c r="B238" s="8" t="s">
        <v>131</v>
      </c>
      <c r="C238" s="63" t="s">
        <v>132</v>
      </c>
      <c r="D238" s="64"/>
      <c r="E238" s="64"/>
      <c r="F238" s="64"/>
      <c r="G238" s="65"/>
      <c r="H238" s="66">
        <f>7+1/3</f>
        <v>7.333333333333333</v>
      </c>
      <c r="I238" s="8" t="s">
        <v>130</v>
      </c>
      <c r="J238" s="62">
        <f>J237*2</f>
        <v>16.053272727272727</v>
      </c>
      <c r="K238" s="67">
        <f>H238*J238</f>
        <v>117.72399999999999</v>
      </c>
    </row>
    <row r="239" spans="1:22" x14ac:dyDescent="0.25">
      <c r="B239" s="8" t="s">
        <v>133</v>
      </c>
      <c r="C239" s="63" t="s">
        <v>134</v>
      </c>
      <c r="D239" s="64"/>
      <c r="E239" s="64"/>
      <c r="F239" s="64"/>
      <c r="G239" s="65"/>
      <c r="H239" s="66"/>
      <c r="I239" s="8"/>
      <c r="J239" s="62">
        <f>61/304*(SUM(K238))</f>
        <v>23.622250000000001</v>
      </c>
      <c r="K239" s="67">
        <f>J239</f>
        <v>23.622250000000001</v>
      </c>
    </row>
    <row r="240" spans="1:22" x14ac:dyDescent="0.25">
      <c r="B240" s="4" t="s">
        <v>135</v>
      </c>
      <c r="C240" s="594" t="s">
        <v>136</v>
      </c>
      <c r="D240" s="594"/>
      <c r="E240" s="594"/>
      <c r="F240" s="594"/>
      <c r="G240" s="594"/>
      <c r="H240" s="4">
        <v>40</v>
      </c>
      <c r="I240" s="8" t="s">
        <v>89</v>
      </c>
      <c r="J240" s="46"/>
      <c r="K240" s="47">
        <f>K237*40%</f>
        <v>706.34400000000005</v>
      </c>
    </row>
    <row r="241" spans="1:22" x14ac:dyDescent="0.25">
      <c r="B241" s="4"/>
      <c r="C241" s="661" t="s">
        <v>100</v>
      </c>
      <c r="D241" s="661"/>
      <c r="E241" s="661"/>
      <c r="F241" s="661"/>
      <c r="G241" s="661"/>
      <c r="H241" s="661"/>
      <c r="I241" s="661"/>
      <c r="J241" s="48"/>
      <c r="K241" s="49">
        <f>SUM(K237:K240)</f>
        <v>2613.5502499999998</v>
      </c>
    </row>
    <row r="242" spans="1:22" x14ac:dyDescent="0.25">
      <c r="B242" s="45" t="s">
        <v>101</v>
      </c>
      <c r="C242" s="602" t="s">
        <v>102</v>
      </c>
      <c r="D242" s="602"/>
      <c r="E242" s="602"/>
      <c r="F242" s="602"/>
      <c r="G242" s="602"/>
      <c r="H242" s="602"/>
      <c r="I242" s="602"/>
      <c r="J242" s="45" t="s">
        <v>89</v>
      </c>
      <c r="K242" s="45" t="s">
        <v>97</v>
      </c>
    </row>
    <row r="243" spans="1:22" x14ac:dyDescent="0.25">
      <c r="B243" s="8" t="s">
        <v>103</v>
      </c>
      <c r="C243" s="622" t="s">
        <v>104</v>
      </c>
      <c r="D243" s="622"/>
      <c r="E243" s="622"/>
      <c r="F243" s="622"/>
      <c r="G243" s="622"/>
      <c r="H243" s="622"/>
      <c r="I243" s="622"/>
      <c r="J243" s="50">
        <f>'7 - ENCARGOS SOCIAIS'!$D$13</f>
        <v>0.36800000000000005</v>
      </c>
      <c r="K243" s="47">
        <f>J243*$K$241</f>
        <v>961.78649200000007</v>
      </c>
    </row>
    <row r="244" spans="1:22" x14ac:dyDescent="0.25">
      <c r="B244" s="8" t="s">
        <v>105</v>
      </c>
      <c r="C244" s="622" t="s">
        <v>106</v>
      </c>
      <c r="D244" s="622"/>
      <c r="E244" s="622"/>
      <c r="F244" s="622"/>
      <c r="G244" s="622"/>
      <c r="H244" s="622"/>
      <c r="I244" s="622"/>
      <c r="J244" s="50">
        <f>'7 - ENCARGOS SOCIAIS'!$D$21</f>
        <v>0.15387245147090212</v>
      </c>
      <c r="K244" s="47">
        <f>J244*$K$241</f>
        <v>402.15338400988907</v>
      </c>
    </row>
    <row r="245" spans="1:22" x14ac:dyDescent="0.25">
      <c r="B245" s="8" t="s">
        <v>107</v>
      </c>
      <c r="C245" s="622" t="s">
        <v>108</v>
      </c>
      <c r="D245" s="622"/>
      <c r="E245" s="622"/>
      <c r="F245" s="622"/>
      <c r="G245" s="622"/>
      <c r="H245" s="622"/>
      <c r="I245" s="622"/>
      <c r="J245" s="50">
        <f>'7 - ENCARGOS SOCIAIS'!$D$28</f>
        <v>0.12666581537651095</v>
      </c>
      <c r="K245" s="47">
        <f>J245*$K$241</f>
        <v>331.04747344373402</v>
      </c>
    </row>
    <row r="246" spans="1:22" x14ac:dyDescent="0.25">
      <c r="B246" s="8" t="s">
        <v>109</v>
      </c>
      <c r="C246" s="622" t="s">
        <v>110</v>
      </c>
      <c r="D246" s="622"/>
      <c r="E246" s="622"/>
      <c r="F246" s="622"/>
      <c r="G246" s="622"/>
      <c r="H246" s="622"/>
      <c r="I246" s="622"/>
      <c r="J246" s="50">
        <f>'7 - ENCARGOS SOCIAIS'!$D$32</f>
        <v>5.9231502118822603E-2</v>
      </c>
      <c r="K246" s="47">
        <f>J246*$K$241</f>
        <v>154.80450717052432</v>
      </c>
    </row>
    <row r="247" spans="1:22" x14ac:dyDescent="0.25">
      <c r="B247" s="25"/>
      <c r="C247" s="614" t="s">
        <v>111</v>
      </c>
      <c r="D247" s="614"/>
      <c r="E247" s="614"/>
      <c r="F247" s="614"/>
      <c r="G247" s="614"/>
      <c r="H247" s="614"/>
      <c r="I247" s="614"/>
      <c r="J247" s="51">
        <f>SUM(J243:J246)</f>
        <v>0.70776976896623567</v>
      </c>
      <c r="K247" s="52">
        <f>SUM(K243:K246)</f>
        <v>1849.7918566241476</v>
      </c>
    </row>
    <row r="248" spans="1:22" ht="33" customHeight="1" x14ac:dyDescent="0.25">
      <c r="B248" s="45" t="s">
        <v>112</v>
      </c>
      <c r="C248" s="667" t="s">
        <v>113</v>
      </c>
      <c r="D248" s="667"/>
      <c r="E248" s="667"/>
      <c r="F248" s="667"/>
      <c r="G248" s="667"/>
      <c r="H248" s="53" t="s">
        <v>114</v>
      </c>
      <c r="I248" s="45" t="s">
        <v>115</v>
      </c>
      <c r="J248" s="45" t="s">
        <v>116</v>
      </c>
      <c r="K248" s="45" t="s">
        <v>97</v>
      </c>
    </row>
    <row r="249" spans="1:22" ht="15" customHeight="1" x14ac:dyDescent="0.25">
      <c r="B249" s="8" t="s">
        <v>117</v>
      </c>
      <c r="C249" s="670" t="s">
        <v>118</v>
      </c>
      <c r="D249" s="670"/>
      <c r="E249" s="670"/>
      <c r="F249" s="670"/>
      <c r="G249" s="670"/>
      <c r="H249" s="8">
        <v>26</v>
      </c>
      <c r="I249" s="102">
        <v>27.15</v>
      </c>
      <c r="J249" s="55">
        <v>0.19</v>
      </c>
      <c r="K249" s="31">
        <f>(H249*I249)-((H249*I249)*J249)</f>
        <v>571.779</v>
      </c>
    </row>
    <row r="250" spans="1:22" x14ac:dyDescent="0.25">
      <c r="A250" s="101"/>
      <c r="B250" s="103" t="s">
        <v>119</v>
      </c>
      <c r="C250" s="670" t="s">
        <v>120</v>
      </c>
      <c r="D250" s="670"/>
      <c r="E250" s="670"/>
      <c r="F250" s="670"/>
      <c r="G250" s="670"/>
      <c r="H250" s="104">
        <f>H249*4</f>
        <v>104</v>
      </c>
      <c r="I250" s="105">
        <v>6.25</v>
      </c>
      <c r="J250" s="106">
        <v>0.06</v>
      </c>
      <c r="K250" s="107">
        <f>(H250*I250)-(K237*J250)</f>
        <v>544.04840000000002</v>
      </c>
      <c r="L250" s="546"/>
      <c r="M250" s="561"/>
      <c r="N250" s="101"/>
      <c r="O250" s="101"/>
      <c r="P250" s="101"/>
      <c r="Q250" s="101"/>
      <c r="R250" s="101"/>
      <c r="S250" s="101"/>
      <c r="T250" s="101"/>
      <c r="U250" s="101"/>
      <c r="V250" s="101"/>
    </row>
    <row r="251" spans="1:22" x14ac:dyDescent="0.25">
      <c r="B251" s="8" t="s">
        <v>121</v>
      </c>
      <c r="C251" s="622" t="s">
        <v>122</v>
      </c>
      <c r="D251" s="622"/>
      <c r="E251" s="622"/>
      <c r="F251" s="622"/>
      <c r="G251" s="622"/>
      <c r="H251" s="4">
        <v>1</v>
      </c>
      <c r="I251" s="54">
        <v>25.52</v>
      </c>
      <c r="J251" s="5"/>
      <c r="K251" s="32">
        <f>I251</f>
        <v>25.52</v>
      </c>
    </row>
    <row r="252" spans="1:22" x14ac:dyDescent="0.25">
      <c r="B252" s="8" t="s">
        <v>152</v>
      </c>
      <c r="C252" s="671" t="s">
        <v>153</v>
      </c>
      <c r="D252" s="671"/>
      <c r="E252" s="671"/>
      <c r="F252" s="671"/>
      <c r="G252" s="671"/>
      <c r="H252" s="4">
        <v>1</v>
      </c>
      <c r="I252" s="54">
        <v>80</v>
      </c>
      <c r="J252" s="5"/>
      <c r="K252" s="32">
        <f>I252</f>
        <v>80</v>
      </c>
      <c r="M252" s="562"/>
    </row>
    <row r="253" spans="1:22" x14ac:dyDescent="0.25">
      <c r="B253" s="5"/>
      <c r="C253" s="661" t="s">
        <v>123</v>
      </c>
      <c r="D253" s="661"/>
      <c r="E253" s="661"/>
      <c r="F253" s="661"/>
      <c r="G253" s="661"/>
      <c r="H253" s="661"/>
      <c r="I253" s="661"/>
      <c r="J253" s="48"/>
      <c r="K253" s="57">
        <f>SUM(K249:K252)</f>
        <v>1221.3474000000001</v>
      </c>
    </row>
    <row r="254" spans="1:22" x14ac:dyDescent="0.25">
      <c r="B254" s="747" t="s">
        <v>167</v>
      </c>
      <c r="C254" s="747"/>
      <c r="D254" s="747"/>
      <c r="E254" s="747"/>
      <c r="F254" s="747"/>
      <c r="G254" s="747"/>
      <c r="H254" s="747"/>
      <c r="I254" s="747"/>
      <c r="J254" s="747"/>
      <c r="K254" s="58">
        <f>K253+K247+K241</f>
        <v>5684.6895066241468</v>
      </c>
    </row>
    <row r="255" spans="1:22" x14ac:dyDescent="0.25">
      <c r="B255" s="666" t="s">
        <v>125</v>
      </c>
      <c r="C255" s="666"/>
      <c r="D255" s="666"/>
      <c r="E255" s="666"/>
      <c r="F255" s="666"/>
      <c r="G255" s="666"/>
      <c r="H255" s="666"/>
      <c r="I255" s="59">
        <v>1</v>
      </c>
      <c r="J255" s="59" t="s">
        <v>126</v>
      </c>
      <c r="K255" s="60">
        <f>K254*I255</f>
        <v>5684.6895066241468</v>
      </c>
    </row>
    <row r="256" spans="1:22" x14ac:dyDescent="0.25"/>
    <row r="257" spans="2:11" x14ac:dyDescent="0.25">
      <c r="B257" s="663" t="s">
        <v>168</v>
      </c>
      <c r="C257" s="663"/>
      <c r="D257" s="663"/>
      <c r="E257" s="663"/>
      <c r="F257" s="663"/>
      <c r="G257" s="663"/>
      <c r="H257" s="663"/>
      <c r="I257" s="663"/>
      <c r="J257" s="663"/>
      <c r="K257" s="663"/>
    </row>
    <row r="258" spans="2:11" x14ac:dyDescent="0.25">
      <c r="B258" s="3" t="s">
        <v>95</v>
      </c>
      <c r="C258" s="602" t="s">
        <v>96</v>
      </c>
      <c r="D258" s="602"/>
      <c r="E258" s="602"/>
      <c r="F258" s="602"/>
      <c r="G258" s="602"/>
      <c r="H258" s="53" t="s">
        <v>128</v>
      </c>
      <c r="I258" s="61" t="s">
        <v>129</v>
      </c>
      <c r="J258" s="45" t="s">
        <v>115</v>
      </c>
      <c r="K258" s="45" t="s">
        <v>97</v>
      </c>
    </row>
    <row r="259" spans="2:11" x14ac:dyDescent="0.25">
      <c r="B259" s="8" t="s">
        <v>98</v>
      </c>
      <c r="C259" s="622" t="s">
        <v>99</v>
      </c>
      <c r="D259" s="622"/>
      <c r="E259" s="622"/>
      <c r="F259" s="622"/>
      <c r="G259" s="622"/>
      <c r="H259" s="4">
        <v>180</v>
      </c>
      <c r="I259" s="8" t="s">
        <v>130</v>
      </c>
      <c r="J259" s="62">
        <f>K259/H259</f>
        <v>11.8125</v>
      </c>
      <c r="K259" s="47">
        <f>'6 - DADOS CC MO'!E91</f>
        <v>2126.25</v>
      </c>
    </row>
    <row r="260" spans="2:11" x14ac:dyDescent="0.25">
      <c r="B260" s="8" t="s">
        <v>131</v>
      </c>
      <c r="C260" s="63" t="s">
        <v>132</v>
      </c>
      <c r="D260" s="64"/>
      <c r="E260" s="64"/>
      <c r="F260" s="64"/>
      <c r="G260" s="65"/>
      <c r="H260" s="66">
        <f>7+1/3</f>
        <v>7.333333333333333</v>
      </c>
      <c r="I260" s="8" t="s">
        <v>130</v>
      </c>
      <c r="J260" s="62">
        <f>J259*2</f>
        <v>23.625</v>
      </c>
      <c r="K260" s="67">
        <f>H260*J260</f>
        <v>173.25</v>
      </c>
    </row>
    <row r="261" spans="2:11" x14ac:dyDescent="0.25">
      <c r="B261" s="8" t="s">
        <v>133</v>
      </c>
      <c r="C261" s="63" t="s">
        <v>134</v>
      </c>
      <c r="D261" s="64"/>
      <c r="E261" s="64"/>
      <c r="F261" s="64"/>
      <c r="G261" s="65"/>
      <c r="H261" s="66"/>
      <c r="I261" s="8"/>
      <c r="J261" s="62">
        <f>61/304*(SUM(K260))</f>
        <v>34.763980263157897</v>
      </c>
      <c r="K261" s="67">
        <f>J261</f>
        <v>34.763980263157897</v>
      </c>
    </row>
    <row r="262" spans="2:11" x14ac:dyDescent="0.25">
      <c r="B262" s="8" t="s">
        <v>135</v>
      </c>
      <c r="C262" s="622" t="s">
        <v>136</v>
      </c>
      <c r="D262" s="622"/>
      <c r="E262" s="622"/>
      <c r="F262" s="622"/>
      <c r="G262" s="622"/>
      <c r="H262" s="4">
        <v>40</v>
      </c>
      <c r="I262" s="8" t="s">
        <v>89</v>
      </c>
      <c r="J262" s="46"/>
      <c r="K262" s="47">
        <f>K259*40%</f>
        <v>850.5</v>
      </c>
    </row>
    <row r="263" spans="2:11" x14ac:dyDescent="0.25">
      <c r="B263" s="4"/>
      <c r="C263" s="661" t="s">
        <v>100</v>
      </c>
      <c r="D263" s="661"/>
      <c r="E263" s="661"/>
      <c r="F263" s="661"/>
      <c r="G263" s="661"/>
      <c r="H263" s="661"/>
      <c r="I263" s="661"/>
      <c r="J263" s="48"/>
      <c r="K263" s="49">
        <f>SUM(K259:K262)</f>
        <v>3184.7639802631579</v>
      </c>
    </row>
    <row r="264" spans="2:11" x14ac:dyDescent="0.25">
      <c r="B264" s="45" t="s">
        <v>101</v>
      </c>
      <c r="C264" s="602" t="s">
        <v>102</v>
      </c>
      <c r="D264" s="602"/>
      <c r="E264" s="602"/>
      <c r="F264" s="602"/>
      <c r="G264" s="602"/>
      <c r="H264" s="602"/>
      <c r="I264" s="602"/>
      <c r="J264" s="45" t="s">
        <v>89</v>
      </c>
      <c r="K264" s="45" t="s">
        <v>97</v>
      </c>
    </row>
    <row r="265" spans="2:11" x14ac:dyDescent="0.25">
      <c r="B265" s="8" t="s">
        <v>103</v>
      </c>
      <c r="C265" s="622" t="s">
        <v>104</v>
      </c>
      <c r="D265" s="622"/>
      <c r="E265" s="622"/>
      <c r="F265" s="622"/>
      <c r="G265" s="622"/>
      <c r="H265" s="622"/>
      <c r="I265" s="622"/>
      <c r="J265" s="50">
        <f>'7 - ENCARGOS SOCIAIS'!$D$13</f>
        <v>0.36800000000000005</v>
      </c>
      <c r="K265" s="47">
        <f>J265*$K$263</f>
        <v>1171.9931447368422</v>
      </c>
    </row>
    <row r="266" spans="2:11" x14ac:dyDescent="0.25">
      <c r="B266" s="8" t="s">
        <v>105</v>
      </c>
      <c r="C266" s="622" t="s">
        <v>106</v>
      </c>
      <c r="D266" s="622"/>
      <c r="E266" s="622"/>
      <c r="F266" s="622"/>
      <c r="G266" s="622"/>
      <c r="H266" s="622"/>
      <c r="I266" s="622"/>
      <c r="J266" s="50">
        <f>'7 - ENCARGOS SOCIAIS'!$D$21</f>
        <v>0.15387245147090212</v>
      </c>
      <c r="K266" s="47">
        <f>J266*$K$263</f>
        <v>490.0474409993198</v>
      </c>
    </row>
    <row r="267" spans="2:11" x14ac:dyDescent="0.25">
      <c r="B267" s="8" t="s">
        <v>107</v>
      </c>
      <c r="C267" s="622" t="s">
        <v>108</v>
      </c>
      <c r="D267" s="622"/>
      <c r="E267" s="622"/>
      <c r="F267" s="622"/>
      <c r="G267" s="622"/>
      <c r="H267" s="622"/>
      <c r="I267" s="622"/>
      <c r="J267" s="50">
        <f>'7 - ENCARGOS SOCIAIS'!$D$28</f>
        <v>0.12666581537651095</v>
      </c>
      <c r="K267" s="47">
        <f>J267*$K$263</f>
        <v>403.40072634177534</v>
      </c>
    </row>
    <row r="268" spans="2:11" x14ac:dyDescent="0.25">
      <c r="B268" s="8" t="s">
        <v>109</v>
      </c>
      <c r="C268" s="622" t="s">
        <v>110</v>
      </c>
      <c r="D268" s="622"/>
      <c r="E268" s="622"/>
      <c r="F268" s="622"/>
      <c r="G268" s="622"/>
      <c r="H268" s="622"/>
      <c r="I268" s="622"/>
      <c r="J268" s="50">
        <f>'7 - ENCARGOS SOCIAIS'!$D$32</f>
        <v>5.9231502118822603E-2</v>
      </c>
      <c r="K268" s="47">
        <f>J268*$K$263</f>
        <v>188.63835444490715</v>
      </c>
    </row>
    <row r="269" spans="2:11" ht="15" customHeight="1" x14ac:dyDescent="0.25">
      <c r="B269" s="25"/>
      <c r="C269" s="614" t="s">
        <v>111</v>
      </c>
      <c r="D269" s="614"/>
      <c r="E269" s="614"/>
      <c r="F269" s="614"/>
      <c r="G269" s="614"/>
      <c r="H269" s="614"/>
      <c r="I269" s="614"/>
      <c r="J269" s="51">
        <f>SUM(J265:J268)</f>
        <v>0.70776976896623567</v>
      </c>
      <c r="K269" s="52">
        <f>SUM(K265:K268)</f>
        <v>2254.0796665228445</v>
      </c>
    </row>
    <row r="270" spans="2:11" ht="30" customHeight="1" x14ac:dyDescent="0.25">
      <c r="B270" s="45" t="s">
        <v>112</v>
      </c>
      <c r="C270" s="667" t="s">
        <v>113</v>
      </c>
      <c r="D270" s="667"/>
      <c r="E270" s="667"/>
      <c r="F270" s="667"/>
      <c r="G270" s="667"/>
      <c r="H270" s="53" t="s">
        <v>114</v>
      </c>
      <c r="I270" s="45" t="s">
        <v>115</v>
      </c>
      <c r="J270" s="45" t="s">
        <v>116</v>
      </c>
      <c r="K270" s="45" t="s">
        <v>97</v>
      </c>
    </row>
    <row r="271" spans="2:11" ht="15" customHeight="1" x14ac:dyDescent="0.25">
      <c r="B271" s="8" t="s">
        <v>117</v>
      </c>
      <c r="C271" s="670" t="s">
        <v>118</v>
      </c>
      <c r="D271" s="670"/>
      <c r="E271" s="670"/>
      <c r="F271" s="670"/>
      <c r="G271" s="670"/>
      <c r="H271" s="8">
        <v>15</v>
      </c>
      <c r="I271" s="54">
        <v>27.15</v>
      </c>
      <c r="J271" s="69">
        <v>0.19</v>
      </c>
      <c r="K271" s="31">
        <f>(H271*I271)-((H271*I271)*J271)</f>
        <v>329.8725</v>
      </c>
    </row>
    <row r="272" spans="2:11" ht="15" customHeight="1" x14ac:dyDescent="0.25">
      <c r="B272" s="8" t="s">
        <v>119</v>
      </c>
      <c r="C272" s="622" t="s">
        <v>151</v>
      </c>
      <c r="D272" s="622"/>
      <c r="E272" s="622"/>
      <c r="F272" s="622"/>
      <c r="G272" s="622"/>
      <c r="H272" s="8">
        <f>H271*4</f>
        <v>60</v>
      </c>
      <c r="I272" s="56">
        <v>6.25</v>
      </c>
      <c r="J272" s="69">
        <v>0.06</v>
      </c>
      <c r="K272" s="31">
        <f>(H272*I272)-(K259*J272)</f>
        <v>247.42500000000001</v>
      </c>
    </row>
    <row r="273" spans="2:11" x14ac:dyDescent="0.25">
      <c r="B273" s="8" t="s">
        <v>121</v>
      </c>
      <c r="C273" s="622" t="s">
        <v>122</v>
      </c>
      <c r="D273" s="622"/>
      <c r="E273" s="622"/>
      <c r="F273" s="622"/>
      <c r="G273" s="622"/>
      <c r="H273" s="4">
        <v>1</v>
      </c>
      <c r="I273" s="54">
        <v>25.52</v>
      </c>
      <c r="J273" s="5"/>
      <c r="K273" s="70">
        <f>I273</f>
        <v>25.52</v>
      </c>
    </row>
    <row r="274" spans="2:11" ht="15" customHeight="1" x14ac:dyDescent="0.25">
      <c r="B274" s="8" t="s">
        <v>152</v>
      </c>
      <c r="C274" s="671" t="s">
        <v>153</v>
      </c>
      <c r="D274" s="671"/>
      <c r="E274" s="671"/>
      <c r="F274" s="671"/>
      <c r="G274" s="671"/>
      <c r="H274" s="4">
        <v>1</v>
      </c>
      <c r="I274" s="54">
        <v>80</v>
      </c>
      <c r="J274" s="5"/>
      <c r="K274" s="32">
        <f>I274</f>
        <v>80</v>
      </c>
    </row>
    <row r="275" spans="2:11" x14ac:dyDescent="0.25">
      <c r="B275" s="5"/>
      <c r="C275" s="661" t="s">
        <v>123</v>
      </c>
      <c r="D275" s="661"/>
      <c r="E275" s="661"/>
      <c r="F275" s="661"/>
      <c r="G275" s="661"/>
      <c r="H275" s="661"/>
      <c r="I275" s="661"/>
      <c r="J275" s="48"/>
      <c r="K275" s="57">
        <f>SUM(K271:K274)</f>
        <v>682.8175</v>
      </c>
    </row>
    <row r="276" spans="2:11" x14ac:dyDescent="0.25">
      <c r="B276" s="747" t="s">
        <v>169</v>
      </c>
      <c r="C276" s="747"/>
      <c r="D276" s="747"/>
      <c r="E276" s="747"/>
      <c r="F276" s="747"/>
      <c r="G276" s="747"/>
      <c r="H276" s="747"/>
      <c r="I276" s="747"/>
      <c r="J276" s="747"/>
      <c r="K276" s="58">
        <f>K275+K269+K263</f>
        <v>6121.6611467860021</v>
      </c>
    </row>
    <row r="277" spans="2:11" x14ac:dyDescent="0.25">
      <c r="B277" s="666" t="s">
        <v>125</v>
      </c>
      <c r="C277" s="666"/>
      <c r="D277" s="666"/>
      <c r="E277" s="666"/>
      <c r="F277" s="666"/>
      <c r="G277" s="666"/>
      <c r="H277" s="666"/>
      <c r="I277" s="59">
        <v>2</v>
      </c>
      <c r="J277" s="59" t="s">
        <v>126</v>
      </c>
      <c r="K277" s="60">
        <f>K276*I277</f>
        <v>12243.322293572004</v>
      </c>
    </row>
    <row r="278" spans="2:11" x14ac:dyDescent="0.25">
      <c r="B278" s="23"/>
      <c r="C278" s="23"/>
      <c r="D278" s="23"/>
      <c r="E278" s="23"/>
      <c r="F278" s="23"/>
      <c r="G278" s="23"/>
      <c r="H278" s="23"/>
      <c r="I278" s="23"/>
      <c r="J278" s="23"/>
      <c r="K278" s="109"/>
    </row>
    <row r="279" spans="2:11" x14ac:dyDescent="0.25">
      <c r="B279" s="663" t="s">
        <v>170</v>
      </c>
      <c r="C279" s="663"/>
      <c r="D279" s="663"/>
      <c r="E279" s="663"/>
      <c r="F279" s="663"/>
      <c r="G279" s="663"/>
      <c r="H279" s="663"/>
      <c r="I279" s="663"/>
      <c r="J279" s="663"/>
      <c r="K279" s="663"/>
    </row>
    <row r="280" spans="2:11" x14ac:dyDescent="0.25">
      <c r="B280" s="3" t="s">
        <v>95</v>
      </c>
      <c r="C280" s="602" t="s">
        <v>96</v>
      </c>
      <c r="D280" s="602"/>
      <c r="E280" s="602"/>
      <c r="F280" s="602"/>
      <c r="G280" s="602"/>
      <c r="H280" s="53" t="s">
        <v>128</v>
      </c>
      <c r="I280" s="61" t="s">
        <v>129</v>
      </c>
      <c r="J280" s="45" t="s">
        <v>115</v>
      </c>
      <c r="K280" s="45" t="s">
        <v>97</v>
      </c>
    </row>
    <row r="281" spans="2:11" ht="15" customHeight="1" x14ac:dyDescent="0.25">
      <c r="B281" s="8" t="s">
        <v>98</v>
      </c>
      <c r="C281" s="622" t="s">
        <v>99</v>
      </c>
      <c r="D281" s="622"/>
      <c r="E281" s="622"/>
      <c r="F281" s="622"/>
      <c r="G281" s="622"/>
      <c r="H281" s="4">
        <v>180</v>
      </c>
      <c r="I281" s="8" t="s">
        <v>130</v>
      </c>
      <c r="J281" s="62">
        <f>K281/H281</f>
        <v>11.8125</v>
      </c>
      <c r="K281" s="47">
        <f>'6 - DADOS CC MO'!E91</f>
        <v>2126.25</v>
      </c>
    </row>
    <row r="282" spans="2:11" x14ac:dyDescent="0.25">
      <c r="B282" s="668" t="s">
        <v>135</v>
      </c>
      <c r="C282" s="615" t="s">
        <v>139</v>
      </c>
      <c r="D282" s="615"/>
      <c r="E282" s="615"/>
      <c r="F282" s="615"/>
      <c r="G282" s="615"/>
      <c r="H282" s="4">
        <v>105</v>
      </c>
      <c r="I282" s="8" t="s">
        <v>140</v>
      </c>
      <c r="J282" s="62"/>
      <c r="K282" s="47"/>
    </row>
    <row r="283" spans="2:11" x14ac:dyDescent="0.25">
      <c r="B283" s="668"/>
      <c r="C283" s="615"/>
      <c r="D283" s="615"/>
      <c r="E283" s="615"/>
      <c r="F283" s="615"/>
      <c r="G283" s="615"/>
      <c r="H283" s="110">
        <f>H282*8/7</f>
        <v>120</v>
      </c>
      <c r="I283" s="8" t="s">
        <v>141</v>
      </c>
      <c r="J283" s="62">
        <f>J281*0.2</f>
        <v>2.3625000000000003</v>
      </c>
      <c r="K283" s="47">
        <f>H283*J283</f>
        <v>283.50000000000006</v>
      </c>
    </row>
    <row r="284" spans="2:11" x14ac:dyDescent="0.25">
      <c r="B284" s="8" t="s">
        <v>142</v>
      </c>
      <c r="C284" s="63" t="s">
        <v>132</v>
      </c>
      <c r="D284" s="64"/>
      <c r="E284" s="64"/>
      <c r="F284" s="64"/>
      <c r="G284" s="65"/>
      <c r="H284" s="66">
        <f>7+1/3-H285</f>
        <v>3</v>
      </c>
      <c r="I284" s="8" t="s">
        <v>130</v>
      </c>
      <c r="J284" s="62">
        <f>J281*2</f>
        <v>23.625</v>
      </c>
      <c r="K284" s="67">
        <f>H284*J284</f>
        <v>70.875</v>
      </c>
    </row>
    <row r="285" spans="2:11" x14ac:dyDescent="0.25">
      <c r="B285" s="8" t="s">
        <v>143</v>
      </c>
      <c r="C285" s="63" t="s">
        <v>144</v>
      </c>
      <c r="D285" s="64"/>
      <c r="E285" s="64"/>
      <c r="F285" s="64"/>
      <c r="G285" s="65"/>
      <c r="H285" s="66">
        <f>4+1/3</f>
        <v>4.333333333333333</v>
      </c>
      <c r="I285" s="8" t="s">
        <v>130</v>
      </c>
      <c r="J285" s="62"/>
      <c r="K285" s="67"/>
    </row>
    <row r="286" spans="2:11" x14ac:dyDescent="0.25">
      <c r="B286" s="8" t="s">
        <v>145</v>
      </c>
      <c r="C286" s="63" t="s">
        <v>146</v>
      </c>
      <c r="D286" s="64"/>
      <c r="E286" s="64"/>
      <c r="F286" s="64"/>
      <c r="G286" s="65"/>
      <c r="H286" s="66">
        <f>H285*8/7</f>
        <v>4.9523809523809517</v>
      </c>
      <c r="I286" s="8" t="s">
        <v>130</v>
      </c>
      <c r="J286" s="62">
        <f>J281*2*1.2</f>
        <v>28.349999999999998</v>
      </c>
      <c r="K286" s="67">
        <f>H286*J286</f>
        <v>140.39999999999998</v>
      </c>
    </row>
    <row r="287" spans="2:11" x14ac:dyDescent="0.25">
      <c r="B287" s="8" t="s">
        <v>147</v>
      </c>
      <c r="C287" s="63" t="s">
        <v>134</v>
      </c>
      <c r="D287" s="64"/>
      <c r="E287" s="64"/>
      <c r="F287" s="64"/>
      <c r="G287" s="65"/>
      <c r="H287" s="66"/>
      <c r="I287" s="8"/>
      <c r="J287" s="62">
        <f>61/304*(SUM(K283:K286))</f>
        <v>99.280509868421063</v>
      </c>
      <c r="K287" s="67">
        <f>J287</f>
        <v>99.280509868421063</v>
      </c>
    </row>
    <row r="288" spans="2:11" x14ac:dyDescent="0.25">
      <c r="B288" s="8" t="s">
        <v>148</v>
      </c>
      <c r="C288" s="622" t="s">
        <v>136</v>
      </c>
      <c r="D288" s="622"/>
      <c r="E288" s="622"/>
      <c r="F288" s="622"/>
      <c r="G288" s="622"/>
      <c r="H288" s="4">
        <v>40</v>
      </c>
      <c r="I288" s="8" t="s">
        <v>89</v>
      </c>
      <c r="J288" s="46"/>
      <c r="K288" s="47">
        <f>K281*40%</f>
        <v>850.5</v>
      </c>
    </row>
    <row r="289" spans="2:11" x14ac:dyDescent="0.25">
      <c r="B289" s="4"/>
      <c r="C289" s="661" t="s">
        <v>100</v>
      </c>
      <c r="D289" s="661"/>
      <c r="E289" s="661"/>
      <c r="F289" s="661"/>
      <c r="G289" s="661"/>
      <c r="H289" s="661"/>
      <c r="I289" s="661"/>
      <c r="J289" s="48"/>
      <c r="K289" s="49">
        <f>SUM(K281:K288)</f>
        <v>3570.8055098684213</v>
      </c>
    </row>
    <row r="290" spans="2:11" x14ac:dyDescent="0.25">
      <c r="B290" s="45" t="s">
        <v>101</v>
      </c>
      <c r="C290" s="602" t="s">
        <v>102</v>
      </c>
      <c r="D290" s="602"/>
      <c r="E290" s="602"/>
      <c r="F290" s="602"/>
      <c r="G290" s="602"/>
      <c r="H290" s="602"/>
      <c r="I290" s="602"/>
      <c r="J290" s="45" t="s">
        <v>89</v>
      </c>
      <c r="K290" s="45" t="s">
        <v>97</v>
      </c>
    </row>
    <row r="291" spans="2:11" x14ac:dyDescent="0.25">
      <c r="B291" s="8" t="s">
        <v>103</v>
      </c>
      <c r="C291" s="622" t="s">
        <v>104</v>
      </c>
      <c r="D291" s="622"/>
      <c r="E291" s="622"/>
      <c r="F291" s="622"/>
      <c r="G291" s="622"/>
      <c r="H291" s="622"/>
      <c r="I291" s="622"/>
      <c r="J291" s="50">
        <f>'7 - ENCARGOS SOCIAIS'!$D$13</f>
        <v>0.36800000000000005</v>
      </c>
      <c r="K291" s="47">
        <f>K289*J291</f>
        <v>1314.0564276315793</v>
      </c>
    </row>
    <row r="292" spans="2:11" x14ac:dyDescent="0.25">
      <c r="B292" s="8" t="s">
        <v>105</v>
      </c>
      <c r="C292" s="622" t="s">
        <v>106</v>
      </c>
      <c r="D292" s="622"/>
      <c r="E292" s="622"/>
      <c r="F292" s="622"/>
      <c r="G292" s="622"/>
      <c r="H292" s="622"/>
      <c r="I292" s="622"/>
      <c r="J292" s="50">
        <f>'7 - ENCARGOS SOCIAIS'!$D$21</f>
        <v>0.15387245147090212</v>
      </c>
      <c r="K292" s="47">
        <f>K289*J292</f>
        <v>549.44859752925856</v>
      </c>
    </row>
    <row r="293" spans="2:11" ht="15" customHeight="1" x14ac:dyDescent="0.25">
      <c r="B293" s="8" t="s">
        <v>107</v>
      </c>
      <c r="C293" s="622" t="s">
        <v>108</v>
      </c>
      <c r="D293" s="622"/>
      <c r="E293" s="622"/>
      <c r="F293" s="622"/>
      <c r="G293" s="622"/>
      <c r="H293" s="622"/>
      <c r="I293" s="622"/>
      <c r="J293" s="50">
        <f>'7 - ENCARGOS SOCIAIS'!$D$28</f>
        <v>0.12666581537651095</v>
      </c>
      <c r="K293" s="47">
        <f>K289*J293</f>
        <v>452.29899145842148</v>
      </c>
    </row>
    <row r="294" spans="2:11" x14ac:dyDescent="0.25">
      <c r="B294" s="8" t="s">
        <v>109</v>
      </c>
      <c r="C294" s="622" t="s">
        <v>110</v>
      </c>
      <c r="D294" s="622"/>
      <c r="E294" s="622"/>
      <c r="F294" s="622"/>
      <c r="G294" s="622"/>
      <c r="H294" s="622"/>
      <c r="I294" s="622"/>
      <c r="J294" s="50">
        <f>'7 - ENCARGOS SOCIAIS'!$D$32</f>
        <v>5.9231502118822603E-2</v>
      </c>
      <c r="K294" s="47">
        <f>K289*J294</f>
        <v>211.50417412367483</v>
      </c>
    </row>
    <row r="295" spans="2:11" x14ac:dyDescent="0.25">
      <c r="B295" s="25"/>
      <c r="C295" s="614" t="s">
        <v>111</v>
      </c>
      <c r="D295" s="614"/>
      <c r="E295" s="614"/>
      <c r="F295" s="614"/>
      <c r="G295" s="614"/>
      <c r="H295" s="614"/>
      <c r="I295" s="614"/>
      <c r="J295" s="51">
        <f>SUM(J291:J294)</f>
        <v>0.70776976896623567</v>
      </c>
      <c r="K295" s="52">
        <f>SUM(K291:K294)</f>
        <v>2527.3081907429341</v>
      </c>
    </row>
    <row r="296" spans="2:11" ht="34.9" customHeight="1" x14ac:dyDescent="0.25">
      <c r="B296" s="45" t="s">
        <v>112</v>
      </c>
      <c r="C296" s="667" t="s">
        <v>113</v>
      </c>
      <c r="D296" s="667"/>
      <c r="E296" s="667"/>
      <c r="F296" s="667"/>
      <c r="G296" s="667"/>
      <c r="H296" s="53" t="s">
        <v>114</v>
      </c>
      <c r="I296" s="45" t="s">
        <v>115</v>
      </c>
      <c r="J296" s="45" t="s">
        <v>116</v>
      </c>
      <c r="K296" s="45" t="s">
        <v>97</v>
      </c>
    </row>
    <row r="297" spans="2:11" ht="15" customHeight="1" x14ac:dyDescent="0.25">
      <c r="B297" s="8" t="s">
        <v>117</v>
      </c>
      <c r="C297" s="670" t="s">
        <v>118</v>
      </c>
      <c r="D297" s="670"/>
      <c r="E297" s="670"/>
      <c r="F297" s="670"/>
      <c r="G297" s="670"/>
      <c r="H297" s="8">
        <v>15</v>
      </c>
      <c r="I297" s="54">
        <v>27.15</v>
      </c>
      <c r="J297" s="69">
        <v>0.19</v>
      </c>
      <c r="K297" s="31">
        <f>(H297*I297)-((H297*I297)*J297)</f>
        <v>329.8725</v>
      </c>
    </row>
    <row r="298" spans="2:11" x14ac:dyDescent="0.25">
      <c r="B298" s="8" t="s">
        <v>119</v>
      </c>
      <c r="C298" s="622" t="s">
        <v>151</v>
      </c>
      <c r="D298" s="622"/>
      <c r="E298" s="622"/>
      <c r="F298" s="622"/>
      <c r="G298" s="622"/>
      <c r="H298" s="8">
        <f>H297*4</f>
        <v>60</v>
      </c>
      <c r="I298" s="56">
        <v>6.25</v>
      </c>
      <c r="J298" s="69">
        <v>0.06</v>
      </c>
      <c r="K298" s="31">
        <f>(H298*I298)-(K281*J298)</f>
        <v>247.42500000000001</v>
      </c>
    </row>
    <row r="299" spans="2:11" x14ac:dyDescent="0.25">
      <c r="B299" s="8" t="s">
        <v>121</v>
      </c>
      <c r="C299" s="622" t="s">
        <v>122</v>
      </c>
      <c r="D299" s="622"/>
      <c r="E299" s="622"/>
      <c r="F299" s="622"/>
      <c r="G299" s="622"/>
      <c r="H299" s="4">
        <v>1</v>
      </c>
      <c r="I299" s="54">
        <v>25.52</v>
      </c>
      <c r="J299" s="5"/>
      <c r="K299" s="70">
        <f>I299</f>
        <v>25.52</v>
      </c>
    </row>
    <row r="300" spans="2:11" x14ac:dyDescent="0.25">
      <c r="B300" s="8" t="s">
        <v>152</v>
      </c>
      <c r="C300" s="671" t="s">
        <v>153</v>
      </c>
      <c r="D300" s="671"/>
      <c r="E300" s="671"/>
      <c r="F300" s="671"/>
      <c r="G300" s="671"/>
      <c r="H300" s="4">
        <v>1</v>
      </c>
      <c r="I300" s="54">
        <v>80</v>
      </c>
      <c r="J300" s="5"/>
      <c r="K300" s="32">
        <f>I300</f>
        <v>80</v>
      </c>
    </row>
    <row r="301" spans="2:11" x14ac:dyDescent="0.25">
      <c r="B301" s="5"/>
      <c r="C301" s="661" t="s">
        <v>123</v>
      </c>
      <c r="D301" s="661"/>
      <c r="E301" s="661"/>
      <c r="F301" s="661"/>
      <c r="G301" s="661"/>
      <c r="H301" s="661"/>
      <c r="I301" s="661"/>
      <c r="J301" s="48"/>
      <c r="K301" s="57">
        <f>SUM(K297:K300)</f>
        <v>682.8175</v>
      </c>
    </row>
    <row r="302" spans="2:11" x14ac:dyDescent="0.25">
      <c r="B302" s="747" t="s">
        <v>169</v>
      </c>
      <c r="C302" s="747"/>
      <c r="D302" s="747"/>
      <c r="E302" s="747"/>
      <c r="F302" s="747"/>
      <c r="G302" s="747"/>
      <c r="H302" s="747"/>
      <c r="I302" s="747"/>
      <c r="J302" s="747"/>
      <c r="K302" s="58">
        <f>K301+K295+K289</f>
        <v>6780.931200611356</v>
      </c>
    </row>
    <row r="303" spans="2:11" x14ac:dyDescent="0.25">
      <c r="B303" s="666" t="s">
        <v>125</v>
      </c>
      <c r="C303" s="666"/>
      <c r="D303" s="666"/>
      <c r="E303" s="666"/>
      <c r="F303" s="666"/>
      <c r="G303" s="666"/>
      <c r="H303" s="666"/>
      <c r="I303" s="59">
        <v>2</v>
      </c>
      <c r="J303" s="59" t="s">
        <v>126</v>
      </c>
      <c r="K303" s="60">
        <f>K302*I303</f>
        <v>13561.862401222712</v>
      </c>
    </row>
    <row r="304" spans="2:11" x14ac:dyDescent="0.25"/>
    <row r="305" spans="2:12" ht="15" customHeight="1" x14ac:dyDescent="0.25">
      <c r="B305" s="597" t="s">
        <v>171</v>
      </c>
      <c r="C305" s="597"/>
      <c r="D305" s="597"/>
      <c r="E305" s="597"/>
      <c r="F305" s="597"/>
      <c r="G305" s="597"/>
      <c r="H305" s="597"/>
      <c r="I305" s="597"/>
      <c r="J305" s="597"/>
      <c r="K305" s="111">
        <f>SUM(K303,K277,K255,K233,K186,K140,K119,K100,K75,K54+K165+K211)</f>
        <v>102202.31778285673</v>
      </c>
      <c r="L305" s="541"/>
    </row>
    <row r="306" spans="2:12" x14ac:dyDescent="0.25"/>
    <row r="308" spans="2:12" x14ac:dyDescent="0.25">
      <c r="B308" s="601" t="s">
        <v>172</v>
      </c>
      <c r="C308" s="601"/>
      <c r="D308" s="601"/>
      <c r="E308" s="601"/>
      <c r="F308" s="601"/>
      <c r="G308" s="601"/>
      <c r="H308" s="601"/>
      <c r="I308" s="601"/>
      <c r="J308" s="601"/>
      <c r="K308" s="601"/>
    </row>
    <row r="309" spans="2:12" ht="30" customHeight="1" x14ac:dyDescent="0.25"/>
    <row r="310" spans="2:12" x14ac:dyDescent="0.25">
      <c r="B310" s="663" t="s">
        <v>173</v>
      </c>
      <c r="C310" s="663"/>
      <c r="D310" s="663"/>
      <c r="E310" s="663"/>
      <c r="F310" s="663"/>
      <c r="G310" s="663"/>
      <c r="H310" s="663"/>
      <c r="I310" s="663"/>
      <c r="J310" s="663"/>
      <c r="K310" s="663"/>
    </row>
    <row r="311" spans="2:12" ht="30" x14ac:dyDescent="0.25">
      <c r="B311" s="614" t="s">
        <v>174</v>
      </c>
      <c r="C311" s="614"/>
      <c r="D311" s="614"/>
      <c r="E311" s="614"/>
      <c r="F311" s="614"/>
      <c r="G311" s="26" t="s">
        <v>1678</v>
      </c>
      <c r="H311" s="26" t="s">
        <v>176</v>
      </c>
      <c r="I311" s="664" t="s">
        <v>177</v>
      </c>
      <c r="J311" s="664"/>
      <c r="K311" s="25" t="s">
        <v>178</v>
      </c>
    </row>
    <row r="312" spans="2:12" x14ac:dyDescent="0.25">
      <c r="B312" s="594" t="s">
        <v>179</v>
      </c>
      <c r="C312" s="594"/>
      <c r="D312" s="594"/>
      <c r="E312" s="594"/>
      <c r="F312" s="594"/>
      <c r="G312" s="4">
        <v>2</v>
      </c>
      <c r="H312" s="31">
        <f>'10 - CUSTOS UN'!J36</f>
        <v>21.349999999999998</v>
      </c>
      <c r="I312" s="679">
        <f>H312/6</f>
        <v>3.5583333333333331</v>
      </c>
      <c r="J312" s="679"/>
      <c r="K312" s="31">
        <f>I312*G312</f>
        <v>7.1166666666666663</v>
      </c>
    </row>
    <row r="313" spans="2:12" x14ac:dyDescent="0.25">
      <c r="B313" s="648" t="s">
        <v>180</v>
      </c>
      <c r="C313" s="648"/>
      <c r="D313" s="648"/>
      <c r="E313" s="648"/>
      <c r="F313" s="648"/>
      <c r="G313" s="113">
        <v>1</v>
      </c>
      <c r="H313" s="114">
        <f>'10 - CUSTOS UN'!J63</f>
        <v>111.56333333333333</v>
      </c>
      <c r="I313" s="659">
        <f>H313/6</f>
        <v>18.593888888888888</v>
      </c>
      <c r="J313" s="659"/>
      <c r="K313" s="114">
        <f>I313*G313</f>
        <v>18.593888888888888</v>
      </c>
    </row>
    <row r="314" spans="2:12" x14ac:dyDescent="0.25">
      <c r="B314" s="636" t="s">
        <v>181</v>
      </c>
      <c r="C314" s="636"/>
      <c r="D314" s="636"/>
      <c r="E314" s="636"/>
      <c r="F314" s="636"/>
      <c r="G314" s="115"/>
      <c r="H314" s="115"/>
      <c r="I314" s="662"/>
      <c r="J314" s="662"/>
      <c r="K314" s="116">
        <f>SUM(K312:K313)</f>
        <v>25.710555555555555</v>
      </c>
    </row>
    <row r="315" spans="2:12" x14ac:dyDescent="0.25">
      <c r="B315" s="661" t="s">
        <v>182</v>
      </c>
      <c r="C315" s="661"/>
      <c r="D315" s="661"/>
      <c r="E315" s="661"/>
      <c r="F315" s="661"/>
      <c r="G315" s="4">
        <f>H7+H10</f>
        <v>2</v>
      </c>
      <c r="H315" s="4" t="s">
        <v>126</v>
      </c>
      <c r="I315" s="617">
        <f>K314</f>
        <v>25.710555555555555</v>
      </c>
      <c r="J315" s="617"/>
      <c r="K315" s="57">
        <f>I315*G315</f>
        <v>51.421111111111109</v>
      </c>
    </row>
    <row r="316" spans="2:12" x14ac:dyDescent="0.25"/>
    <row r="317" spans="2:12" x14ac:dyDescent="0.25">
      <c r="B317" s="663" t="s">
        <v>183</v>
      </c>
      <c r="C317" s="663"/>
      <c r="D317" s="663"/>
      <c r="E317" s="663"/>
      <c r="F317" s="663"/>
      <c r="G317" s="663"/>
      <c r="H317" s="663"/>
      <c r="I317" s="663"/>
      <c r="J317" s="663"/>
      <c r="K317" s="663"/>
    </row>
    <row r="318" spans="2:12" ht="30" x14ac:dyDescent="0.25">
      <c r="B318" s="614" t="s">
        <v>174</v>
      </c>
      <c r="C318" s="614"/>
      <c r="D318" s="614"/>
      <c r="E318" s="614"/>
      <c r="F318" s="614"/>
      <c r="G318" s="26" t="s">
        <v>1678</v>
      </c>
      <c r="H318" s="26" t="s">
        <v>176</v>
      </c>
      <c r="I318" s="664" t="s">
        <v>177</v>
      </c>
      <c r="J318" s="664"/>
      <c r="K318" s="25" t="s">
        <v>178</v>
      </c>
    </row>
    <row r="319" spans="2:12" x14ac:dyDescent="0.25">
      <c r="B319" s="594" t="s">
        <v>179</v>
      </c>
      <c r="C319" s="594"/>
      <c r="D319" s="594"/>
      <c r="E319" s="594"/>
      <c r="F319" s="594"/>
      <c r="G319" s="4">
        <v>2</v>
      </c>
      <c r="H319" s="30">
        <f>'10 - CUSTOS UN'!$J$36</f>
        <v>21.349999999999998</v>
      </c>
      <c r="I319" s="617">
        <f t="shared" ref="I319:I325" si="1">H319/6</f>
        <v>3.5583333333333331</v>
      </c>
      <c r="J319" s="617"/>
      <c r="K319" s="30">
        <f t="shared" ref="K319:K325" si="2">I319*G319</f>
        <v>7.1166666666666663</v>
      </c>
    </row>
    <row r="320" spans="2:12" x14ac:dyDescent="0.25">
      <c r="B320" s="594" t="s">
        <v>184</v>
      </c>
      <c r="C320" s="594"/>
      <c r="D320" s="594"/>
      <c r="E320" s="594"/>
      <c r="F320" s="594"/>
      <c r="G320" s="4">
        <v>1</v>
      </c>
      <c r="H320" s="30">
        <f>'10 - CUSTOS UN'!$J$27</f>
        <v>67.736666666666665</v>
      </c>
      <c r="I320" s="617">
        <f t="shared" si="1"/>
        <v>11.289444444444444</v>
      </c>
      <c r="J320" s="617"/>
      <c r="K320" s="30">
        <f t="shared" si="2"/>
        <v>11.289444444444444</v>
      </c>
    </row>
    <row r="321" spans="2:22" x14ac:dyDescent="0.25">
      <c r="B321" s="594" t="s">
        <v>185</v>
      </c>
      <c r="C321" s="594"/>
      <c r="D321" s="594"/>
      <c r="E321" s="594"/>
      <c r="F321" s="594"/>
      <c r="G321" s="4">
        <v>1</v>
      </c>
      <c r="H321" s="30">
        <f>'10 - CUSTOS UN'!$J$66</f>
        <v>156.05666666666664</v>
      </c>
      <c r="I321" s="617">
        <f t="shared" si="1"/>
        <v>26.009444444444441</v>
      </c>
      <c r="J321" s="617"/>
      <c r="K321" s="30">
        <f t="shared" si="2"/>
        <v>26.009444444444441</v>
      </c>
    </row>
    <row r="322" spans="2:22" x14ac:dyDescent="0.25">
      <c r="B322" s="594" t="s">
        <v>186</v>
      </c>
      <c r="C322" s="594"/>
      <c r="D322" s="594"/>
      <c r="E322" s="594"/>
      <c r="F322" s="594"/>
      <c r="G322" s="4">
        <v>1</v>
      </c>
      <c r="H322" s="30">
        <f>'10 - CUSTOS UN'!$J$30</f>
        <v>84.38</v>
      </c>
      <c r="I322" s="617">
        <f t="shared" si="1"/>
        <v>14.063333333333333</v>
      </c>
      <c r="J322" s="617"/>
      <c r="K322" s="30">
        <f t="shared" si="2"/>
        <v>14.063333333333333</v>
      </c>
    </row>
    <row r="323" spans="2:22" x14ac:dyDescent="0.25">
      <c r="B323" s="594" t="s">
        <v>187</v>
      </c>
      <c r="C323" s="594"/>
      <c r="D323" s="594"/>
      <c r="E323" s="594"/>
      <c r="F323" s="594"/>
      <c r="G323" s="4">
        <v>2</v>
      </c>
      <c r="H323" s="30">
        <f>'10 - CUSTOS UN'!$J$72</f>
        <v>8.2700000000000014</v>
      </c>
      <c r="I323" s="617">
        <f t="shared" si="1"/>
        <v>1.3783333333333336</v>
      </c>
      <c r="J323" s="617"/>
      <c r="K323" s="30">
        <f t="shared" si="2"/>
        <v>2.7566666666666673</v>
      </c>
    </row>
    <row r="324" spans="2:22" x14ac:dyDescent="0.25">
      <c r="B324" s="594" t="s">
        <v>188</v>
      </c>
      <c r="C324" s="594"/>
      <c r="D324" s="594"/>
      <c r="E324" s="594"/>
      <c r="F324" s="594"/>
      <c r="G324" s="4">
        <v>1</v>
      </c>
      <c r="H324" s="30">
        <f>'10 - CUSTOS UN'!$J$51</f>
        <v>212.1933333333333</v>
      </c>
      <c r="I324" s="617">
        <f t="shared" si="1"/>
        <v>35.365555555555552</v>
      </c>
      <c r="J324" s="617"/>
      <c r="K324" s="30">
        <f t="shared" si="2"/>
        <v>35.365555555555552</v>
      </c>
    </row>
    <row r="325" spans="2:22" x14ac:dyDescent="0.25">
      <c r="B325" s="648" t="s">
        <v>189</v>
      </c>
      <c r="C325" s="648"/>
      <c r="D325" s="648"/>
      <c r="E325" s="648"/>
      <c r="F325" s="648"/>
      <c r="G325" s="113">
        <v>1</v>
      </c>
      <c r="H325" s="117">
        <f>'10 - CUSTOS UN'!$J$48</f>
        <v>18.52</v>
      </c>
      <c r="I325" s="738">
        <f t="shared" si="1"/>
        <v>3.0866666666666664</v>
      </c>
      <c r="J325" s="738"/>
      <c r="K325" s="117">
        <f t="shared" si="2"/>
        <v>3.0866666666666664</v>
      </c>
    </row>
    <row r="326" spans="2:22" x14ac:dyDescent="0.25">
      <c r="B326" s="660" t="s">
        <v>181</v>
      </c>
      <c r="C326" s="660"/>
      <c r="D326" s="660"/>
      <c r="E326" s="660"/>
      <c r="F326" s="660"/>
      <c r="G326" s="115"/>
      <c r="H326" s="115"/>
      <c r="I326" s="746"/>
      <c r="J326" s="746"/>
      <c r="K326" s="116">
        <f>SUM(K319:K325)</f>
        <v>99.687777777777768</v>
      </c>
    </row>
    <row r="327" spans="2:22" x14ac:dyDescent="0.25">
      <c r="B327" s="661" t="s">
        <v>182</v>
      </c>
      <c r="C327" s="661"/>
      <c r="D327" s="661"/>
      <c r="E327" s="661"/>
      <c r="F327" s="661"/>
      <c r="G327" s="4">
        <v>2</v>
      </c>
      <c r="H327" s="4" t="s">
        <v>126</v>
      </c>
      <c r="I327" s="617">
        <f>K326</f>
        <v>99.687777777777768</v>
      </c>
      <c r="J327" s="617"/>
      <c r="K327" s="57">
        <f>I327*G327</f>
        <v>199.37555555555554</v>
      </c>
    </row>
    <row r="328" spans="2:22" x14ac:dyDescent="0.25"/>
    <row r="329" spans="2:22" x14ac:dyDescent="0.25">
      <c r="B329" s="663" t="s">
        <v>190</v>
      </c>
      <c r="C329" s="663"/>
      <c r="D329" s="663"/>
      <c r="E329" s="663"/>
      <c r="F329" s="663"/>
      <c r="G329" s="663"/>
      <c r="H329" s="663"/>
      <c r="I329" s="663"/>
      <c r="J329" s="663"/>
      <c r="K329" s="663"/>
    </row>
    <row r="330" spans="2:22" ht="30" x14ac:dyDescent="0.25">
      <c r="B330" s="614" t="s">
        <v>174</v>
      </c>
      <c r="C330" s="614"/>
      <c r="D330" s="614"/>
      <c r="E330" s="614"/>
      <c r="F330" s="614"/>
      <c r="G330" s="26" t="s">
        <v>1678</v>
      </c>
      <c r="H330" s="26" t="s">
        <v>176</v>
      </c>
      <c r="I330" s="664" t="s">
        <v>177</v>
      </c>
      <c r="J330" s="664"/>
      <c r="K330" s="25" t="s">
        <v>178</v>
      </c>
    </row>
    <row r="331" spans="2:22" ht="15" customHeight="1" x14ac:dyDescent="0.25">
      <c r="B331" s="615" t="s">
        <v>179</v>
      </c>
      <c r="C331" s="615"/>
      <c r="D331" s="615"/>
      <c r="E331" s="615"/>
      <c r="F331" s="615"/>
      <c r="G331" s="103">
        <v>4</v>
      </c>
      <c r="H331" s="30">
        <f>'10 - CUSTOS UN'!$J$36</f>
        <v>21.349999999999998</v>
      </c>
      <c r="I331" s="617">
        <f t="shared" ref="I331:I339" si="3">H331/6</f>
        <v>3.5583333333333331</v>
      </c>
      <c r="J331" s="617"/>
      <c r="K331" s="30">
        <f t="shared" ref="K331:K339" si="4">I331*G331</f>
        <v>14.233333333333333</v>
      </c>
    </row>
    <row r="332" spans="2:22" ht="15" customHeight="1" x14ac:dyDescent="0.25">
      <c r="B332" s="615" t="s">
        <v>180</v>
      </c>
      <c r="C332" s="615"/>
      <c r="D332" s="615"/>
      <c r="E332" s="615"/>
      <c r="F332" s="615"/>
      <c r="G332" s="103">
        <v>1</v>
      </c>
      <c r="H332" s="118">
        <f>'10 - CUSTOS UN'!$J$63</f>
        <v>111.56333333333333</v>
      </c>
      <c r="I332" s="743">
        <f t="shared" si="3"/>
        <v>18.593888888888888</v>
      </c>
      <c r="J332" s="743"/>
      <c r="K332" s="30">
        <f t="shared" si="4"/>
        <v>18.593888888888888</v>
      </c>
    </row>
    <row r="333" spans="2:22" ht="15" customHeight="1" x14ac:dyDescent="0.25">
      <c r="B333" s="615" t="s">
        <v>191</v>
      </c>
      <c r="C333" s="615"/>
      <c r="D333" s="615"/>
      <c r="E333" s="615"/>
      <c r="F333" s="615"/>
      <c r="G333" s="103">
        <v>1</v>
      </c>
      <c r="H333" s="118">
        <f>'10 - CUSTOS UN'!J78</f>
        <v>146.51999999999998</v>
      </c>
      <c r="I333" s="743">
        <f t="shared" si="3"/>
        <v>24.419999999999998</v>
      </c>
      <c r="J333" s="743"/>
      <c r="K333" s="30">
        <f t="shared" si="4"/>
        <v>24.419999999999998</v>
      </c>
    </row>
    <row r="334" spans="2:22" x14ac:dyDescent="0.25">
      <c r="B334" s="594" t="s">
        <v>192</v>
      </c>
      <c r="C334" s="594"/>
      <c r="D334" s="594"/>
      <c r="E334" s="594"/>
      <c r="F334" s="594"/>
      <c r="G334" s="4">
        <v>1</v>
      </c>
      <c r="H334" s="30">
        <f>'10 - CUSTOS UN'!J81</f>
        <v>134.89000000000001</v>
      </c>
      <c r="I334" s="743">
        <f t="shared" si="3"/>
        <v>22.481666666666669</v>
      </c>
      <c r="J334" s="743"/>
      <c r="K334" s="30">
        <f t="shared" si="4"/>
        <v>22.481666666666669</v>
      </c>
    </row>
    <row r="335" spans="2:22" ht="15" customHeight="1" x14ac:dyDescent="0.25">
      <c r="B335" s="594" t="s">
        <v>193</v>
      </c>
      <c r="C335" s="594"/>
      <c r="D335" s="594"/>
      <c r="E335" s="594"/>
      <c r="F335" s="594"/>
      <c r="G335" s="4">
        <v>2</v>
      </c>
      <c r="H335" s="30">
        <f>'10 - CUSTOS UN'!J54</f>
        <v>10.023333333333333</v>
      </c>
      <c r="I335" s="743">
        <f t="shared" si="3"/>
        <v>1.6705555555555556</v>
      </c>
      <c r="J335" s="743"/>
      <c r="K335" s="30">
        <f t="shared" si="4"/>
        <v>3.3411111111111111</v>
      </c>
    </row>
    <row r="336" spans="2:22" x14ac:dyDescent="0.25">
      <c r="B336" s="594" t="s">
        <v>194</v>
      </c>
      <c r="C336" s="594"/>
      <c r="D336" s="594"/>
      <c r="E336" s="594"/>
      <c r="F336" s="594"/>
      <c r="G336" s="4">
        <v>1</v>
      </c>
      <c r="H336" s="30">
        <f>'10 - CUSTOS UN'!$J$90</f>
        <v>3.0066666666666664</v>
      </c>
      <c r="I336" s="743">
        <f t="shared" si="3"/>
        <v>0.50111111111111106</v>
      </c>
      <c r="J336" s="743"/>
      <c r="K336" s="30">
        <f t="shared" si="4"/>
        <v>0.50111111111111106</v>
      </c>
      <c r="M336" s="548"/>
      <c r="N336" s="119"/>
      <c r="O336" s="119"/>
      <c r="P336" s="119"/>
      <c r="Q336" s="119"/>
      <c r="R336" s="119"/>
      <c r="S336" s="119"/>
      <c r="T336" s="119"/>
      <c r="U336" s="119"/>
      <c r="V336" s="119"/>
    </row>
    <row r="337" spans="2:22" x14ac:dyDescent="0.25">
      <c r="B337" s="594" t="s">
        <v>195</v>
      </c>
      <c r="C337" s="594"/>
      <c r="D337" s="594"/>
      <c r="E337" s="594"/>
      <c r="F337" s="594"/>
      <c r="G337" s="4">
        <v>2</v>
      </c>
      <c r="H337" s="30">
        <f>'10 - CUSTOS UN'!J75</f>
        <v>2.8833333333333333</v>
      </c>
      <c r="I337" s="743">
        <f t="shared" si="3"/>
        <v>0.48055555555555557</v>
      </c>
      <c r="J337" s="743"/>
      <c r="K337" s="30">
        <f t="shared" si="4"/>
        <v>0.96111111111111114</v>
      </c>
      <c r="M337" s="550"/>
      <c r="N337" s="119"/>
      <c r="O337" s="119"/>
      <c r="P337" s="119"/>
      <c r="Q337" s="119"/>
      <c r="R337" s="119"/>
      <c r="S337" s="36"/>
      <c r="T337" s="119"/>
      <c r="U337" s="119"/>
      <c r="V337" s="36"/>
    </row>
    <row r="338" spans="2:22" x14ac:dyDescent="0.25">
      <c r="B338" s="594" t="s">
        <v>186</v>
      </c>
      <c r="C338" s="594"/>
      <c r="D338" s="594"/>
      <c r="E338" s="594"/>
      <c r="F338" s="594"/>
      <c r="G338" s="4">
        <v>1</v>
      </c>
      <c r="H338" s="30">
        <f>'10 - CUSTOS UN'!$J$30</f>
        <v>84.38</v>
      </c>
      <c r="I338" s="743">
        <f t="shared" si="3"/>
        <v>14.063333333333333</v>
      </c>
      <c r="J338" s="743"/>
      <c r="K338" s="30">
        <f t="shared" si="4"/>
        <v>14.063333333333333</v>
      </c>
      <c r="M338" s="549"/>
      <c r="S338" s="1"/>
      <c r="T338" s="121"/>
      <c r="U338" s="121"/>
      <c r="V338" s="122"/>
    </row>
    <row r="339" spans="2:22" x14ac:dyDescent="0.25">
      <c r="B339" s="648" t="s">
        <v>196</v>
      </c>
      <c r="C339" s="648"/>
      <c r="D339" s="648"/>
      <c r="E339" s="648"/>
      <c r="F339" s="648"/>
      <c r="G339" s="113">
        <v>1</v>
      </c>
      <c r="H339" s="117">
        <f>'10 - CUSTOS UN'!$J$42</f>
        <v>16.393333333333334</v>
      </c>
      <c r="I339" s="744">
        <f t="shared" si="3"/>
        <v>2.7322222222222226</v>
      </c>
      <c r="J339" s="744"/>
      <c r="K339" s="117">
        <f t="shared" si="4"/>
        <v>2.7322222222222226</v>
      </c>
      <c r="N339" s="120"/>
      <c r="O339" s="120"/>
      <c r="P339" s="120"/>
      <c r="Q339" s="120"/>
      <c r="R339" s="120"/>
      <c r="S339" s="120"/>
      <c r="T339" s="120"/>
      <c r="U339" s="120"/>
      <c r="V339" s="124"/>
    </row>
    <row r="340" spans="2:22" x14ac:dyDescent="0.25">
      <c r="B340" s="660" t="s">
        <v>181</v>
      </c>
      <c r="C340" s="660"/>
      <c r="D340" s="660"/>
      <c r="E340" s="660"/>
      <c r="F340" s="660"/>
      <c r="G340" s="115"/>
      <c r="H340" s="115"/>
      <c r="I340" s="745"/>
      <c r="J340" s="745"/>
      <c r="K340" s="126">
        <f>SUM(K331:K339)</f>
        <v>101.32777777777777</v>
      </c>
      <c r="S340" s="1"/>
      <c r="T340" s="121"/>
      <c r="U340" s="121"/>
      <c r="V340" s="122"/>
    </row>
    <row r="341" spans="2:22" x14ac:dyDescent="0.25">
      <c r="B341" s="661" t="s">
        <v>182</v>
      </c>
      <c r="C341" s="661"/>
      <c r="D341" s="661"/>
      <c r="E341" s="661"/>
      <c r="F341" s="661"/>
      <c r="G341" s="4">
        <v>4</v>
      </c>
      <c r="H341" s="4" t="s">
        <v>126</v>
      </c>
      <c r="I341" s="617">
        <f>K340</f>
        <v>101.32777777777777</v>
      </c>
      <c r="J341" s="617"/>
      <c r="K341" s="127">
        <f>K340*G341</f>
        <v>405.31111111111107</v>
      </c>
      <c r="M341" s="548"/>
      <c r="N341" s="119"/>
      <c r="O341" s="119"/>
      <c r="P341" s="119"/>
      <c r="Q341" s="119"/>
      <c r="R341" s="119"/>
      <c r="S341" s="119"/>
      <c r="T341" s="119"/>
      <c r="U341" s="119"/>
      <c r="V341" s="119"/>
    </row>
    <row r="342" spans="2:22" x14ac:dyDescent="0.25">
      <c r="M342" s="550"/>
      <c r="N342" s="119"/>
      <c r="O342" s="119"/>
      <c r="P342" s="119"/>
      <c r="Q342" s="119"/>
      <c r="R342" s="119"/>
      <c r="S342" s="119"/>
      <c r="T342" s="119"/>
      <c r="U342" s="119"/>
      <c r="V342" s="36"/>
    </row>
    <row r="343" spans="2:22" x14ac:dyDescent="0.25">
      <c r="B343" s="663" t="s">
        <v>197</v>
      </c>
      <c r="C343" s="663"/>
      <c r="D343" s="663"/>
      <c r="E343" s="663"/>
      <c r="F343" s="663"/>
      <c r="G343" s="663"/>
      <c r="H343" s="663"/>
      <c r="I343" s="663"/>
      <c r="J343" s="663"/>
      <c r="K343" s="663"/>
      <c r="M343" s="563"/>
      <c r="N343" s="119"/>
      <c r="O343" s="119"/>
      <c r="P343" s="119"/>
      <c r="Q343" s="119"/>
      <c r="R343" s="36"/>
      <c r="S343" s="36"/>
      <c r="T343" s="128"/>
      <c r="U343" s="128"/>
      <c r="V343" s="129"/>
    </row>
    <row r="344" spans="2:22" ht="30" x14ac:dyDescent="0.25">
      <c r="B344" s="614" t="s">
        <v>174</v>
      </c>
      <c r="C344" s="614"/>
      <c r="D344" s="614"/>
      <c r="E344" s="614"/>
      <c r="F344" s="614"/>
      <c r="G344" s="26" t="s">
        <v>1678</v>
      </c>
      <c r="H344" s="26" t="s">
        <v>176</v>
      </c>
      <c r="I344" s="664" t="s">
        <v>177</v>
      </c>
      <c r="J344" s="664"/>
      <c r="K344" s="25" t="s">
        <v>178</v>
      </c>
      <c r="M344" s="564"/>
      <c r="N344" s="131"/>
      <c r="O344" s="131"/>
      <c r="P344" s="131"/>
      <c r="Q344" s="131"/>
      <c r="R344" s="131"/>
      <c r="S344" s="131"/>
      <c r="T344" s="131"/>
      <c r="U344" s="131"/>
      <c r="V344" s="131"/>
    </row>
    <row r="345" spans="2:22" x14ac:dyDescent="0.25">
      <c r="B345" s="594" t="s">
        <v>179</v>
      </c>
      <c r="C345" s="594"/>
      <c r="D345" s="594"/>
      <c r="E345" s="594"/>
      <c r="F345" s="594"/>
      <c r="G345" s="4">
        <v>2</v>
      </c>
      <c r="H345" s="30">
        <f>'10 - CUSTOS UN'!$J$36</f>
        <v>21.349999999999998</v>
      </c>
      <c r="I345" s="679">
        <f t="shared" ref="I345:I352" si="5">H345/6</f>
        <v>3.5583333333333331</v>
      </c>
      <c r="J345" s="679"/>
      <c r="K345" s="31">
        <f t="shared" ref="K345:K352" si="6">I345*G345</f>
        <v>7.1166666666666663</v>
      </c>
      <c r="M345" s="565"/>
      <c r="N345" s="131"/>
      <c r="O345" s="131"/>
      <c r="P345" s="131"/>
      <c r="Q345" s="131"/>
      <c r="R345" s="18"/>
      <c r="S345" s="18"/>
      <c r="T345" s="131"/>
      <c r="U345" s="131"/>
      <c r="V345" s="18"/>
    </row>
    <row r="346" spans="2:22" x14ac:dyDescent="0.25">
      <c r="B346" s="594" t="s">
        <v>180</v>
      </c>
      <c r="C346" s="594"/>
      <c r="D346" s="594"/>
      <c r="E346" s="594"/>
      <c r="F346" s="594"/>
      <c r="G346" s="4">
        <v>1</v>
      </c>
      <c r="H346" s="118">
        <f>'10 - CUSTOS UN'!$J$63</f>
        <v>111.56333333333333</v>
      </c>
      <c r="I346" s="679">
        <f t="shared" si="5"/>
        <v>18.593888888888888</v>
      </c>
      <c r="J346" s="679"/>
      <c r="K346" s="31">
        <f t="shared" si="6"/>
        <v>18.593888888888888</v>
      </c>
      <c r="M346" s="565"/>
      <c r="N346" s="131"/>
      <c r="O346" s="131"/>
      <c r="P346" s="131"/>
      <c r="Q346" s="131"/>
      <c r="R346" s="18"/>
      <c r="S346" s="18"/>
      <c r="T346" s="130"/>
      <c r="U346" s="130"/>
      <c r="V346" s="129"/>
    </row>
    <row r="347" spans="2:22" x14ac:dyDescent="0.25">
      <c r="B347" s="594" t="s">
        <v>184</v>
      </c>
      <c r="C347" s="594"/>
      <c r="D347" s="594"/>
      <c r="E347" s="594"/>
      <c r="F347" s="594"/>
      <c r="G347" s="4">
        <v>2</v>
      </c>
      <c r="H347" s="30">
        <f>'10 - CUSTOS UN'!$J$27</f>
        <v>67.736666666666665</v>
      </c>
      <c r="I347" s="679">
        <f t="shared" si="5"/>
        <v>11.289444444444444</v>
      </c>
      <c r="J347" s="679"/>
      <c r="K347" s="31">
        <f t="shared" si="6"/>
        <v>22.578888888888887</v>
      </c>
      <c r="M347" s="565"/>
      <c r="N347" s="119"/>
      <c r="O347" s="119"/>
      <c r="P347" s="119"/>
      <c r="Q347" s="119"/>
      <c r="R347" s="119"/>
      <c r="S347" s="119"/>
      <c r="T347" s="119"/>
      <c r="U347" s="119"/>
      <c r="V347" s="129"/>
    </row>
    <row r="348" spans="2:22" x14ac:dyDescent="0.25">
      <c r="B348" s="594" t="s">
        <v>186</v>
      </c>
      <c r="C348" s="594"/>
      <c r="D348" s="594"/>
      <c r="E348" s="594"/>
      <c r="F348" s="594"/>
      <c r="G348" s="4">
        <v>1</v>
      </c>
      <c r="H348" s="30">
        <f>'10 - CUSTOS UN'!$J$30</f>
        <v>84.38</v>
      </c>
      <c r="I348" s="679">
        <f t="shared" si="5"/>
        <v>14.063333333333333</v>
      </c>
      <c r="J348" s="679"/>
      <c r="K348" s="31">
        <f t="shared" si="6"/>
        <v>14.063333333333333</v>
      </c>
      <c r="M348" s="565"/>
      <c r="N348" s="131"/>
      <c r="O348" s="131"/>
      <c r="P348" s="131"/>
      <c r="Q348" s="131"/>
      <c r="R348" s="18"/>
      <c r="S348" s="18"/>
      <c r="T348" s="132"/>
      <c r="U348" s="18"/>
      <c r="V348" s="132"/>
    </row>
    <row r="349" spans="2:22" x14ac:dyDescent="0.25">
      <c r="B349" s="594" t="s">
        <v>198</v>
      </c>
      <c r="C349" s="594"/>
      <c r="D349" s="594"/>
      <c r="E349" s="594"/>
      <c r="F349" s="594"/>
      <c r="G349" s="4">
        <v>12</v>
      </c>
      <c r="H349" s="133">
        <f>'10 - CUSTOS UN'!J69</f>
        <v>5.1333333333333337</v>
      </c>
      <c r="I349" s="679">
        <f t="shared" si="5"/>
        <v>0.85555555555555562</v>
      </c>
      <c r="J349" s="679"/>
      <c r="K349" s="31">
        <f t="shared" si="6"/>
        <v>10.266666666666667</v>
      </c>
      <c r="M349" s="565"/>
      <c r="N349" s="131"/>
      <c r="O349" s="131"/>
      <c r="P349" s="131"/>
      <c r="Q349" s="131"/>
      <c r="R349" s="18"/>
      <c r="S349" s="18"/>
      <c r="T349" s="132"/>
      <c r="U349" s="18"/>
      <c r="V349" s="132"/>
    </row>
    <row r="350" spans="2:22" x14ac:dyDescent="0.25">
      <c r="B350" s="594" t="s">
        <v>194</v>
      </c>
      <c r="C350" s="594"/>
      <c r="D350" s="594"/>
      <c r="E350" s="594"/>
      <c r="F350" s="594"/>
      <c r="G350" s="4">
        <v>1</v>
      </c>
      <c r="H350" s="30">
        <f>'10 - CUSTOS UN'!$J$90</f>
        <v>3.0066666666666664</v>
      </c>
      <c r="I350" s="679">
        <f t="shared" si="5"/>
        <v>0.50111111111111106</v>
      </c>
      <c r="J350" s="679"/>
      <c r="K350" s="31">
        <f t="shared" si="6"/>
        <v>0.50111111111111106</v>
      </c>
      <c r="M350" s="565"/>
      <c r="N350" s="131"/>
      <c r="O350" s="131"/>
      <c r="P350" s="131"/>
      <c r="Q350" s="131"/>
      <c r="R350" s="18"/>
      <c r="S350" s="18"/>
      <c r="T350" s="132"/>
      <c r="U350" s="18"/>
      <c r="V350" s="132"/>
    </row>
    <row r="351" spans="2:22" x14ac:dyDescent="0.25">
      <c r="B351" s="594" t="s">
        <v>199</v>
      </c>
      <c r="C351" s="594"/>
      <c r="D351" s="594"/>
      <c r="E351" s="594"/>
      <c r="F351" s="594"/>
      <c r="G351" s="4">
        <v>1</v>
      </c>
      <c r="H351" s="133">
        <f>'10 - CUSTOS UN'!J9</f>
        <v>8.4966666666666661</v>
      </c>
      <c r="I351" s="679">
        <f t="shared" si="5"/>
        <v>1.4161111111111111</v>
      </c>
      <c r="J351" s="679"/>
      <c r="K351" s="31">
        <f t="shared" si="6"/>
        <v>1.4161111111111111</v>
      </c>
      <c r="M351" s="548"/>
      <c r="N351" s="119"/>
      <c r="O351" s="119"/>
      <c r="P351" s="119"/>
      <c r="Q351" s="119"/>
      <c r="R351" s="36"/>
      <c r="S351" s="36"/>
      <c r="T351" s="129"/>
      <c r="U351" s="36"/>
      <c r="V351" s="129"/>
    </row>
    <row r="352" spans="2:22" x14ac:dyDescent="0.25">
      <c r="B352" s="648" t="s">
        <v>196</v>
      </c>
      <c r="C352" s="648"/>
      <c r="D352" s="648"/>
      <c r="E352" s="648"/>
      <c r="F352" s="648"/>
      <c r="G352" s="113">
        <v>1</v>
      </c>
      <c r="H352" s="117">
        <f>'10 - CUSTOS UN'!$J$42</f>
        <v>16.393333333333334</v>
      </c>
      <c r="I352" s="659">
        <f t="shared" si="5"/>
        <v>2.7322222222222226</v>
      </c>
      <c r="J352" s="659"/>
      <c r="K352" s="114">
        <f t="shared" si="6"/>
        <v>2.7322222222222226</v>
      </c>
      <c r="M352" s="565"/>
      <c r="N352" s="131"/>
      <c r="O352" s="131"/>
      <c r="P352" s="131"/>
      <c r="Q352" s="131"/>
      <c r="R352" s="18"/>
      <c r="S352" s="18"/>
      <c r="T352" s="18"/>
      <c r="U352" s="18"/>
      <c r="V352" s="18"/>
    </row>
    <row r="353" spans="2:22" x14ac:dyDescent="0.25">
      <c r="B353" s="660" t="s">
        <v>181</v>
      </c>
      <c r="C353" s="660"/>
      <c r="D353" s="660"/>
      <c r="E353" s="660"/>
      <c r="F353" s="660"/>
      <c r="G353" s="115"/>
      <c r="H353" s="115"/>
      <c r="I353" s="741"/>
      <c r="J353" s="741"/>
      <c r="K353" s="126">
        <f>SUM(K345:K352)</f>
        <v>77.268888888888881</v>
      </c>
      <c r="M353" s="565"/>
      <c r="N353" s="131"/>
      <c r="O353" s="131"/>
      <c r="P353" s="131"/>
      <c r="Q353" s="131"/>
      <c r="R353" s="18"/>
      <c r="S353" s="18"/>
      <c r="T353" s="18"/>
      <c r="U353" s="18"/>
      <c r="V353" s="18"/>
    </row>
    <row r="354" spans="2:22" x14ac:dyDescent="0.25">
      <c r="B354" s="661" t="s">
        <v>182</v>
      </c>
      <c r="C354" s="661"/>
      <c r="D354" s="661"/>
      <c r="E354" s="661"/>
      <c r="F354" s="661"/>
      <c r="G354" s="4">
        <f>H15+H16</f>
        <v>2</v>
      </c>
      <c r="H354" s="4" t="s">
        <v>126</v>
      </c>
      <c r="I354" s="617">
        <f>K353</f>
        <v>77.268888888888881</v>
      </c>
      <c r="J354" s="617"/>
      <c r="K354" s="126">
        <f>I354*G354</f>
        <v>154.53777777777776</v>
      </c>
      <c r="M354" s="565"/>
      <c r="N354" s="131"/>
      <c r="O354" s="131"/>
      <c r="P354" s="131"/>
      <c r="Q354" s="131"/>
      <c r="R354" s="18"/>
      <c r="S354" s="18"/>
      <c r="T354" s="18"/>
      <c r="U354" s="18"/>
      <c r="V354" s="18"/>
    </row>
    <row r="355" spans="2:22" x14ac:dyDescent="0.25">
      <c r="B355" s="742"/>
      <c r="C355" s="742"/>
      <c r="D355" s="742"/>
      <c r="E355" s="742"/>
      <c r="F355" s="742"/>
      <c r="I355" s="742"/>
      <c r="J355" s="742"/>
      <c r="K355" s="135"/>
      <c r="M355" s="565"/>
      <c r="N355" s="131"/>
      <c r="O355" s="131"/>
      <c r="P355" s="131"/>
      <c r="Q355" s="131"/>
      <c r="R355" s="18"/>
      <c r="S355" s="18"/>
      <c r="T355" s="132"/>
      <c r="U355" s="18"/>
      <c r="V355" s="132"/>
    </row>
    <row r="356" spans="2:22" x14ac:dyDescent="0.25">
      <c r="B356" s="663" t="s">
        <v>200</v>
      </c>
      <c r="C356" s="663"/>
      <c r="D356" s="663"/>
      <c r="E356" s="663"/>
      <c r="F356" s="663"/>
      <c r="G356" s="663"/>
      <c r="H356" s="663"/>
      <c r="I356" s="663"/>
      <c r="J356" s="663"/>
      <c r="K356" s="663"/>
      <c r="M356" s="565"/>
      <c r="N356" s="131"/>
      <c r="O356" s="131"/>
      <c r="P356" s="131"/>
      <c r="Q356" s="131"/>
      <c r="R356" s="18"/>
      <c r="S356" s="18"/>
      <c r="T356" s="132"/>
      <c r="U356" s="132"/>
      <c r="V356" s="129"/>
    </row>
    <row r="357" spans="2:22" ht="30" x14ac:dyDescent="0.25">
      <c r="B357" s="614" t="s">
        <v>174</v>
      </c>
      <c r="C357" s="614"/>
      <c r="D357" s="614"/>
      <c r="E357" s="614"/>
      <c r="F357" s="614"/>
      <c r="G357" s="26" t="s">
        <v>1678</v>
      </c>
      <c r="H357" s="26" t="s">
        <v>176</v>
      </c>
      <c r="I357" s="664" t="s">
        <v>177</v>
      </c>
      <c r="J357" s="664"/>
      <c r="K357" s="25" t="s">
        <v>178</v>
      </c>
      <c r="M357" s="565"/>
      <c r="N357" s="119"/>
      <c r="O357" s="119"/>
      <c r="P357" s="119"/>
      <c r="Q357" s="119"/>
      <c r="R357" s="36"/>
      <c r="S357" s="36"/>
      <c r="T357" s="129"/>
      <c r="U357" s="36"/>
      <c r="V357" s="129"/>
    </row>
    <row r="358" spans="2:22" x14ac:dyDescent="0.25">
      <c r="B358" s="594" t="s">
        <v>179</v>
      </c>
      <c r="C358" s="594"/>
      <c r="D358" s="594"/>
      <c r="E358" s="594"/>
      <c r="F358" s="594"/>
      <c r="G358" s="4">
        <v>2</v>
      </c>
      <c r="H358" s="30">
        <f>'10 - CUSTOS UN'!$J$36</f>
        <v>21.349999999999998</v>
      </c>
      <c r="I358" s="617">
        <f>H358/6</f>
        <v>3.5583333333333331</v>
      </c>
      <c r="J358" s="617"/>
      <c r="K358" s="30">
        <f>I358*G358</f>
        <v>7.1166666666666663</v>
      </c>
      <c r="M358" s="565"/>
      <c r="N358" s="131"/>
      <c r="O358" s="131"/>
      <c r="P358" s="131"/>
      <c r="Q358" s="131"/>
      <c r="R358" s="18"/>
      <c r="S358" s="18"/>
      <c r="T358" s="131"/>
      <c r="U358" s="131"/>
      <c r="V358" s="18"/>
    </row>
    <row r="359" spans="2:22" x14ac:dyDescent="0.25">
      <c r="B359" s="594" t="s">
        <v>184</v>
      </c>
      <c r="C359" s="594"/>
      <c r="D359" s="594"/>
      <c r="E359" s="594"/>
      <c r="F359" s="594"/>
      <c r="G359" s="4">
        <v>2</v>
      </c>
      <c r="H359" s="30">
        <f>'10 - CUSTOS UN'!$J$27</f>
        <v>67.736666666666665</v>
      </c>
      <c r="I359" s="617">
        <f>H359/6</f>
        <v>11.289444444444444</v>
      </c>
      <c r="J359" s="617"/>
      <c r="K359" s="30">
        <f>I359*G359</f>
        <v>22.578888888888887</v>
      </c>
      <c r="M359" s="565"/>
      <c r="N359" s="131"/>
      <c r="O359" s="131"/>
      <c r="P359" s="131"/>
      <c r="Q359" s="131"/>
      <c r="R359" s="18"/>
      <c r="S359" s="18"/>
      <c r="T359" s="131"/>
      <c r="U359" s="131"/>
      <c r="V359" s="18"/>
    </row>
    <row r="360" spans="2:22" x14ac:dyDescent="0.25">
      <c r="B360" s="604" t="s">
        <v>180</v>
      </c>
      <c r="C360" s="604"/>
      <c r="D360" s="604"/>
      <c r="E360" s="604"/>
      <c r="F360" s="604"/>
      <c r="G360" s="4">
        <v>1</v>
      </c>
      <c r="H360" s="118">
        <f>'10 - CUSTOS UN'!$J$63</f>
        <v>111.56333333333333</v>
      </c>
      <c r="I360" s="617">
        <f>H360/6</f>
        <v>18.593888888888888</v>
      </c>
      <c r="J360" s="617"/>
      <c r="K360" s="30">
        <f>I360*G360</f>
        <v>18.593888888888888</v>
      </c>
      <c r="M360" s="565"/>
      <c r="N360" s="131"/>
      <c r="O360" s="131"/>
      <c r="P360" s="131"/>
      <c r="Q360" s="131"/>
      <c r="R360" s="18"/>
      <c r="S360" s="18"/>
      <c r="T360" s="136"/>
      <c r="U360" s="136"/>
      <c r="V360" s="132"/>
    </row>
    <row r="361" spans="2:22" x14ac:dyDescent="0.25">
      <c r="B361" s="594" t="s">
        <v>201</v>
      </c>
      <c r="C361" s="594"/>
      <c r="D361" s="594"/>
      <c r="E361" s="594"/>
      <c r="F361" s="594"/>
      <c r="G361" s="4">
        <v>1</v>
      </c>
      <c r="H361" s="30">
        <f>'10 - CUSTOS UN'!$J$30</f>
        <v>84.38</v>
      </c>
      <c r="I361" s="617">
        <f>H361/6</f>
        <v>14.063333333333333</v>
      </c>
      <c r="J361" s="617"/>
      <c r="K361" s="30">
        <f>I361*G361</f>
        <v>14.063333333333333</v>
      </c>
      <c r="M361" s="565"/>
      <c r="N361" s="131"/>
      <c r="O361" s="131"/>
      <c r="P361" s="131"/>
      <c r="Q361" s="131"/>
      <c r="R361" s="18"/>
      <c r="S361" s="18"/>
      <c r="T361" s="130"/>
      <c r="U361" s="130"/>
      <c r="V361" s="129"/>
    </row>
    <row r="362" spans="2:22" x14ac:dyDescent="0.25">
      <c r="B362" s="648" t="s">
        <v>202</v>
      </c>
      <c r="C362" s="648"/>
      <c r="D362" s="648"/>
      <c r="E362" s="648"/>
      <c r="F362" s="648"/>
      <c r="G362" s="113">
        <v>1</v>
      </c>
      <c r="H362" s="137">
        <f>'10 - CUSTOS UN'!J48</f>
        <v>18.52</v>
      </c>
      <c r="I362" s="738">
        <f>H362/6</f>
        <v>3.0866666666666664</v>
      </c>
      <c r="J362" s="738"/>
      <c r="K362" s="117">
        <f>I362*G362</f>
        <v>3.0866666666666664</v>
      </c>
      <c r="M362" s="548"/>
      <c r="N362" s="119"/>
      <c r="O362" s="119"/>
      <c r="P362" s="119"/>
      <c r="Q362" s="119"/>
      <c r="R362" s="119"/>
      <c r="S362" s="119"/>
      <c r="T362" s="119"/>
      <c r="U362" s="119"/>
      <c r="V362" s="129"/>
    </row>
    <row r="363" spans="2:22" x14ac:dyDescent="0.25">
      <c r="B363" s="660" t="s">
        <v>203</v>
      </c>
      <c r="C363" s="660"/>
      <c r="D363" s="660"/>
      <c r="E363" s="660"/>
      <c r="F363" s="660"/>
      <c r="G363" s="115"/>
      <c r="H363" s="115"/>
      <c r="I363" s="741"/>
      <c r="J363" s="741"/>
      <c r="K363" s="126">
        <f>SUM(K358:K362)</f>
        <v>65.439444444444447</v>
      </c>
      <c r="M363" s="563"/>
      <c r="N363" s="119"/>
      <c r="O363" s="119"/>
      <c r="P363" s="119"/>
      <c r="Q363" s="119"/>
      <c r="R363" s="119"/>
      <c r="S363" s="119"/>
      <c r="T363" s="119"/>
      <c r="U363" s="119"/>
      <c r="V363" s="129"/>
    </row>
    <row r="364" spans="2:22" x14ac:dyDescent="0.25">
      <c r="B364" s="661" t="s">
        <v>182</v>
      </c>
      <c r="C364" s="661"/>
      <c r="D364" s="661"/>
      <c r="E364" s="661"/>
      <c r="F364" s="661"/>
      <c r="G364" s="4">
        <v>4</v>
      </c>
      <c r="H364" s="4" t="s">
        <v>126</v>
      </c>
      <c r="I364" s="617">
        <f>K363</f>
        <v>65.439444444444447</v>
      </c>
      <c r="J364" s="617"/>
      <c r="K364" s="127">
        <f>K363*G364</f>
        <v>261.75777777777779</v>
      </c>
    </row>
    <row r="365" spans="2:22" x14ac:dyDescent="0.25">
      <c r="B365" s="120"/>
      <c r="C365" s="120"/>
      <c r="D365" s="120"/>
      <c r="E365" s="120"/>
      <c r="F365" s="120"/>
    </row>
    <row r="366" spans="2:22" ht="15" customHeight="1" x14ac:dyDescent="0.25">
      <c r="B366" s="597" t="s">
        <v>204</v>
      </c>
      <c r="C366" s="597"/>
      <c r="D366" s="597"/>
      <c r="E366" s="597"/>
      <c r="F366" s="597"/>
      <c r="G366" s="597"/>
      <c r="H366" s="597"/>
      <c r="I366" s="597"/>
      <c r="J366" s="597"/>
      <c r="K366" s="111">
        <f>SUM(K364+K354+K341+K327+K315)</f>
        <v>1072.4033333333332</v>
      </c>
      <c r="L366" s="541"/>
    </row>
    <row r="367" spans="2:22" x14ac:dyDescent="0.25">
      <c r="M367" s="566"/>
    </row>
    <row r="368" spans="2:22" x14ac:dyDescent="0.25">
      <c r="M368" s="548"/>
      <c r="N368" s="119"/>
      <c r="O368" s="119"/>
      <c r="P368" s="119"/>
      <c r="Q368" s="119"/>
      <c r="R368" s="119"/>
      <c r="S368" s="119"/>
      <c r="T368" s="119"/>
      <c r="U368" s="119"/>
      <c r="V368" s="119"/>
    </row>
    <row r="369" spans="2:22" x14ac:dyDescent="0.25">
      <c r="B369" s="601" t="s">
        <v>205</v>
      </c>
      <c r="C369" s="601"/>
      <c r="D369" s="601"/>
      <c r="E369" s="601"/>
      <c r="F369" s="601"/>
      <c r="G369" s="601"/>
      <c r="H369" s="601"/>
      <c r="I369" s="601"/>
      <c r="J369" s="601"/>
      <c r="K369" s="601"/>
      <c r="M369" s="548"/>
      <c r="N369" s="119"/>
      <c r="O369" s="119"/>
      <c r="P369" s="119"/>
      <c r="Q369" s="119"/>
      <c r="R369" s="119"/>
      <c r="S369" s="119"/>
      <c r="T369" s="119"/>
      <c r="U369" s="119"/>
      <c r="V369" s="36"/>
    </row>
    <row r="370" spans="2:22" x14ac:dyDescent="0.25">
      <c r="M370" s="549"/>
      <c r="N370" s="120"/>
      <c r="O370" s="120"/>
      <c r="P370" s="120"/>
      <c r="Q370" s="120"/>
      <c r="R370" s="23"/>
      <c r="S370" s="23"/>
      <c r="T370" s="124"/>
      <c r="U370" s="120"/>
      <c r="V370" s="109"/>
    </row>
    <row r="371" spans="2:22" x14ac:dyDescent="0.25">
      <c r="B371" s="655" t="s">
        <v>206</v>
      </c>
      <c r="C371" s="655"/>
      <c r="D371" s="655"/>
      <c r="E371" s="655"/>
      <c r="F371" s="655"/>
      <c r="G371" s="655"/>
      <c r="H371" s="655"/>
      <c r="I371" s="655"/>
      <c r="J371" s="655"/>
      <c r="K371" s="655"/>
      <c r="M371" s="717"/>
      <c r="R371" s="1"/>
      <c r="S371" s="1"/>
      <c r="T371" s="12"/>
      <c r="V371" s="1"/>
    </row>
    <row r="372" spans="2:22" x14ac:dyDescent="0.25">
      <c r="B372" s="38" t="s">
        <v>207</v>
      </c>
      <c r="C372" s="605" t="s">
        <v>174</v>
      </c>
      <c r="D372" s="605"/>
      <c r="E372" s="605"/>
      <c r="F372" s="605"/>
      <c r="G372" s="605"/>
      <c r="H372" s="605"/>
      <c r="I372" s="656" t="s">
        <v>208</v>
      </c>
      <c r="J372" s="656"/>
      <c r="K372" s="138" t="s">
        <v>209</v>
      </c>
      <c r="M372" s="717"/>
      <c r="R372" s="1"/>
      <c r="S372" s="18"/>
      <c r="V372" s="1"/>
    </row>
    <row r="373" spans="2:22" x14ac:dyDescent="0.25">
      <c r="B373" s="140" t="s">
        <v>81</v>
      </c>
      <c r="C373" s="650" t="s">
        <v>210</v>
      </c>
      <c r="D373" s="650"/>
      <c r="E373" s="650"/>
      <c r="F373" s="650"/>
      <c r="G373" s="650"/>
      <c r="H373" s="650"/>
      <c r="I373" s="651">
        <f>K454</f>
        <v>1806.987205749354</v>
      </c>
      <c r="J373" s="651"/>
      <c r="K373" s="141">
        <f>K455</f>
        <v>1806.987205749354</v>
      </c>
      <c r="M373" s="717"/>
      <c r="R373" s="1"/>
      <c r="S373" s="1"/>
      <c r="T373" s="12"/>
      <c r="V373" s="1"/>
    </row>
    <row r="374" spans="2:22" x14ac:dyDescent="0.25">
      <c r="B374" s="5" t="s">
        <v>211</v>
      </c>
      <c r="C374" s="594" t="s">
        <v>212</v>
      </c>
      <c r="D374" s="594"/>
      <c r="E374" s="594"/>
      <c r="F374" s="594"/>
      <c r="G374" s="594"/>
      <c r="H374" s="594"/>
      <c r="I374" s="645">
        <f>I392</f>
        <v>572.14666666666676</v>
      </c>
      <c r="J374" s="645"/>
      <c r="K374" s="142">
        <f>K392</f>
        <v>572.14666666666676</v>
      </c>
      <c r="M374" s="717"/>
      <c r="N374" s="120"/>
      <c r="O374" s="120"/>
      <c r="P374" s="120"/>
      <c r="Q374" s="120"/>
      <c r="R374" s="23"/>
      <c r="S374" s="23"/>
      <c r="T374" s="124"/>
      <c r="U374" s="120"/>
      <c r="V374" s="109"/>
    </row>
    <row r="375" spans="2:22" x14ac:dyDescent="0.25">
      <c r="B375" s="5" t="s">
        <v>213</v>
      </c>
      <c r="C375" s="594" t="s">
        <v>214</v>
      </c>
      <c r="D375" s="594"/>
      <c r="E375" s="594"/>
      <c r="F375" s="594"/>
      <c r="G375" s="594"/>
      <c r="H375" s="594"/>
      <c r="I375" s="645">
        <f>I401</f>
        <v>98.337708333333296</v>
      </c>
      <c r="J375" s="645"/>
      <c r="K375" s="142">
        <f>K401</f>
        <v>98.337708333333296</v>
      </c>
      <c r="M375" s="717"/>
      <c r="N375" s="120"/>
      <c r="O375" s="120"/>
      <c r="P375" s="120"/>
      <c r="Q375" s="120"/>
      <c r="R375" s="23"/>
      <c r="S375" s="23"/>
      <c r="T375" s="124"/>
      <c r="U375" s="120"/>
      <c r="V375" s="109"/>
    </row>
    <row r="376" spans="2:22" x14ac:dyDescent="0.25">
      <c r="B376" s="5" t="s">
        <v>215</v>
      </c>
      <c r="C376" s="594" t="s">
        <v>216</v>
      </c>
      <c r="D376" s="594"/>
      <c r="E376" s="594"/>
      <c r="F376" s="594"/>
      <c r="G376" s="594"/>
      <c r="H376" s="594"/>
      <c r="I376" s="645">
        <f>I414</f>
        <v>120.44638888888889</v>
      </c>
      <c r="J376" s="645"/>
      <c r="K376" s="142">
        <f>K414</f>
        <v>120.44638888888889</v>
      </c>
      <c r="M376" s="717"/>
      <c r="R376" s="1"/>
      <c r="S376" s="1"/>
      <c r="T376" s="12"/>
      <c r="V376" s="1"/>
    </row>
    <row r="377" spans="2:22" x14ac:dyDescent="0.25">
      <c r="B377" s="5" t="s">
        <v>217</v>
      </c>
      <c r="C377" s="594" t="s">
        <v>218</v>
      </c>
      <c r="D377" s="594"/>
      <c r="E377" s="594"/>
      <c r="F377" s="594"/>
      <c r="G377" s="594"/>
      <c r="H377" s="594"/>
      <c r="I377" s="645">
        <f>I428</f>
        <v>782.13644186046508</v>
      </c>
      <c r="J377" s="645"/>
      <c r="K377" s="142">
        <f>K428</f>
        <v>782.13644186046508</v>
      </c>
      <c r="M377" s="717"/>
      <c r="R377" s="1"/>
      <c r="S377" s="18"/>
      <c r="V377" s="1"/>
    </row>
    <row r="378" spans="2:22" x14ac:dyDescent="0.25">
      <c r="B378" s="5" t="s">
        <v>219</v>
      </c>
      <c r="C378" s="594" t="s">
        <v>220</v>
      </c>
      <c r="D378" s="594"/>
      <c r="E378" s="594"/>
      <c r="F378" s="594"/>
      <c r="G378" s="594"/>
      <c r="H378" s="594"/>
      <c r="I378" s="645">
        <f>I439</f>
        <v>68.92</v>
      </c>
      <c r="J378" s="645"/>
      <c r="K378" s="142">
        <f>K439</f>
        <v>68.92</v>
      </c>
      <c r="M378" s="717"/>
      <c r="R378" s="1"/>
      <c r="S378" s="1"/>
      <c r="T378" s="12"/>
      <c r="V378" s="1"/>
    </row>
    <row r="379" spans="2:22" x14ac:dyDescent="0.25">
      <c r="B379" s="5" t="s">
        <v>221</v>
      </c>
      <c r="C379" s="594" t="s">
        <v>222</v>
      </c>
      <c r="D379" s="594"/>
      <c r="E379" s="594"/>
      <c r="F379" s="594"/>
      <c r="G379" s="594"/>
      <c r="H379" s="594"/>
      <c r="I379" s="645">
        <f>I452</f>
        <v>165</v>
      </c>
      <c r="J379" s="645"/>
      <c r="K379" s="142">
        <f>K452</f>
        <v>165</v>
      </c>
      <c r="M379" s="717"/>
      <c r="N379" s="120"/>
      <c r="O379" s="120"/>
      <c r="P379" s="120"/>
      <c r="Q379" s="120"/>
      <c r="R379" s="23"/>
      <c r="S379" s="23"/>
      <c r="T379" s="124"/>
      <c r="U379" s="120"/>
      <c r="V379" s="109"/>
    </row>
    <row r="380" spans="2:22" x14ac:dyDescent="0.25">
      <c r="B380" s="143"/>
      <c r="C380" s="646" t="s">
        <v>223</v>
      </c>
      <c r="D380" s="646"/>
      <c r="E380" s="646"/>
      <c r="F380" s="646"/>
      <c r="G380" s="646"/>
      <c r="H380" s="646"/>
      <c r="I380" s="646"/>
      <c r="J380" s="646"/>
      <c r="K380" s="144">
        <f>SUM(K374:K379)</f>
        <v>1806.987205749354</v>
      </c>
      <c r="M380" s="717"/>
      <c r="N380" s="120"/>
      <c r="O380" s="120"/>
      <c r="P380" s="120"/>
      <c r="Q380" s="120"/>
      <c r="R380" s="23"/>
      <c r="S380" s="23"/>
      <c r="T380" s="124"/>
      <c r="U380" s="120"/>
      <c r="V380" s="109"/>
    </row>
    <row r="381" spans="2:22" x14ac:dyDescent="0.25">
      <c r="R381" s="1"/>
      <c r="S381" s="1"/>
      <c r="T381" s="12"/>
      <c r="V381" s="1"/>
    </row>
    <row r="382" spans="2:22" x14ac:dyDescent="0.25">
      <c r="R382" s="1"/>
      <c r="S382" s="18"/>
      <c r="V382" s="1"/>
    </row>
    <row r="383" spans="2:22" x14ac:dyDescent="0.25">
      <c r="B383" s="626" t="s">
        <v>224</v>
      </c>
      <c r="C383" s="626"/>
      <c r="D383" s="626"/>
      <c r="E383" s="626"/>
      <c r="F383" s="626"/>
      <c r="G383" s="626"/>
      <c r="H383" s="626"/>
      <c r="I383" s="626"/>
      <c r="J383" s="626"/>
      <c r="K383" s="626"/>
      <c r="R383" s="1"/>
      <c r="S383" s="1"/>
      <c r="T383" s="12"/>
      <c r="V383" s="1"/>
    </row>
    <row r="384" spans="2:22" x14ac:dyDescent="0.25">
      <c r="B384" s="731"/>
      <c r="C384" s="731"/>
      <c r="D384" s="731"/>
      <c r="E384" s="731"/>
      <c r="F384" s="731"/>
      <c r="G384" s="731"/>
      <c r="H384" s="731"/>
      <c r="I384" s="731"/>
      <c r="J384" s="731"/>
      <c r="K384" s="731"/>
      <c r="M384" s="549"/>
      <c r="N384" s="120"/>
      <c r="O384" s="120"/>
      <c r="P384" s="120"/>
      <c r="Q384" s="120"/>
      <c r="R384" s="23"/>
      <c r="S384" s="23"/>
      <c r="T384" s="124"/>
      <c r="U384" s="120"/>
      <c r="V384" s="109"/>
    </row>
    <row r="385" spans="2:22" x14ac:dyDescent="0.25">
      <c r="B385" s="609" t="s">
        <v>225</v>
      </c>
      <c r="C385" s="609"/>
      <c r="D385" s="609"/>
      <c r="E385" s="609"/>
      <c r="F385" s="609"/>
      <c r="G385" s="609"/>
      <c r="H385" s="609"/>
      <c r="I385" s="609"/>
      <c r="J385" s="609"/>
      <c r="K385" s="609"/>
      <c r="M385" s="717"/>
      <c r="N385" s="120"/>
      <c r="O385" s="120"/>
      <c r="P385" s="120"/>
      <c r="Q385" s="120"/>
      <c r="R385" s="23"/>
      <c r="S385" s="23"/>
      <c r="T385" s="124"/>
      <c r="U385" s="120"/>
      <c r="V385" s="109"/>
    </row>
    <row r="386" spans="2:22" x14ac:dyDescent="0.25">
      <c r="B386" s="602" t="s">
        <v>174</v>
      </c>
      <c r="C386" s="602"/>
      <c r="D386" s="602"/>
      <c r="E386" s="602"/>
      <c r="F386" s="602"/>
      <c r="G386" s="45" t="s">
        <v>128</v>
      </c>
      <c r="H386" s="45" t="s">
        <v>129</v>
      </c>
      <c r="I386" s="602" t="s">
        <v>226</v>
      </c>
      <c r="J386" s="602"/>
      <c r="K386" s="45" t="s">
        <v>227</v>
      </c>
      <c r="M386" s="717"/>
      <c r="R386" s="1"/>
      <c r="S386" s="1"/>
      <c r="T386" s="12"/>
      <c r="V386" s="1"/>
    </row>
    <row r="387" spans="2:22" x14ac:dyDescent="0.25">
      <c r="B387" s="622" t="s">
        <v>228</v>
      </c>
      <c r="C387" s="622"/>
      <c r="D387" s="622"/>
      <c r="E387" s="622"/>
      <c r="F387" s="622"/>
      <c r="G387" s="558">
        <v>1</v>
      </c>
      <c r="H387" s="8" t="s">
        <v>229</v>
      </c>
      <c r="I387" s="617">
        <v>42911</v>
      </c>
      <c r="J387" s="617"/>
      <c r="K387" s="30">
        <f>G387*I387</f>
        <v>42911</v>
      </c>
      <c r="M387" s="717"/>
      <c r="R387" s="1"/>
      <c r="S387" s="18"/>
      <c r="V387" s="1"/>
    </row>
    <row r="388" spans="2:22" x14ac:dyDescent="0.25">
      <c r="B388" s="622" t="s">
        <v>230</v>
      </c>
      <c r="C388" s="622"/>
      <c r="D388" s="622"/>
      <c r="E388" s="622"/>
      <c r="F388" s="622"/>
      <c r="G388" s="8">
        <v>5</v>
      </c>
      <c r="H388" s="8" t="s">
        <v>231</v>
      </c>
      <c r="I388" s="617"/>
      <c r="J388" s="617"/>
      <c r="K388" s="30"/>
      <c r="M388" s="717"/>
      <c r="R388" s="1"/>
      <c r="S388" s="18"/>
      <c r="V388" s="1"/>
    </row>
    <row r="389" spans="2:22" x14ac:dyDescent="0.25">
      <c r="B389" s="615" t="s">
        <v>232</v>
      </c>
      <c r="C389" s="615"/>
      <c r="D389" s="615"/>
      <c r="E389" s="615"/>
      <c r="F389" s="615"/>
      <c r="G389" s="8">
        <v>5</v>
      </c>
      <c r="H389" s="8" t="s">
        <v>231</v>
      </c>
      <c r="I389" s="617"/>
      <c r="J389" s="617"/>
      <c r="K389" s="30"/>
      <c r="M389" s="717"/>
      <c r="R389" s="1"/>
      <c r="S389" s="1"/>
      <c r="T389" s="12"/>
      <c r="V389" s="1"/>
    </row>
    <row r="390" spans="2:22" x14ac:dyDescent="0.25">
      <c r="B390" s="736" t="s">
        <v>233</v>
      </c>
      <c r="C390" s="736"/>
      <c r="D390" s="736"/>
      <c r="E390" s="736"/>
      <c r="F390" s="736"/>
      <c r="G390" s="145">
        <v>80</v>
      </c>
      <c r="H390" s="145" t="s">
        <v>89</v>
      </c>
      <c r="I390" s="737">
        <f>I387</f>
        <v>42911</v>
      </c>
      <c r="J390" s="737"/>
      <c r="K390" s="146">
        <f>I390*G390/100</f>
        <v>34328.800000000003</v>
      </c>
      <c r="M390" s="717"/>
      <c r="N390" s="120"/>
      <c r="O390" s="120"/>
      <c r="P390" s="120"/>
      <c r="Q390" s="120"/>
      <c r="R390" s="23"/>
      <c r="S390" s="23"/>
      <c r="T390" s="124"/>
      <c r="U390" s="120"/>
      <c r="V390" s="109"/>
    </row>
    <row r="391" spans="2:22" x14ac:dyDescent="0.25">
      <c r="B391" s="618" t="s">
        <v>234</v>
      </c>
      <c r="C391" s="618"/>
      <c r="D391" s="618"/>
      <c r="E391" s="618"/>
      <c r="F391" s="618"/>
      <c r="G391" s="147">
        <v>60</v>
      </c>
      <c r="H391" s="147" t="s">
        <v>235</v>
      </c>
      <c r="I391" s="738">
        <f>K390</f>
        <v>34328.800000000003</v>
      </c>
      <c r="J391" s="738"/>
      <c r="K391" s="148">
        <f>I391/G391</f>
        <v>572.14666666666676</v>
      </c>
      <c r="M391" s="717"/>
      <c r="N391" s="120"/>
      <c r="O391" s="120"/>
      <c r="P391" s="120"/>
      <c r="Q391" s="120"/>
      <c r="R391" s="120"/>
      <c r="S391" s="120"/>
      <c r="T391" s="120"/>
      <c r="U391" s="120"/>
      <c r="V391" s="109"/>
    </row>
    <row r="392" spans="2:22" x14ac:dyDescent="0.25">
      <c r="B392" s="739" t="s">
        <v>236</v>
      </c>
      <c r="C392" s="739"/>
      <c r="D392" s="739"/>
      <c r="E392" s="739"/>
      <c r="F392" s="739"/>
      <c r="G392" s="149">
        <v>1</v>
      </c>
      <c r="H392" s="149" t="s">
        <v>229</v>
      </c>
      <c r="I392" s="740">
        <f>K391</f>
        <v>572.14666666666676</v>
      </c>
      <c r="J392" s="740"/>
      <c r="K392" s="150">
        <f>I392*G392</f>
        <v>572.14666666666676</v>
      </c>
      <c r="M392" s="717"/>
    </row>
    <row r="393" spans="2:22" x14ac:dyDescent="0.25">
      <c r="B393" s="731"/>
      <c r="C393" s="731"/>
      <c r="D393" s="731"/>
      <c r="E393" s="731"/>
      <c r="F393" s="731"/>
      <c r="G393" s="731"/>
      <c r="H393" s="731"/>
      <c r="I393" s="731"/>
      <c r="J393" s="731"/>
      <c r="K393" s="731"/>
      <c r="M393" s="548"/>
      <c r="N393" s="119"/>
      <c r="O393" s="119"/>
      <c r="P393" s="119"/>
      <c r="Q393" s="119"/>
      <c r="R393" s="119"/>
      <c r="S393" s="119"/>
      <c r="T393" s="119"/>
      <c r="U393" s="119"/>
      <c r="V393" s="119"/>
    </row>
    <row r="394" spans="2:22" x14ac:dyDescent="0.25">
      <c r="B394" s="609" t="s">
        <v>237</v>
      </c>
      <c r="C394" s="609"/>
      <c r="D394" s="609"/>
      <c r="E394" s="609"/>
      <c r="F394" s="609"/>
      <c r="G394" s="609"/>
      <c r="H394" s="609"/>
      <c r="I394" s="609"/>
      <c r="J394" s="609"/>
      <c r="K394" s="609"/>
      <c r="M394" s="717"/>
      <c r="N394" s="119"/>
      <c r="O394" s="119"/>
      <c r="P394" s="119"/>
      <c r="Q394" s="119"/>
      <c r="R394" s="119"/>
      <c r="S394" s="36"/>
      <c r="T394" s="119"/>
      <c r="U394" s="119"/>
      <c r="V394" s="36"/>
    </row>
    <row r="395" spans="2:22" x14ac:dyDescent="0.25">
      <c r="B395" s="602" t="s">
        <v>174</v>
      </c>
      <c r="C395" s="602"/>
      <c r="D395" s="602"/>
      <c r="E395" s="602"/>
      <c r="F395" s="602"/>
      <c r="G395" s="61" t="s">
        <v>128</v>
      </c>
      <c r="H395" s="45" t="s">
        <v>129</v>
      </c>
      <c r="I395" s="602" t="s">
        <v>226</v>
      </c>
      <c r="J395" s="602"/>
      <c r="K395" s="45" t="s">
        <v>227</v>
      </c>
      <c r="M395" s="717"/>
      <c r="N395" s="119"/>
      <c r="O395" s="119"/>
      <c r="P395" s="119"/>
      <c r="Q395" s="119"/>
      <c r="R395" s="151"/>
      <c r="S395" s="151"/>
      <c r="T395" s="152"/>
      <c r="U395" s="152"/>
      <c r="V395" s="153"/>
    </row>
    <row r="396" spans="2:22" x14ac:dyDescent="0.25">
      <c r="B396" s="615" t="s">
        <v>238</v>
      </c>
      <c r="C396" s="615"/>
      <c r="D396" s="615"/>
      <c r="E396" s="615"/>
      <c r="F396" s="615"/>
      <c r="G396" s="8">
        <v>1</v>
      </c>
      <c r="H396" s="8" t="s">
        <v>229</v>
      </c>
      <c r="I396" s="617">
        <f>I387</f>
        <v>42911</v>
      </c>
      <c r="J396" s="617"/>
      <c r="K396" s="30">
        <f>I396*G396</f>
        <v>42911</v>
      </c>
      <c r="M396" s="717"/>
      <c r="N396" s="154"/>
      <c r="O396" s="154"/>
      <c r="P396" s="154"/>
      <c r="Q396" s="154"/>
      <c r="R396" s="155"/>
      <c r="S396" s="155"/>
      <c r="T396" s="156"/>
      <c r="U396" s="156"/>
      <c r="V396" s="157"/>
    </row>
    <row r="397" spans="2:22" x14ac:dyDescent="0.25">
      <c r="B397" s="615" t="s">
        <v>239</v>
      </c>
      <c r="C397" s="615"/>
      <c r="D397" s="615"/>
      <c r="E397" s="615"/>
      <c r="F397" s="615"/>
      <c r="G397" s="556">
        <v>13.75</v>
      </c>
      <c r="H397" s="8" t="s">
        <v>89</v>
      </c>
      <c r="I397" s="616"/>
      <c r="J397" s="616"/>
      <c r="K397" s="30"/>
      <c r="M397" s="717"/>
      <c r="N397" s="154"/>
      <c r="O397" s="154"/>
      <c r="P397" s="154"/>
      <c r="Q397" s="154"/>
      <c r="R397" s="155"/>
      <c r="S397" s="155"/>
      <c r="T397" s="156"/>
      <c r="U397" s="156"/>
      <c r="V397" s="157"/>
    </row>
    <row r="398" spans="2:22" ht="18" x14ac:dyDescent="0.25">
      <c r="B398" s="615" t="s">
        <v>240</v>
      </c>
      <c r="C398" s="615"/>
      <c r="D398" s="615"/>
      <c r="E398" s="615"/>
      <c r="F398" s="615"/>
      <c r="G398" s="8"/>
      <c r="H398" s="8"/>
      <c r="I398" s="617">
        <f>IFERROR(IF(G389&lt;=G388,I387-(G390/(100*G388)*G389)*I387,I387-K390),0)</f>
        <v>8582.1999999999971</v>
      </c>
      <c r="J398" s="617"/>
      <c r="K398" s="30"/>
      <c r="M398" s="717"/>
      <c r="N398" s="154"/>
      <c r="O398" s="154"/>
      <c r="P398" s="154"/>
      <c r="Q398" s="154"/>
      <c r="R398" s="155"/>
      <c r="S398" s="155"/>
      <c r="T398" s="154"/>
      <c r="U398" s="154"/>
      <c r="V398" s="155"/>
    </row>
    <row r="399" spans="2:22" x14ac:dyDescent="0.25">
      <c r="B399" s="615" t="s">
        <v>241</v>
      </c>
      <c r="C399" s="615"/>
      <c r="D399" s="615"/>
      <c r="E399" s="615"/>
      <c r="F399" s="615"/>
      <c r="G399" s="8"/>
      <c r="H399" s="8"/>
      <c r="I399" s="617">
        <f>IFERROR(IF(G389&gt;=G388,I398,((((I398)-(I387-K390))*(((G388-G389)+1)/(2*(G388-G389))))+(I387-K390))),0)</f>
        <v>8582.1999999999971</v>
      </c>
      <c r="J399" s="617"/>
      <c r="K399" s="30"/>
      <c r="M399" s="717"/>
      <c r="N399" s="154"/>
      <c r="O399" s="154"/>
      <c r="P399" s="154"/>
      <c r="Q399" s="154"/>
      <c r="R399" s="155"/>
      <c r="S399" s="155"/>
      <c r="T399" s="154"/>
      <c r="U399" s="154"/>
      <c r="V399" s="155"/>
    </row>
    <row r="400" spans="2:22" x14ac:dyDescent="0.25">
      <c r="B400" s="618" t="s">
        <v>242</v>
      </c>
      <c r="C400" s="618"/>
      <c r="D400" s="618"/>
      <c r="E400" s="618"/>
      <c r="F400" s="618"/>
      <c r="G400" s="147"/>
      <c r="H400" s="147"/>
      <c r="I400" s="619">
        <f>G397*I399/12/100</f>
        <v>98.337708333333296</v>
      </c>
      <c r="J400" s="619"/>
      <c r="K400" s="148">
        <f>I400</f>
        <v>98.337708333333296</v>
      </c>
      <c r="M400" s="717"/>
      <c r="N400" s="154"/>
      <c r="O400" s="154"/>
      <c r="P400" s="154"/>
      <c r="Q400" s="154"/>
      <c r="R400" s="155"/>
      <c r="S400" s="155"/>
      <c r="T400" s="154"/>
      <c r="U400" s="154"/>
      <c r="V400" s="155"/>
    </row>
    <row r="401" spans="2:22" x14ac:dyDescent="0.25">
      <c r="B401" s="612" t="s">
        <v>243</v>
      </c>
      <c r="C401" s="612"/>
      <c r="D401" s="612"/>
      <c r="E401" s="612"/>
      <c r="F401" s="612"/>
      <c r="G401" s="45">
        <v>1</v>
      </c>
      <c r="H401" s="45" t="s">
        <v>229</v>
      </c>
      <c r="I401" s="613">
        <f>K400</f>
        <v>98.337708333333296</v>
      </c>
      <c r="J401" s="613"/>
      <c r="K401" s="159">
        <f>I401*G401</f>
        <v>98.337708333333296</v>
      </c>
      <c r="M401" s="717"/>
      <c r="N401" s="119"/>
      <c r="O401" s="119"/>
      <c r="P401" s="119"/>
      <c r="Q401" s="119"/>
      <c r="R401" s="151"/>
      <c r="S401" s="151"/>
      <c r="T401" s="152"/>
      <c r="U401" s="152"/>
      <c r="V401" s="153"/>
    </row>
    <row r="402" spans="2:22" ht="15" customHeight="1" x14ac:dyDescent="0.25">
      <c r="B402" s="644" t="s">
        <v>244</v>
      </c>
      <c r="C402" s="644"/>
      <c r="D402" s="644"/>
      <c r="E402" s="644"/>
      <c r="F402" s="644"/>
      <c r="G402" s="644"/>
      <c r="H402" s="644"/>
      <c r="I402" s="644"/>
      <c r="J402" s="644"/>
      <c r="K402" s="644"/>
      <c r="M402" s="717"/>
      <c r="N402" s="154"/>
      <c r="O402" s="154"/>
      <c r="P402" s="154"/>
      <c r="Q402" s="154"/>
      <c r="R402" s="155"/>
      <c r="S402" s="155"/>
      <c r="T402" s="156"/>
      <c r="U402" s="156"/>
      <c r="V402" s="157"/>
    </row>
    <row r="403" spans="2:22" x14ac:dyDescent="0.25">
      <c r="B403" s="644"/>
      <c r="C403" s="644"/>
      <c r="D403" s="644"/>
      <c r="E403" s="644"/>
      <c r="F403" s="644"/>
      <c r="G403" s="644"/>
      <c r="H403" s="644"/>
      <c r="I403" s="644"/>
      <c r="J403" s="644"/>
      <c r="K403" s="644"/>
      <c r="M403" s="717"/>
      <c r="N403" s="154"/>
      <c r="O403" s="154"/>
      <c r="P403" s="154"/>
      <c r="Q403" s="154"/>
      <c r="R403" s="155"/>
      <c r="S403" s="155"/>
      <c r="T403" s="156"/>
      <c r="U403" s="156"/>
      <c r="V403" s="157"/>
    </row>
    <row r="404" spans="2:22" ht="28.15" customHeight="1" x14ac:dyDescent="0.25">
      <c r="B404" s="644"/>
      <c r="C404" s="644"/>
      <c r="D404" s="644"/>
      <c r="E404" s="644"/>
      <c r="F404" s="644"/>
      <c r="G404" s="644"/>
      <c r="H404" s="644"/>
      <c r="I404" s="644"/>
      <c r="J404" s="644"/>
      <c r="K404" s="644"/>
      <c r="M404" s="717"/>
      <c r="N404" s="154"/>
      <c r="O404" s="154"/>
      <c r="P404" s="154"/>
      <c r="Q404" s="154"/>
      <c r="R404" s="155"/>
      <c r="S404" s="155"/>
      <c r="T404" s="156"/>
      <c r="U404" s="156"/>
      <c r="V404" s="157"/>
    </row>
    <row r="405" spans="2:22" x14ac:dyDescent="0.25">
      <c r="B405" s="731"/>
      <c r="C405" s="731"/>
      <c r="D405" s="731"/>
      <c r="E405" s="731"/>
      <c r="F405" s="731"/>
      <c r="G405" s="731"/>
      <c r="H405" s="731"/>
      <c r="I405" s="731"/>
      <c r="J405" s="731"/>
      <c r="K405" s="731"/>
      <c r="M405" s="567"/>
      <c r="N405" s="154"/>
      <c r="O405" s="154"/>
      <c r="P405" s="154"/>
      <c r="Q405" s="154"/>
      <c r="R405" s="155"/>
      <c r="S405" s="155"/>
      <c r="T405" s="154"/>
      <c r="U405" s="154"/>
      <c r="V405" s="155"/>
    </row>
    <row r="406" spans="2:22" ht="15" customHeight="1" x14ac:dyDescent="0.25">
      <c r="B406" s="609" t="s">
        <v>245</v>
      </c>
      <c r="C406" s="609"/>
      <c r="D406" s="609"/>
      <c r="E406" s="609"/>
      <c r="F406" s="609"/>
      <c r="G406" s="609"/>
      <c r="H406" s="609"/>
      <c r="I406" s="609"/>
      <c r="J406" s="609"/>
      <c r="K406" s="609"/>
      <c r="M406" s="732"/>
      <c r="N406" s="154"/>
      <c r="O406" s="154"/>
      <c r="P406" s="154"/>
      <c r="Q406" s="154"/>
      <c r="R406" s="155"/>
      <c r="S406" s="155"/>
      <c r="T406" s="154"/>
      <c r="U406" s="154"/>
      <c r="V406" s="155"/>
    </row>
    <row r="407" spans="2:22" x14ac:dyDescent="0.25">
      <c r="B407" s="602" t="s">
        <v>174</v>
      </c>
      <c r="C407" s="602"/>
      <c r="D407" s="602"/>
      <c r="E407" s="602"/>
      <c r="F407" s="602"/>
      <c r="G407" s="61" t="s">
        <v>128</v>
      </c>
      <c r="H407" s="45" t="s">
        <v>129</v>
      </c>
      <c r="I407" s="602" t="s">
        <v>226</v>
      </c>
      <c r="J407" s="602"/>
      <c r="K407" s="45" t="s">
        <v>246</v>
      </c>
      <c r="M407" s="732"/>
      <c r="N407" s="119"/>
      <c r="O407" s="119"/>
      <c r="P407" s="119"/>
      <c r="Q407" s="119"/>
      <c r="R407" s="151"/>
      <c r="S407" s="151"/>
      <c r="T407" s="152"/>
      <c r="U407" s="152"/>
      <c r="V407" s="153"/>
    </row>
    <row r="408" spans="2:22" x14ac:dyDescent="0.25">
      <c r="B408" s="622" t="s">
        <v>426</v>
      </c>
      <c r="C408" s="622"/>
      <c r="D408" s="622"/>
      <c r="E408" s="622"/>
      <c r="F408" s="622"/>
      <c r="G408" s="558">
        <v>1</v>
      </c>
      <c r="H408" s="8" t="s">
        <v>229</v>
      </c>
      <c r="I408" s="733">
        <f>I387*0.03</f>
        <v>1287.33</v>
      </c>
      <c r="J408" s="733"/>
      <c r="K408" s="30">
        <f>(I408*G408)/12</f>
        <v>107.27749999999999</v>
      </c>
      <c r="M408" s="732"/>
      <c r="N408" s="154"/>
      <c r="O408" s="154"/>
      <c r="P408" s="154"/>
      <c r="Q408" s="154"/>
      <c r="R408" s="155"/>
      <c r="S408" s="155"/>
      <c r="T408" s="156"/>
      <c r="U408" s="156"/>
      <c r="V408" s="157"/>
    </row>
    <row r="409" spans="2:22" x14ac:dyDescent="0.25">
      <c r="B409" s="622" t="s">
        <v>427</v>
      </c>
      <c r="C409" s="622"/>
      <c r="D409" s="622"/>
      <c r="E409" s="622"/>
      <c r="F409" s="622"/>
      <c r="G409" s="558">
        <v>1</v>
      </c>
      <c r="H409" s="8" t="s">
        <v>229</v>
      </c>
      <c r="I409" s="733">
        <v>109.27</v>
      </c>
      <c r="J409" s="733"/>
      <c r="K409" s="30">
        <f>(I409*G409)/12</f>
        <v>9.105833333333333</v>
      </c>
      <c r="M409" s="732"/>
      <c r="N409" s="154"/>
      <c r="O409" s="154"/>
      <c r="P409" s="154"/>
      <c r="Q409" s="154"/>
      <c r="R409" s="155"/>
      <c r="S409" s="155"/>
      <c r="T409" s="156"/>
      <c r="U409" s="156"/>
      <c r="V409" s="157"/>
    </row>
    <row r="410" spans="2:22" x14ac:dyDescent="0.25">
      <c r="B410" s="615" t="s">
        <v>247</v>
      </c>
      <c r="C410" s="615"/>
      <c r="D410" s="615"/>
      <c r="E410" s="615"/>
      <c r="F410" s="615"/>
      <c r="G410" s="558">
        <v>1</v>
      </c>
      <c r="H410" s="8" t="s">
        <v>229</v>
      </c>
      <c r="I410" s="733">
        <v>0</v>
      </c>
      <c r="J410" s="733"/>
      <c r="K410" s="30">
        <f>(I410*G410)/60</f>
        <v>0</v>
      </c>
      <c r="M410" s="732"/>
      <c r="N410" s="154"/>
      <c r="O410" s="154"/>
      <c r="P410" s="154"/>
      <c r="Q410" s="154"/>
      <c r="R410" s="155"/>
      <c r="S410" s="155"/>
      <c r="T410" s="156"/>
      <c r="U410" s="156"/>
      <c r="V410" s="157"/>
    </row>
    <row r="411" spans="2:22" x14ac:dyDescent="0.25">
      <c r="B411" s="622" t="s">
        <v>428</v>
      </c>
      <c r="C411" s="622"/>
      <c r="D411" s="622"/>
      <c r="E411" s="622"/>
      <c r="F411" s="622"/>
      <c r="G411" s="558">
        <v>1</v>
      </c>
      <c r="H411" s="8" t="s">
        <v>229</v>
      </c>
      <c r="I411" s="733">
        <f>'10 - CUSTOS UN'!J252</f>
        <v>858.83333333333337</v>
      </c>
      <c r="J411" s="733"/>
      <c r="K411" s="30">
        <f>(I411/12)*G411</f>
        <v>71.569444444444443</v>
      </c>
      <c r="M411" s="732"/>
      <c r="N411" s="154"/>
      <c r="O411" s="154"/>
      <c r="P411" s="154"/>
      <c r="Q411" s="154"/>
      <c r="R411" s="155"/>
      <c r="S411" s="155"/>
      <c r="T411" s="154"/>
      <c r="U411" s="154"/>
      <c r="V411" s="155"/>
    </row>
    <row r="412" spans="2:22" x14ac:dyDescent="0.25">
      <c r="B412" s="734" t="s">
        <v>1681</v>
      </c>
      <c r="C412" s="734"/>
      <c r="D412" s="734"/>
      <c r="E412" s="734"/>
      <c r="F412" s="734"/>
      <c r="G412" s="572">
        <v>1</v>
      </c>
      <c r="H412" s="147" t="s">
        <v>229</v>
      </c>
      <c r="I412" s="735">
        <v>52.94</v>
      </c>
      <c r="J412" s="735"/>
      <c r="K412" s="117">
        <f>I412*G412</f>
        <v>52.94</v>
      </c>
      <c r="M412" s="732"/>
      <c r="N412" s="154"/>
      <c r="O412" s="154"/>
      <c r="P412" s="154"/>
      <c r="Q412" s="154"/>
      <c r="R412" s="155"/>
      <c r="S412" s="155"/>
      <c r="T412" s="154"/>
      <c r="U412" s="154"/>
      <c r="V412" s="155"/>
    </row>
    <row r="413" spans="2:22" x14ac:dyDescent="0.25">
      <c r="B413" s="622" t="s">
        <v>248</v>
      </c>
      <c r="C413" s="622"/>
      <c r="D413" s="622"/>
      <c r="E413" s="622"/>
      <c r="F413" s="622"/>
      <c r="G413" s="8"/>
      <c r="H413" s="8"/>
      <c r="I413" s="616"/>
      <c r="J413" s="616"/>
      <c r="K413" s="30">
        <f>SUM(K408:K412)/2</f>
        <v>120.44638888888889</v>
      </c>
      <c r="M413" s="732"/>
      <c r="N413" s="160"/>
      <c r="O413" s="160"/>
      <c r="P413" s="160"/>
      <c r="Q413" s="160"/>
      <c r="R413" s="151"/>
      <c r="S413" s="151"/>
      <c r="T413" s="152"/>
      <c r="U413" s="152"/>
      <c r="V413" s="153"/>
    </row>
    <row r="414" spans="2:22" x14ac:dyDescent="0.25">
      <c r="B414" s="624" t="s">
        <v>249</v>
      </c>
      <c r="C414" s="624"/>
      <c r="D414" s="624"/>
      <c r="E414" s="624"/>
      <c r="F414" s="624"/>
      <c r="G414" s="161">
        <v>1</v>
      </c>
      <c r="H414" s="161" t="s">
        <v>129</v>
      </c>
      <c r="I414" s="625">
        <f>K413</f>
        <v>120.44638888888889</v>
      </c>
      <c r="J414" s="625"/>
      <c r="K414" s="150">
        <f>I414*G414</f>
        <v>120.44638888888889</v>
      </c>
      <c r="M414" s="732"/>
      <c r="N414" s="154"/>
      <c r="O414" s="154"/>
      <c r="P414" s="154"/>
      <c r="Q414" s="154"/>
      <c r="R414" s="155"/>
      <c r="S414" s="155"/>
      <c r="T414" s="156"/>
      <c r="U414" s="156"/>
      <c r="V414" s="157"/>
    </row>
    <row r="415" spans="2:22" ht="15" customHeight="1" x14ac:dyDescent="0.25">
      <c r="B415" s="707"/>
      <c r="C415" s="707"/>
      <c r="D415" s="707"/>
      <c r="E415" s="707"/>
      <c r="F415" s="707"/>
      <c r="G415" s="707"/>
      <c r="H415" s="707"/>
      <c r="I415" s="707"/>
      <c r="J415" s="707"/>
      <c r="K415" s="707"/>
      <c r="M415" s="567"/>
      <c r="N415" s="154"/>
      <c r="O415" s="154"/>
      <c r="P415" s="154"/>
      <c r="Q415" s="154"/>
      <c r="R415" s="155"/>
      <c r="S415" s="155"/>
      <c r="T415" s="156"/>
      <c r="U415" s="156"/>
      <c r="V415" s="157"/>
    </row>
    <row r="416" spans="2:22" ht="15" customHeight="1" x14ac:dyDescent="0.25">
      <c r="B416" s="609" t="s">
        <v>250</v>
      </c>
      <c r="C416" s="609"/>
      <c r="D416" s="609"/>
      <c r="E416" s="609"/>
      <c r="F416" s="609"/>
      <c r="G416" s="609"/>
      <c r="H416" s="609"/>
      <c r="I416" s="609"/>
      <c r="J416" s="609"/>
      <c r="K416" s="609"/>
      <c r="M416" s="728"/>
      <c r="N416" s="154"/>
      <c r="O416" s="154"/>
      <c r="P416" s="154"/>
      <c r="Q416" s="154"/>
      <c r="R416" s="155"/>
      <c r="S416" s="155"/>
      <c r="T416" s="156"/>
      <c r="U416" s="156"/>
      <c r="V416" s="157"/>
    </row>
    <row r="417" spans="2:22" x14ac:dyDescent="0.25">
      <c r="B417" s="602" t="s">
        <v>174</v>
      </c>
      <c r="C417" s="602"/>
      <c r="D417" s="602"/>
      <c r="E417" s="602"/>
      <c r="F417" s="602"/>
      <c r="G417" s="45" t="s">
        <v>128</v>
      </c>
      <c r="H417" s="45" t="s">
        <v>129</v>
      </c>
      <c r="I417" s="602" t="s">
        <v>226</v>
      </c>
      <c r="J417" s="602"/>
      <c r="K417" s="45" t="s">
        <v>251</v>
      </c>
      <c r="M417" s="728"/>
      <c r="N417" s="154"/>
      <c r="O417" s="154"/>
      <c r="P417" s="154"/>
      <c r="Q417" s="154"/>
      <c r="R417" s="155"/>
      <c r="S417" s="155"/>
      <c r="T417" s="154"/>
      <c r="U417" s="154"/>
      <c r="V417" s="155"/>
    </row>
    <row r="418" spans="2:22" x14ac:dyDescent="0.25">
      <c r="B418" s="594" t="s">
        <v>252</v>
      </c>
      <c r="C418" s="594"/>
      <c r="D418" s="594"/>
      <c r="E418" s="594"/>
      <c r="F418" s="594"/>
      <c r="G418" s="570">
        <v>1500</v>
      </c>
      <c r="H418" s="4" t="s">
        <v>253</v>
      </c>
      <c r="I418" s="688"/>
      <c r="J418" s="688"/>
      <c r="K418" s="11"/>
      <c r="M418" s="728"/>
      <c r="N418" s="120"/>
      <c r="O418" s="120"/>
      <c r="P418" s="120"/>
      <c r="Q418" s="120"/>
      <c r="R418" s="120"/>
      <c r="S418" s="120"/>
      <c r="T418" s="120"/>
      <c r="U418" s="120"/>
      <c r="V418" s="109"/>
    </row>
    <row r="419" spans="2:22" x14ac:dyDescent="0.25">
      <c r="B419" s="604" t="s">
        <v>254</v>
      </c>
      <c r="C419" s="604"/>
      <c r="D419" s="604"/>
      <c r="E419" s="604"/>
      <c r="F419" s="604"/>
      <c r="G419" s="571">
        <v>1</v>
      </c>
      <c r="H419" s="4" t="s">
        <v>229</v>
      </c>
      <c r="I419" s="688"/>
      <c r="J419" s="688"/>
      <c r="K419" s="11"/>
      <c r="M419" s="728"/>
      <c r="N419" s="119"/>
      <c r="O419" s="119"/>
      <c r="P419" s="119"/>
      <c r="Q419" s="119"/>
      <c r="R419" s="119"/>
      <c r="S419" s="119"/>
      <c r="T419" s="119"/>
      <c r="U419" s="119"/>
      <c r="V419" s="119"/>
    </row>
    <row r="420" spans="2:22" x14ac:dyDescent="0.25">
      <c r="B420" s="594" t="s">
        <v>255</v>
      </c>
      <c r="C420" s="594"/>
      <c r="D420" s="594"/>
      <c r="E420" s="594"/>
      <c r="F420" s="594"/>
      <c r="G420" s="162">
        <v>12.9</v>
      </c>
      <c r="H420" s="4" t="s">
        <v>256</v>
      </c>
      <c r="I420" s="688"/>
      <c r="J420" s="688"/>
      <c r="K420" s="11"/>
      <c r="M420" s="728"/>
      <c r="N420" s="119"/>
      <c r="O420" s="119"/>
      <c r="P420" s="119"/>
      <c r="Q420" s="119"/>
      <c r="R420" s="119"/>
      <c r="S420" s="119"/>
      <c r="T420" s="119"/>
      <c r="U420" s="119"/>
      <c r="V420" s="119"/>
    </row>
    <row r="421" spans="2:22" x14ac:dyDescent="0.25">
      <c r="B421" s="604" t="s">
        <v>257</v>
      </c>
      <c r="C421" s="604"/>
      <c r="D421" s="604"/>
      <c r="E421" s="604"/>
      <c r="F421" s="604"/>
      <c r="G421" s="162">
        <v>1</v>
      </c>
      <c r="H421" s="4" t="s">
        <v>258</v>
      </c>
      <c r="I421" s="729">
        <v>6.62</v>
      </c>
      <c r="J421" s="729"/>
      <c r="K421" s="11"/>
      <c r="M421" s="728"/>
      <c r="N421" s="119"/>
      <c r="O421" s="119"/>
      <c r="P421" s="119"/>
      <c r="Q421" s="119"/>
      <c r="R421" s="36"/>
      <c r="S421" s="36"/>
      <c r="T421" s="128"/>
      <c r="U421" s="128"/>
      <c r="V421" s="129"/>
    </row>
    <row r="422" spans="2:22" x14ac:dyDescent="0.25">
      <c r="B422" s="594" t="s">
        <v>259</v>
      </c>
      <c r="C422" s="594"/>
      <c r="D422" s="594"/>
      <c r="E422" s="594"/>
      <c r="F422" s="594"/>
      <c r="G422" s="66">
        <f>G418/G420</f>
        <v>116.27906976744185</v>
      </c>
      <c r="H422" s="4" t="s">
        <v>260</v>
      </c>
      <c r="I422" s="679"/>
      <c r="J422" s="679"/>
      <c r="K422" s="30">
        <f>G422*I421</f>
        <v>769.76744186046506</v>
      </c>
      <c r="M422" s="728"/>
      <c r="N422" s="131"/>
      <c r="O422" s="131"/>
      <c r="P422" s="131"/>
      <c r="Q422" s="131"/>
      <c r="R422" s="163"/>
      <c r="S422" s="18"/>
      <c r="T422" s="130"/>
      <c r="U422" s="130"/>
      <c r="V422" s="132"/>
    </row>
    <row r="423" spans="2:22" x14ac:dyDescent="0.25">
      <c r="B423" s="721" t="s">
        <v>261</v>
      </c>
      <c r="C423" s="721"/>
      <c r="D423" s="721"/>
      <c r="E423" s="721"/>
      <c r="F423" s="721"/>
      <c r="G423" s="164">
        <f>G422*G419</f>
        <v>116.27906976744185</v>
      </c>
      <c r="H423" s="113" t="s">
        <v>260</v>
      </c>
      <c r="I423" s="726"/>
      <c r="J423" s="726"/>
      <c r="K423" s="148">
        <f>G423*I421</f>
        <v>769.76744186046506</v>
      </c>
      <c r="M423" s="728"/>
      <c r="N423" s="131"/>
      <c r="O423" s="131"/>
      <c r="P423" s="131"/>
      <c r="Q423" s="131"/>
      <c r="R423" s="18"/>
      <c r="S423" s="18"/>
      <c r="T423" s="128"/>
      <c r="U423" s="128"/>
      <c r="V423" s="129"/>
    </row>
    <row r="424" spans="2:22" ht="15" customHeight="1" x14ac:dyDescent="0.25">
      <c r="B424" s="606" t="s">
        <v>262</v>
      </c>
      <c r="C424" s="606"/>
      <c r="D424" s="606"/>
      <c r="E424" s="606"/>
      <c r="F424" s="606"/>
      <c r="G424" s="165">
        <v>0.2</v>
      </c>
      <c r="H424" s="166" t="s">
        <v>263</v>
      </c>
      <c r="I424" s="730"/>
      <c r="J424" s="730"/>
      <c r="K424" s="167"/>
      <c r="M424" s="728"/>
      <c r="N424" s="131"/>
      <c r="O424" s="131"/>
      <c r="P424" s="131"/>
      <c r="Q424" s="131"/>
      <c r="R424" s="18"/>
      <c r="S424" s="18"/>
      <c r="T424" s="130"/>
      <c r="U424" s="130"/>
      <c r="V424" s="132"/>
    </row>
    <row r="425" spans="2:22" x14ac:dyDescent="0.25">
      <c r="B425" s="594" t="s">
        <v>264</v>
      </c>
      <c r="C425" s="594"/>
      <c r="D425" s="594"/>
      <c r="E425" s="594"/>
      <c r="F425" s="594"/>
      <c r="G425" s="66">
        <v>1</v>
      </c>
      <c r="H425" s="4" t="s">
        <v>258</v>
      </c>
      <c r="I425" s="679">
        <v>41.23</v>
      </c>
      <c r="J425" s="679"/>
      <c r="K425" s="127"/>
      <c r="M425" s="728"/>
      <c r="N425" s="119"/>
      <c r="O425" s="119"/>
      <c r="P425" s="119"/>
      <c r="Q425" s="119"/>
      <c r="R425" s="168"/>
      <c r="S425" s="36"/>
      <c r="T425" s="128"/>
      <c r="U425" s="128"/>
      <c r="V425" s="129"/>
    </row>
    <row r="426" spans="2:22" x14ac:dyDescent="0.25">
      <c r="B426" s="594" t="s">
        <v>265</v>
      </c>
      <c r="C426" s="594"/>
      <c r="D426" s="594"/>
      <c r="E426" s="594"/>
      <c r="F426" s="594"/>
      <c r="G426" s="66">
        <f>G424*(G418/1000)</f>
        <v>0.30000000000000004</v>
      </c>
      <c r="H426" s="4" t="s">
        <v>266</v>
      </c>
      <c r="I426" s="679"/>
      <c r="J426" s="679"/>
      <c r="K426" s="30">
        <f>G426*I425</f>
        <v>12.369000000000002</v>
      </c>
      <c r="M426" s="728"/>
      <c r="N426" s="119"/>
      <c r="O426" s="119"/>
      <c r="P426" s="119"/>
      <c r="Q426" s="119"/>
      <c r="R426" s="168"/>
      <c r="S426" s="36"/>
      <c r="T426" s="128"/>
      <c r="U426" s="128"/>
      <c r="V426" s="129"/>
    </row>
    <row r="427" spans="2:22" x14ac:dyDescent="0.25">
      <c r="B427" s="721" t="s">
        <v>267</v>
      </c>
      <c r="C427" s="721"/>
      <c r="D427" s="721"/>
      <c r="E427" s="721"/>
      <c r="F427" s="721"/>
      <c r="G427" s="164">
        <f>G424*(G418/1000)*G419</f>
        <v>0.30000000000000004</v>
      </c>
      <c r="H427" s="113" t="s">
        <v>266</v>
      </c>
      <c r="I427" s="726"/>
      <c r="J427" s="726"/>
      <c r="K427" s="148">
        <f>G427*I425</f>
        <v>12.369000000000002</v>
      </c>
      <c r="M427" s="728"/>
      <c r="N427" s="119"/>
      <c r="O427" s="119"/>
      <c r="P427" s="119"/>
      <c r="Q427" s="119"/>
      <c r="R427" s="36"/>
      <c r="S427" s="36"/>
      <c r="T427" s="128"/>
      <c r="U427" s="128"/>
      <c r="V427" s="129"/>
    </row>
    <row r="428" spans="2:22" x14ac:dyDescent="0.25">
      <c r="B428" s="624" t="s">
        <v>268</v>
      </c>
      <c r="C428" s="624"/>
      <c r="D428" s="624"/>
      <c r="E428" s="624"/>
      <c r="F428" s="624"/>
      <c r="G428" s="169">
        <v>1</v>
      </c>
      <c r="H428" s="161" t="s">
        <v>129</v>
      </c>
      <c r="I428" s="625">
        <f>K426+K422</f>
        <v>782.13644186046508</v>
      </c>
      <c r="J428" s="625"/>
      <c r="K428" s="150">
        <f>I428*G428</f>
        <v>782.13644186046508</v>
      </c>
      <c r="M428" s="728"/>
      <c r="N428" s="131"/>
      <c r="O428" s="131"/>
      <c r="P428" s="131"/>
      <c r="Q428" s="131"/>
      <c r="R428" s="163"/>
      <c r="S428" s="18"/>
      <c r="T428" s="130"/>
      <c r="U428" s="130"/>
      <c r="V428" s="132"/>
    </row>
    <row r="429" spans="2:22" ht="15" customHeight="1" x14ac:dyDescent="0.25">
      <c r="B429" s="644" t="s">
        <v>269</v>
      </c>
      <c r="C429" s="644"/>
      <c r="D429" s="644"/>
      <c r="E429" s="644"/>
      <c r="F429" s="644"/>
      <c r="G429" s="644"/>
      <c r="H429" s="644"/>
      <c r="I429" s="644"/>
      <c r="J429" s="644"/>
      <c r="K429" s="644"/>
      <c r="M429" s="565"/>
      <c r="N429" s="131"/>
      <c r="O429" s="131"/>
      <c r="P429" s="131"/>
      <c r="Q429" s="131"/>
      <c r="R429" s="18"/>
      <c r="S429" s="18"/>
      <c r="T429" s="128"/>
      <c r="U429" s="128"/>
      <c r="V429" s="129"/>
    </row>
    <row r="430" spans="2:22" x14ac:dyDescent="0.25">
      <c r="B430" s="644"/>
      <c r="C430" s="644"/>
      <c r="D430" s="644"/>
      <c r="E430" s="644"/>
      <c r="F430" s="644"/>
      <c r="G430" s="644"/>
      <c r="H430" s="644"/>
      <c r="I430" s="644"/>
      <c r="J430" s="644"/>
      <c r="K430" s="644"/>
      <c r="M430" s="565"/>
      <c r="N430" s="131"/>
      <c r="O430" s="131"/>
      <c r="P430" s="131"/>
      <c r="Q430" s="131"/>
      <c r="R430" s="18"/>
      <c r="S430" s="18"/>
      <c r="T430" s="130"/>
      <c r="U430" s="130"/>
      <c r="V430" s="132"/>
    </row>
    <row r="431" spans="2:22" x14ac:dyDescent="0.25">
      <c r="B431" s="644"/>
      <c r="C431" s="644"/>
      <c r="D431" s="644"/>
      <c r="E431" s="644"/>
      <c r="F431" s="644"/>
      <c r="G431" s="644"/>
      <c r="H431" s="644"/>
      <c r="I431" s="644"/>
      <c r="J431" s="644"/>
      <c r="K431" s="644"/>
      <c r="M431" s="565"/>
      <c r="N431" s="119"/>
      <c r="O431" s="119"/>
      <c r="P431" s="119"/>
      <c r="Q431" s="119"/>
      <c r="R431" s="168"/>
      <c r="S431" s="36"/>
      <c r="T431" s="128"/>
      <c r="U431" s="128"/>
      <c r="V431" s="129"/>
    </row>
    <row r="432" spans="2:22" x14ac:dyDescent="0.25">
      <c r="B432" s="707"/>
      <c r="C432" s="707"/>
      <c r="D432" s="707"/>
      <c r="E432" s="707"/>
      <c r="F432" s="707"/>
      <c r="G432" s="707"/>
      <c r="H432" s="707"/>
      <c r="I432" s="707"/>
      <c r="J432" s="707"/>
      <c r="K432" s="707"/>
      <c r="M432" s="565"/>
      <c r="N432" s="131"/>
      <c r="O432" s="131"/>
      <c r="P432" s="131"/>
      <c r="Q432" s="131"/>
      <c r="R432" s="163"/>
      <c r="S432" s="18"/>
      <c r="T432" s="130"/>
      <c r="U432" s="130"/>
      <c r="V432" s="132"/>
    </row>
    <row r="433" spans="2:22" x14ac:dyDescent="0.25">
      <c r="B433" s="609" t="s">
        <v>270</v>
      </c>
      <c r="C433" s="609"/>
      <c r="D433" s="609"/>
      <c r="E433" s="609"/>
      <c r="F433" s="609"/>
      <c r="G433" s="609"/>
      <c r="H433" s="609"/>
      <c r="I433" s="609"/>
      <c r="J433" s="609"/>
      <c r="K433" s="609"/>
      <c r="M433" s="717"/>
      <c r="N433" s="131"/>
      <c r="O433" s="131"/>
      <c r="P433" s="131"/>
      <c r="Q433" s="131"/>
      <c r="R433" s="18"/>
      <c r="S433" s="18"/>
      <c r="T433" s="128"/>
      <c r="U433" s="128"/>
      <c r="V433" s="129"/>
    </row>
    <row r="434" spans="2:22" x14ac:dyDescent="0.25">
      <c r="B434" s="602" t="s">
        <v>174</v>
      </c>
      <c r="C434" s="602"/>
      <c r="D434" s="602"/>
      <c r="E434" s="602"/>
      <c r="F434" s="602"/>
      <c r="G434" s="45" t="s">
        <v>128</v>
      </c>
      <c r="H434" s="45" t="s">
        <v>129</v>
      </c>
      <c r="I434" s="602" t="s">
        <v>226</v>
      </c>
      <c r="J434" s="602"/>
      <c r="K434" s="45" t="s">
        <v>251</v>
      </c>
      <c r="M434" s="717"/>
      <c r="N434" s="131"/>
      <c r="O434" s="131"/>
      <c r="P434" s="131"/>
      <c r="Q434" s="131"/>
      <c r="R434" s="18"/>
      <c r="S434" s="18"/>
      <c r="T434" s="130"/>
      <c r="U434" s="130"/>
      <c r="V434" s="132"/>
    </row>
    <row r="435" spans="2:22" x14ac:dyDescent="0.25">
      <c r="B435" s="594" t="s">
        <v>271</v>
      </c>
      <c r="C435" s="594"/>
      <c r="D435" s="594"/>
      <c r="E435" s="594"/>
      <c r="F435" s="594"/>
      <c r="G435" s="110">
        <v>4</v>
      </c>
      <c r="H435" s="4" t="s">
        <v>229</v>
      </c>
      <c r="I435" s="679">
        <f>'10 - CUSTOS UN'!J195</f>
        <v>287.16666666666669</v>
      </c>
      <c r="J435" s="679"/>
      <c r="K435" s="127">
        <f>I435*G435</f>
        <v>1148.6666666666667</v>
      </c>
      <c r="M435" s="717"/>
      <c r="N435" s="119"/>
      <c r="O435" s="119"/>
      <c r="P435" s="119"/>
      <c r="Q435" s="119"/>
      <c r="R435" s="168"/>
      <c r="S435" s="36"/>
      <c r="T435" s="128"/>
      <c r="U435" s="128"/>
      <c r="V435" s="129"/>
    </row>
    <row r="436" spans="2:22" x14ac:dyDescent="0.25">
      <c r="B436" s="604" t="s">
        <v>272</v>
      </c>
      <c r="C436" s="604"/>
      <c r="D436" s="604"/>
      <c r="E436" s="604"/>
      <c r="F436" s="604"/>
      <c r="G436" s="170">
        <v>50000</v>
      </c>
      <c r="H436" s="4" t="s">
        <v>260</v>
      </c>
      <c r="I436" s="679"/>
      <c r="J436" s="679"/>
      <c r="K436" s="127"/>
      <c r="M436" s="717"/>
      <c r="N436" s="119"/>
      <c r="O436" s="119"/>
      <c r="P436" s="119"/>
      <c r="Q436" s="119"/>
      <c r="R436" s="36"/>
      <c r="S436" s="36"/>
      <c r="T436" s="128"/>
      <c r="U436" s="128"/>
      <c r="V436" s="129"/>
    </row>
    <row r="437" spans="2:22" x14ac:dyDescent="0.25">
      <c r="B437" s="594" t="s">
        <v>273</v>
      </c>
      <c r="C437" s="594"/>
      <c r="D437" s="594"/>
      <c r="E437" s="594"/>
      <c r="F437" s="594"/>
      <c r="G437" s="170">
        <f>G436</f>
        <v>50000</v>
      </c>
      <c r="H437" s="4" t="s">
        <v>274</v>
      </c>
      <c r="I437" s="679">
        <f>K435</f>
        <v>1148.6666666666667</v>
      </c>
      <c r="J437" s="679"/>
      <c r="K437" s="127">
        <f>I437/G437</f>
        <v>2.2973333333333335E-2</v>
      </c>
      <c r="M437" s="717"/>
      <c r="N437" s="131"/>
      <c r="O437" s="131"/>
      <c r="P437" s="131"/>
      <c r="Q437" s="131"/>
      <c r="R437" s="163"/>
      <c r="S437" s="18"/>
      <c r="T437" s="130"/>
      <c r="U437" s="130"/>
      <c r="V437" s="132"/>
    </row>
    <row r="438" spans="2:22" x14ac:dyDescent="0.25">
      <c r="B438" s="727" t="s">
        <v>275</v>
      </c>
      <c r="C438" s="727"/>
      <c r="D438" s="727"/>
      <c r="E438" s="727"/>
      <c r="F438" s="727"/>
      <c r="G438" s="171">
        <v>3000</v>
      </c>
      <c r="H438" s="172" t="s">
        <v>260</v>
      </c>
      <c r="I438" s="726">
        <f>K437</f>
        <v>2.2973333333333335E-2</v>
      </c>
      <c r="J438" s="726"/>
      <c r="K438" s="148">
        <f>I438*G438</f>
        <v>68.92</v>
      </c>
      <c r="M438" s="717"/>
      <c r="N438" s="131"/>
      <c r="O438" s="131"/>
      <c r="P438" s="131"/>
      <c r="Q438" s="131"/>
      <c r="R438" s="18"/>
      <c r="S438" s="18"/>
      <c r="T438" s="128"/>
      <c r="U438" s="128"/>
      <c r="V438" s="129"/>
    </row>
    <row r="439" spans="2:22" x14ac:dyDescent="0.25">
      <c r="B439" s="725" t="s">
        <v>276</v>
      </c>
      <c r="C439" s="725"/>
      <c r="D439" s="725"/>
      <c r="E439" s="725"/>
      <c r="F439" s="725"/>
      <c r="G439" s="169">
        <v>1</v>
      </c>
      <c r="H439" s="161" t="s">
        <v>229</v>
      </c>
      <c r="I439" s="715">
        <f>K438</f>
        <v>68.92</v>
      </c>
      <c r="J439" s="715"/>
      <c r="K439" s="150">
        <f>I439*G439</f>
        <v>68.92</v>
      </c>
      <c r="M439" s="717"/>
      <c r="N439" s="173"/>
      <c r="O439" s="173"/>
      <c r="P439" s="173"/>
      <c r="Q439" s="173"/>
      <c r="R439" s="174"/>
      <c r="S439" s="174"/>
      <c r="T439" s="175"/>
      <c r="U439" s="175"/>
      <c r="V439" s="132"/>
    </row>
    <row r="440" spans="2:22" x14ac:dyDescent="0.25">
      <c r="B440" s="707"/>
      <c r="C440" s="707"/>
      <c r="D440" s="707"/>
      <c r="E440" s="707"/>
      <c r="F440" s="707"/>
      <c r="G440" s="707"/>
      <c r="H440" s="707"/>
      <c r="I440" s="707"/>
      <c r="J440" s="707"/>
      <c r="K440" s="707"/>
      <c r="M440" s="565"/>
      <c r="N440" s="119"/>
      <c r="O440" s="119"/>
      <c r="P440" s="119"/>
      <c r="Q440" s="119"/>
      <c r="R440" s="168"/>
      <c r="S440" s="36"/>
      <c r="T440" s="128"/>
      <c r="U440" s="128"/>
      <c r="V440" s="129"/>
    </row>
    <row r="441" spans="2:22" x14ac:dyDescent="0.25">
      <c r="B441" s="609" t="s">
        <v>277</v>
      </c>
      <c r="C441" s="609"/>
      <c r="D441" s="609"/>
      <c r="E441" s="609"/>
      <c r="F441" s="609"/>
      <c r="G441" s="609"/>
      <c r="H441" s="609"/>
      <c r="I441" s="609"/>
      <c r="J441" s="609"/>
      <c r="K441" s="609"/>
      <c r="M441" s="717"/>
      <c r="N441" s="120"/>
      <c r="O441" s="120"/>
      <c r="P441" s="120"/>
      <c r="Q441" s="120"/>
      <c r="R441" s="120"/>
      <c r="S441" s="120"/>
      <c r="T441" s="120"/>
      <c r="U441" s="120"/>
      <c r="V441" s="109"/>
    </row>
    <row r="442" spans="2:22" x14ac:dyDescent="0.25">
      <c r="B442" s="602" t="s">
        <v>174</v>
      </c>
      <c r="C442" s="602"/>
      <c r="D442" s="602"/>
      <c r="E442" s="602"/>
      <c r="F442" s="602"/>
      <c r="G442" s="45" t="s">
        <v>128</v>
      </c>
      <c r="H442" s="45" t="s">
        <v>129</v>
      </c>
      <c r="I442" s="602" t="s">
        <v>226</v>
      </c>
      <c r="J442" s="602"/>
      <c r="K442" s="45" t="s">
        <v>251</v>
      </c>
      <c r="M442" s="717"/>
      <c r="N442" s="120"/>
      <c r="O442" s="120"/>
      <c r="P442" s="120"/>
      <c r="Q442" s="120"/>
      <c r="R442" s="120"/>
      <c r="S442" s="120"/>
      <c r="T442" s="120"/>
      <c r="U442" s="120"/>
      <c r="V442" s="120"/>
    </row>
    <row r="443" spans="2:22" x14ac:dyDescent="0.25">
      <c r="B443" s="594" t="s">
        <v>252</v>
      </c>
      <c r="C443" s="594"/>
      <c r="D443" s="594"/>
      <c r="E443" s="594"/>
      <c r="F443" s="594"/>
      <c r="G443" s="569">
        <v>1500</v>
      </c>
      <c r="H443" s="4" t="s">
        <v>260</v>
      </c>
      <c r="I443" s="718"/>
      <c r="J443" s="718"/>
      <c r="K443" s="176"/>
      <c r="M443" s="717"/>
      <c r="N443" s="119"/>
      <c r="O443" s="119"/>
      <c r="P443" s="119"/>
      <c r="Q443" s="119"/>
      <c r="R443" s="119"/>
      <c r="S443" s="119"/>
      <c r="T443" s="119"/>
      <c r="U443" s="119"/>
      <c r="V443" s="119"/>
    </row>
    <row r="444" spans="2:22" x14ac:dyDescent="0.25">
      <c r="B444" s="604" t="s">
        <v>278</v>
      </c>
      <c r="C444" s="604"/>
      <c r="D444" s="604"/>
      <c r="E444" s="604"/>
      <c r="F444" s="604"/>
      <c r="G444" s="569">
        <v>1</v>
      </c>
      <c r="H444" s="4" t="s">
        <v>229</v>
      </c>
      <c r="I444" s="718"/>
      <c r="J444" s="718"/>
      <c r="K444" s="176"/>
      <c r="M444" s="717"/>
      <c r="N444" s="36"/>
      <c r="O444" s="36"/>
      <c r="P444" s="36"/>
      <c r="Q444" s="36"/>
      <c r="R444" s="36"/>
      <c r="S444" s="36"/>
      <c r="T444" s="119"/>
      <c r="U444" s="119"/>
      <c r="V444" s="36"/>
    </row>
    <row r="445" spans="2:22" x14ac:dyDescent="0.25">
      <c r="B445" s="594" t="s">
        <v>279</v>
      </c>
      <c r="C445" s="594"/>
      <c r="D445" s="594"/>
      <c r="E445" s="594"/>
      <c r="F445" s="594"/>
      <c r="G445" s="170">
        <v>10000</v>
      </c>
      <c r="H445" s="4" t="s">
        <v>260</v>
      </c>
      <c r="I445" s="718"/>
      <c r="J445" s="718"/>
      <c r="K445" s="176"/>
      <c r="M445" s="717"/>
      <c r="N445" s="119"/>
      <c r="O445" s="119"/>
      <c r="P445" s="119"/>
      <c r="Q445" s="119"/>
      <c r="R445" s="36"/>
      <c r="S445" s="36"/>
      <c r="T445" s="128"/>
      <c r="U445" s="119"/>
      <c r="V445" s="129"/>
    </row>
    <row r="446" spans="2:22" x14ac:dyDescent="0.25">
      <c r="B446" s="594" t="s">
        <v>280</v>
      </c>
      <c r="C446" s="594"/>
      <c r="D446" s="594"/>
      <c r="E446" s="594"/>
      <c r="F446" s="594"/>
      <c r="G446" s="110">
        <v>1</v>
      </c>
      <c r="H446" s="4" t="s">
        <v>281</v>
      </c>
      <c r="I446" s="599">
        <v>1000</v>
      </c>
      <c r="J446" s="599"/>
      <c r="K446" s="127"/>
      <c r="M446" s="717"/>
      <c r="N446" s="131"/>
      <c r="O446" s="131"/>
      <c r="P446" s="131"/>
      <c r="Q446" s="131"/>
      <c r="R446" s="18"/>
      <c r="S446" s="18"/>
      <c r="T446" s="130"/>
      <c r="U446" s="130"/>
      <c r="V446" s="132"/>
    </row>
    <row r="447" spans="2:22" x14ac:dyDescent="0.25">
      <c r="B447" s="719" t="s">
        <v>282</v>
      </c>
      <c r="C447" s="719"/>
      <c r="D447" s="719"/>
      <c r="E447" s="719"/>
      <c r="F447" s="719"/>
      <c r="G447" s="178">
        <f>G443/G445</f>
        <v>0.15</v>
      </c>
      <c r="H447" s="48" t="s">
        <v>89</v>
      </c>
      <c r="I447" s="720">
        <v>1000</v>
      </c>
      <c r="J447" s="720"/>
      <c r="K447" s="127">
        <f>G447*I447</f>
        <v>150</v>
      </c>
      <c r="M447" s="717"/>
      <c r="N447" s="119"/>
      <c r="O447" s="119"/>
      <c r="P447" s="119"/>
      <c r="Q447" s="119"/>
      <c r="R447" s="168"/>
      <c r="S447" s="36"/>
      <c r="T447" s="128"/>
      <c r="U447" s="128"/>
      <c r="V447" s="129"/>
    </row>
    <row r="448" spans="2:22" x14ac:dyDescent="0.25">
      <c r="B448" s="594" t="s">
        <v>283</v>
      </c>
      <c r="C448" s="594"/>
      <c r="D448" s="594"/>
      <c r="E448" s="594"/>
      <c r="F448" s="594"/>
      <c r="G448" s="170">
        <v>10000</v>
      </c>
      <c r="H448" s="4" t="s">
        <v>260</v>
      </c>
      <c r="I448" s="679"/>
      <c r="J448" s="679"/>
      <c r="K448" s="127"/>
      <c r="M448" s="717"/>
      <c r="N448" s="131"/>
      <c r="O448" s="131"/>
      <c r="P448" s="131"/>
      <c r="Q448" s="131"/>
      <c r="R448" s="18"/>
      <c r="S448" s="18"/>
      <c r="T448" s="130"/>
      <c r="U448" s="130"/>
      <c r="V448" s="132"/>
    </row>
    <row r="449" spans="2:22" x14ac:dyDescent="0.25">
      <c r="B449" s="594" t="s">
        <v>284</v>
      </c>
      <c r="C449" s="594"/>
      <c r="D449" s="594"/>
      <c r="E449" s="594"/>
      <c r="F449" s="594"/>
      <c r="G449" s="170">
        <v>1</v>
      </c>
      <c r="H449" s="4" t="s">
        <v>281</v>
      </c>
      <c r="I449" s="599">
        <v>100</v>
      </c>
      <c r="J449" s="599"/>
      <c r="K449" s="127"/>
      <c r="M449" s="717"/>
      <c r="N449" s="119"/>
      <c r="O449" s="119"/>
      <c r="P449" s="119"/>
      <c r="Q449" s="119"/>
      <c r="R449" s="168"/>
      <c r="S449" s="36"/>
      <c r="T449" s="128"/>
      <c r="U449" s="128"/>
      <c r="V449" s="129"/>
    </row>
    <row r="450" spans="2:22" x14ac:dyDescent="0.25">
      <c r="B450" s="721" t="s">
        <v>285</v>
      </c>
      <c r="C450" s="721"/>
      <c r="D450" s="721"/>
      <c r="E450" s="721"/>
      <c r="F450" s="721"/>
      <c r="G450" s="179">
        <f>G443/G448</f>
        <v>0.15</v>
      </c>
      <c r="H450" s="172" t="s">
        <v>89</v>
      </c>
      <c r="I450" s="722">
        <f>I449</f>
        <v>100</v>
      </c>
      <c r="J450" s="722"/>
      <c r="K450" s="148">
        <f>G450*I450</f>
        <v>15</v>
      </c>
      <c r="M450" s="717"/>
      <c r="N450" s="131"/>
      <c r="O450" s="131"/>
      <c r="P450" s="131"/>
      <c r="Q450" s="131"/>
      <c r="R450" s="18"/>
      <c r="S450" s="18"/>
      <c r="T450" s="130"/>
      <c r="U450" s="130"/>
      <c r="V450" s="132"/>
    </row>
    <row r="451" spans="2:22" x14ac:dyDescent="0.25">
      <c r="B451" s="723" t="s">
        <v>286</v>
      </c>
      <c r="C451" s="723"/>
      <c r="D451" s="723"/>
      <c r="E451" s="723"/>
      <c r="F451" s="723"/>
      <c r="G451" s="165"/>
      <c r="H451" s="166"/>
      <c r="I451" s="724"/>
      <c r="J451" s="724"/>
      <c r="K451" s="126">
        <f>K450+K447</f>
        <v>165</v>
      </c>
      <c r="M451" s="717"/>
      <c r="N451" s="119"/>
      <c r="O451" s="119"/>
      <c r="P451" s="119"/>
      <c r="Q451" s="119"/>
      <c r="R451" s="168"/>
      <c r="S451" s="36"/>
      <c r="T451" s="128"/>
      <c r="U451" s="128"/>
      <c r="V451" s="129"/>
    </row>
    <row r="452" spans="2:22" x14ac:dyDescent="0.25">
      <c r="B452" s="725" t="s">
        <v>287</v>
      </c>
      <c r="C452" s="725"/>
      <c r="D452" s="725"/>
      <c r="E452" s="725"/>
      <c r="F452" s="725"/>
      <c r="G452" s="169">
        <v>1</v>
      </c>
      <c r="H452" s="161" t="s">
        <v>229</v>
      </c>
      <c r="I452" s="715">
        <f>K451</f>
        <v>165</v>
      </c>
      <c r="J452" s="715"/>
      <c r="K452" s="150">
        <f>I452*G452</f>
        <v>165</v>
      </c>
      <c r="M452" s="717"/>
      <c r="N452" s="131"/>
      <c r="O452" s="131"/>
      <c r="P452" s="131"/>
      <c r="Q452" s="131"/>
      <c r="R452" s="18"/>
      <c r="S452" s="18"/>
      <c r="T452" s="130"/>
      <c r="U452" s="130"/>
      <c r="V452" s="132"/>
    </row>
    <row r="453" spans="2:22" x14ac:dyDescent="0.25">
      <c r="B453" s="716"/>
      <c r="C453" s="716"/>
      <c r="D453" s="716"/>
      <c r="E453" s="716"/>
      <c r="F453" s="716"/>
      <c r="G453" s="716"/>
      <c r="H453" s="716"/>
      <c r="I453" s="716"/>
      <c r="J453" s="716"/>
      <c r="K453" s="716"/>
      <c r="M453" s="548"/>
      <c r="N453" s="119"/>
      <c r="O453" s="119"/>
      <c r="P453" s="119"/>
      <c r="Q453" s="119"/>
      <c r="R453" s="168"/>
      <c r="S453" s="36"/>
      <c r="T453" s="128"/>
      <c r="U453" s="128"/>
      <c r="V453" s="129"/>
    </row>
    <row r="454" spans="2:22" x14ac:dyDescent="0.25">
      <c r="B454" s="614" t="s">
        <v>288</v>
      </c>
      <c r="C454" s="614"/>
      <c r="D454" s="614"/>
      <c r="E454" s="614"/>
      <c r="F454" s="614"/>
      <c r="G454" s="614"/>
      <c r="H454" s="614"/>
      <c r="I454" s="614"/>
      <c r="J454" s="614"/>
      <c r="K454" s="182">
        <f>SUM(I452,I439,I428,I414,I401,I392)</f>
        <v>1806.987205749354</v>
      </c>
      <c r="M454" s="548"/>
      <c r="N454" s="119"/>
      <c r="O454" s="119"/>
      <c r="P454" s="119"/>
      <c r="Q454" s="119"/>
      <c r="R454" s="36"/>
      <c r="S454" s="36"/>
      <c r="T454" s="128"/>
      <c r="U454" s="119"/>
      <c r="V454" s="129"/>
    </row>
    <row r="455" spans="2:22" x14ac:dyDescent="0.25">
      <c r="B455" s="614" t="s">
        <v>289</v>
      </c>
      <c r="C455" s="614"/>
      <c r="D455" s="614"/>
      <c r="E455" s="614"/>
      <c r="F455" s="614"/>
      <c r="G455" s="614"/>
      <c r="H455" s="614"/>
      <c r="I455" s="614"/>
      <c r="J455" s="614"/>
      <c r="K455" s="182">
        <f>SUM(K452,K439,K428,K414,K401,K392)</f>
        <v>1806.987205749354</v>
      </c>
      <c r="M455" s="568"/>
      <c r="N455" s="131"/>
      <c r="O455" s="131"/>
      <c r="P455" s="131"/>
      <c r="Q455" s="131"/>
      <c r="R455" s="18"/>
      <c r="S455" s="18"/>
      <c r="T455" s="130"/>
      <c r="U455" s="130"/>
      <c r="V455" s="132"/>
    </row>
    <row r="456" spans="2:22" x14ac:dyDescent="0.25">
      <c r="B456" s="181"/>
      <c r="C456" s="181"/>
      <c r="D456" s="181"/>
      <c r="E456" s="181"/>
      <c r="F456" s="181"/>
      <c r="G456" s="181"/>
      <c r="H456" s="181"/>
      <c r="I456" s="181"/>
      <c r="J456" s="181"/>
      <c r="K456" s="181"/>
      <c r="M456" s="548"/>
      <c r="N456" s="119"/>
      <c r="O456" s="119"/>
      <c r="P456" s="119"/>
      <c r="Q456" s="119"/>
      <c r="R456" s="168"/>
      <c r="S456" s="36"/>
      <c r="T456" s="128"/>
      <c r="U456" s="128"/>
      <c r="V456" s="129"/>
    </row>
    <row r="457" spans="2:22" ht="15" customHeight="1" x14ac:dyDescent="0.25">
      <c r="B457" s="597" t="s">
        <v>290</v>
      </c>
      <c r="C457" s="597"/>
      <c r="D457" s="597"/>
      <c r="E457" s="597"/>
      <c r="F457" s="597"/>
      <c r="G457" s="597"/>
      <c r="H457" s="597"/>
      <c r="I457" s="597"/>
      <c r="J457" s="597"/>
      <c r="K457" s="111">
        <f>K455</f>
        <v>1806.987205749354</v>
      </c>
      <c r="M457" s="565"/>
      <c r="N457" s="131"/>
      <c r="O457" s="131"/>
      <c r="P457" s="131"/>
      <c r="Q457" s="131"/>
      <c r="R457" s="18"/>
      <c r="S457" s="18"/>
      <c r="T457" s="130"/>
      <c r="U457" s="130"/>
      <c r="V457" s="132"/>
    </row>
    <row r="458" spans="2:22" x14ac:dyDescent="0.25">
      <c r="M458" s="548"/>
      <c r="N458" s="119"/>
      <c r="O458" s="119"/>
      <c r="P458" s="119"/>
      <c r="Q458" s="119"/>
      <c r="R458" s="168"/>
      <c r="S458" s="36"/>
      <c r="T458" s="128"/>
      <c r="U458" s="128"/>
      <c r="V458" s="129"/>
    </row>
    <row r="459" spans="2:22" ht="15" customHeight="1" x14ac:dyDescent="0.25">
      <c r="B459" s="597" t="s">
        <v>291</v>
      </c>
      <c r="C459" s="597"/>
      <c r="D459" s="597"/>
      <c r="E459" s="597"/>
      <c r="F459" s="597"/>
      <c r="G459" s="597"/>
      <c r="H459" s="597"/>
      <c r="I459" s="597"/>
      <c r="J459" s="597"/>
      <c r="K459" s="111">
        <f>SUM(K457,K366,K305)</f>
        <v>105081.70832193941</v>
      </c>
      <c r="L459" s="541"/>
      <c r="M459" s="548"/>
      <c r="N459" s="131"/>
      <c r="O459" s="131"/>
      <c r="P459" s="131"/>
      <c r="Q459" s="131"/>
      <c r="R459" s="18"/>
      <c r="S459" s="18"/>
      <c r="T459" s="130"/>
      <c r="U459" s="130"/>
      <c r="V459" s="132"/>
    </row>
    <row r="460" spans="2:22" x14ac:dyDescent="0.25">
      <c r="M460" s="548"/>
      <c r="N460" s="119"/>
      <c r="O460" s="119"/>
      <c r="P460" s="119"/>
      <c r="Q460" s="119"/>
      <c r="R460" s="168"/>
      <c r="S460" s="36"/>
      <c r="T460" s="128"/>
      <c r="U460" s="128"/>
      <c r="V460" s="129"/>
    </row>
    <row r="461" spans="2:22" x14ac:dyDescent="0.25">
      <c r="M461" s="565"/>
      <c r="N461" s="131"/>
      <c r="O461" s="131"/>
      <c r="P461" s="131"/>
      <c r="Q461" s="131"/>
      <c r="R461" s="18"/>
      <c r="S461" s="18"/>
      <c r="T461" s="130"/>
      <c r="U461" s="130"/>
      <c r="V461" s="132"/>
    </row>
    <row r="462" spans="2:22" x14ac:dyDescent="0.25">
      <c r="B462" s="601" t="s">
        <v>292</v>
      </c>
      <c r="C462" s="601"/>
      <c r="D462" s="601"/>
      <c r="E462" s="601"/>
      <c r="F462" s="601"/>
      <c r="G462" s="601"/>
      <c r="H462" s="601"/>
      <c r="I462" s="601"/>
      <c r="J462" s="601"/>
      <c r="K462" s="601"/>
      <c r="M462" s="548"/>
      <c r="N462" s="119"/>
      <c r="O462" s="119"/>
      <c r="P462" s="119"/>
      <c r="Q462" s="119"/>
      <c r="R462" s="168"/>
      <c r="S462" s="36"/>
      <c r="T462" s="128"/>
      <c r="U462" s="128"/>
      <c r="V462" s="129"/>
    </row>
    <row r="463" spans="2:22" x14ac:dyDescent="0.25">
      <c r="B463" s="707"/>
      <c r="C463" s="707"/>
      <c r="D463" s="707"/>
      <c r="E463" s="707"/>
      <c r="F463" s="707"/>
      <c r="G463" s="707"/>
      <c r="H463" s="707"/>
      <c r="I463" s="707"/>
      <c r="J463" s="707"/>
      <c r="K463" s="707"/>
      <c r="M463" s="548"/>
      <c r="N463" s="119"/>
      <c r="O463" s="119"/>
      <c r="P463" s="119"/>
      <c r="Q463" s="119"/>
      <c r="R463" s="36"/>
      <c r="S463" s="36"/>
      <c r="T463" s="128"/>
      <c r="U463" s="119"/>
      <c r="V463" s="129"/>
    </row>
    <row r="464" spans="2:22" x14ac:dyDescent="0.25">
      <c r="B464" s="605" t="s">
        <v>174</v>
      </c>
      <c r="C464" s="605"/>
      <c r="D464" s="605"/>
      <c r="E464" s="605"/>
      <c r="F464" s="605"/>
      <c r="G464" s="138" t="s">
        <v>128</v>
      </c>
      <c r="H464" s="138" t="s">
        <v>129</v>
      </c>
      <c r="I464" s="605" t="s">
        <v>226</v>
      </c>
      <c r="J464" s="605"/>
      <c r="K464" s="138" t="s">
        <v>293</v>
      </c>
      <c r="M464" s="565"/>
      <c r="N464" s="131"/>
      <c r="O464" s="131"/>
      <c r="P464" s="131"/>
      <c r="Q464" s="131"/>
      <c r="R464" s="18"/>
      <c r="S464" s="18"/>
      <c r="T464" s="130"/>
      <c r="U464" s="130"/>
      <c r="V464" s="132"/>
    </row>
    <row r="465" spans="2:22" x14ac:dyDescent="0.25">
      <c r="B465" s="710" t="s">
        <v>294</v>
      </c>
      <c r="C465" s="710"/>
      <c r="D465" s="710"/>
      <c r="E465" s="710"/>
      <c r="F465" s="710"/>
      <c r="G465" s="115"/>
      <c r="H465" s="115"/>
      <c r="I465" s="711"/>
      <c r="J465" s="711"/>
      <c r="K465" s="183">
        <v>10000</v>
      </c>
      <c r="M465" s="548"/>
      <c r="N465" s="119"/>
      <c r="O465" s="119"/>
      <c r="P465" s="119"/>
      <c r="Q465" s="119"/>
      <c r="R465" s="168"/>
      <c r="S465" s="36"/>
      <c r="T465" s="128"/>
      <c r="U465" s="128"/>
      <c r="V465" s="129"/>
    </row>
    <row r="466" spans="2:22" x14ac:dyDescent="0.25">
      <c r="B466" s="604" t="s">
        <v>295</v>
      </c>
      <c r="C466" s="604"/>
      <c r="D466" s="604"/>
      <c r="E466" s="604"/>
      <c r="F466" s="604"/>
      <c r="G466" s="5"/>
      <c r="H466" s="5"/>
      <c r="I466" s="688"/>
      <c r="J466" s="688"/>
      <c r="K466" s="177">
        <v>5000</v>
      </c>
      <c r="M466" s="565"/>
      <c r="N466" s="131"/>
      <c r="O466" s="131"/>
      <c r="P466" s="131"/>
      <c r="Q466" s="131"/>
      <c r="R466" s="18"/>
      <c r="S466" s="18"/>
      <c r="T466" s="130"/>
      <c r="U466" s="130"/>
      <c r="V466" s="132"/>
    </row>
    <row r="467" spans="2:22" x14ac:dyDescent="0.25">
      <c r="B467" s="712" t="s">
        <v>296</v>
      </c>
      <c r="C467" s="712"/>
      <c r="D467" s="712"/>
      <c r="E467" s="712"/>
      <c r="F467" s="712"/>
      <c r="G467" s="112"/>
      <c r="H467" s="112"/>
      <c r="I467" s="713"/>
      <c r="J467" s="713"/>
      <c r="K467" s="184">
        <v>2000</v>
      </c>
      <c r="M467" s="548"/>
      <c r="N467" s="119"/>
      <c r="O467" s="119"/>
      <c r="P467" s="119"/>
      <c r="Q467" s="119"/>
      <c r="R467" s="168"/>
      <c r="S467" s="36"/>
      <c r="T467" s="128"/>
      <c r="U467" s="128"/>
      <c r="V467" s="129"/>
    </row>
    <row r="468" spans="2:22" x14ac:dyDescent="0.25">
      <c r="B468" s="714" t="s">
        <v>297</v>
      </c>
      <c r="C468" s="714"/>
      <c r="D468" s="714"/>
      <c r="E468" s="714"/>
      <c r="F468" s="714"/>
      <c r="G468" s="714"/>
      <c r="H468" s="714"/>
      <c r="I468" s="714"/>
      <c r="J468" s="714"/>
      <c r="K468" s="185">
        <f>SUM(K465:K467)</f>
        <v>17000</v>
      </c>
      <c r="M468" s="565"/>
      <c r="N468" s="131"/>
      <c r="O468" s="131"/>
      <c r="P468" s="131"/>
      <c r="Q468" s="131"/>
      <c r="R468" s="18"/>
      <c r="S468" s="18"/>
      <c r="T468" s="130"/>
      <c r="U468" s="130"/>
      <c r="V468" s="132"/>
    </row>
    <row r="469" spans="2:22" x14ac:dyDescent="0.25">
      <c r="B469" s="186"/>
      <c r="C469" s="186"/>
      <c r="D469" s="186"/>
      <c r="E469" s="186"/>
      <c r="F469" s="186"/>
      <c r="I469" s="1"/>
      <c r="J469" s="1"/>
      <c r="K469" s="109"/>
      <c r="M469" s="548"/>
      <c r="N469" s="119"/>
      <c r="O469" s="119"/>
      <c r="P469" s="119"/>
      <c r="Q469" s="119"/>
      <c r="R469" s="168"/>
      <c r="S469" s="36"/>
      <c r="T469" s="128"/>
      <c r="U469" s="128"/>
      <c r="V469" s="129"/>
    </row>
    <row r="470" spans="2:22" x14ac:dyDescent="0.25">
      <c r="B470" s="186"/>
      <c r="C470" s="186"/>
      <c r="D470" s="186"/>
      <c r="E470" s="186"/>
      <c r="F470" s="186"/>
      <c r="I470" s="1"/>
      <c r="J470" s="1"/>
      <c r="K470" s="109"/>
      <c r="M470" s="565"/>
      <c r="N470" s="131"/>
      <c r="O470" s="131"/>
      <c r="P470" s="131"/>
      <c r="Q470" s="131"/>
      <c r="R470" s="18"/>
      <c r="S470" s="18"/>
      <c r="T470" s="130"/>
      <c r="U470" s="130"/>
      <c r="V470" s="132"/>
    </row>
    <row r="471" spans="2:22" ht="15" customHeight="1" x14ac:dyDescent="0.25">
      <c r="B471" s="597" t="s">
        <v>298</v>
      </c>
      <c r="C471" s="597"/>
      <c r="D471" s="597"/>
      <c r="E471" s="597"/>
      <c r="F471" s="597"/>
      <c r="G471" s="597"/>
      <c r="H471" s="597"/>
      <c r="I471" s="597"/>
      <c r="J471" s="597"/>
      <c r="K471" s="111">
        <f>K459+K468</f>
        <v>122081.70832193941</v>
      </c>
      <c r="M471" s="548"/>
      <c r="N471" s="119"/>
      <c r="O471" s="119"/>
      <c r="P471" s="119"/>
      <c r="Q471" s="119"/>
      <c r="R471" s="168"/>
      <c r="S471" s="36"/>
      <c r="T471" s="128"/>
      <c r="U471" s="128"/>
      <c r="V471" s="129"/>
    </row>
    <row r="472" spans="2:22" x14ac:dyDescent="0.25">
      <c r="B472" s="186"/>
      <c r="C472" s="186"/>
      <c r="D472" s="186"/>
      <c r="E472" s="186"/>
      <c r="F472" s="186"/>
      <c r="I472" s="1"/>
      <c r="J472" s="1"/>
      <c r="K472" s="109"/>
      <c r="M472" s="548"/>
      <c r="N472" s="119"/>
      <c r="O472" s="119"/>
      <c r="P472" s="119"/>
      <c r="Q472" s="119"/>
      <c r="R472" s="36"/>
      <c r="S472" s="36"/>
      <c r="T472" s="128"/>
      <c r="U472" s="119"/>
      <c r="V472" s="129"/>
    </row>
    <row r="473" spans="2:22" x14ac:dyDescent="0.25">
      <c r="B473" s="120"/>
      <c r="C473" s="120"/>
      <c r="D473" s="120"/>
      <c r="E473" s="120"/>
      <c r="F473" s="120"/>
      <c r="G473" s="120"/>
      <c r="H473" s="120"/>
      <c r="I473" s="120"/>
      <c r="J473" s="120"/>
      <c r="K473" s="120"/>
      <c r="M473" s="565"/>
      <c r="N473" s="131"/>
      <c r="O473" s="131"/>
      <c r="P473" s="131"/>
      <c r="Q473" s="131"/>
      <c r="R473" s="18"/>
      <c r="S473" s="18"/>
      <c r="T473" s="131"/>
      <c r="U473" s="131"/>
      <c r="V473" s="132"/>
    </row>
    <row r="474" spans="2:22" x14ac:dyDescent="0.25">
      <c r="B474" s="601" t="s">
        <v>299</v>
      </c>
      <c r="C474" s="601"/>
      <c r="D474" s="601"/>
      <c r="E474" s="601"/>
      <c r="F474" s="601"/>
      <c r="G474" s="601"/>
      <c r="H474" s="601"/>
      <c r="I474" s="601"/>
      <c r="J474" s="601"/>
      <c r="K474" s="601"/>
      <c r="M474" s="548"/>
      <c r="N474" s="119"/>
      <c r="O474" s="119"/>
      <c r="P474" s="119"/>
      <c r="Q474" s="119"/>
      <c r="R474" s="36"/>
      <c r="S474" s="36"/>
      <c r="T474" s="128"/>
      <c r="U474" s="119"/>
      <c r="V474" s="129"/>
    </row>
    <row r="475" spans="2:22" x14ac:dyDescent="0.25">
      <c r="B475" s="120"/>
      <c r="C475" s="120"/>
      <c r="D475" s="120"/>
      <c r="E475" s="120"/>
      <c r="F475" s="120"/>
      <c r="G475" s="120"/>
      <c r="H475" s="120"/>
      <c r="I475" s="120"/>
      <c r="J475" s="120"/>
      <c r="K475" s="120"/>
      <c r="M475" s="565"/>
      <c r="N475" s="131"/>
      <c r="O475" s="131"/>
      <c r="P475" s="131"/>
      <c r="Q475" s="131"/>
      <c r="R475" s="18"/>
      <c r="S475" s="18"/>
      <c r="T475" s="130"/>
      <c r="U475" s="130"/>
      <c r="V475" s="132"/>
    </row>
    <row r="476" spans="2:22" x14ac:dyDescent="0.25">
      <c r="B476" s="602" t="s">
        <v>174</v>
      </c>
      <c r="C476" s="602"/>
      <c r="D476" s="602"/>
      <c r="E476" s="602"/>
      <c r="F476" s="602"/>
      <c r="G476" s="61" t="s">
        <v>128</v>
      </c>
      <c r="H476" s="45" t="s">
        <v>129</v>
      </c>
      <c r="I476" s="602" t="s">
        <v>300</v>
      </c>
      <c r="J476" s="602"/>
      <c r="K476" s="45" t="s">
        <v>301</v>
      </c>
      <c r="M476" s="548"/>
      <c r="N476" s="119"/>
      <c r="O476" s="119"/>
      <c r="P476" s="119"/>
      <c r="Q476" s="119"/>
      <c r="R476" s="36"/>
      <c r="S476" s="36"/>
      <c r="T476" s="187"/>
      <c r="U476" s="187"/>
      <c r="V476" s="129"/>
    </row>
    <row r="477" spans="2:22" x14ac:dyDescent="0.25">
      <c r="B477" s="705" t="s">
        <v>86</v>
      </c>
      <c r="C477" s="705"/>
      <c r="D477" s="705"/>
      <c r="E477" s="705"/>
      <c r="F477" s="705"/>
      <c r="G477" s="188">
        <f>'9 - BDI'!D15</f>
        <v>0.27689893995634196</v>
      </c>
      <c r="H477" s="188" t="s">
        <v>89</v>
      </c>
      <c r="I477" s="706">
        <f>K471</f>
        <v>122081.70832193941</v>
      </c>
      <c r="J477" s="706"/>
      <c r="K477" s="137">
        <f>I477*G477</f>
        <v>33804.295622404352</v>
      </c>
      <c r="M477" s="565"/>
      <c r="N477" s="131"/>
      <c r="O477" s="131"/>
      <c r="P477" s="131"/>
      <c r="Q477" s="131"/>
      <c r="R477" s="18"/>
      <c r="S477" s="18"/>
      <c r="T477" s="130"/>
      <c r="U477" s="130"/>
      <c r="V477" s="132"/>
    </row>
    <row r="478" spans="2:22" x14ac:dyDescent="0.25">
      <c r="B478" s="600" t="s">
        <v>302</v>
      </c>
      <c r="C478" s="600"/>
      <c r="D478" s="600"/>
      <c r="E478" s="600"/>
      <c r="F478" s="600"/>
      <c r="G478" s="600"/>
      <c r="H478" s="600"/>
      <c r="I478" s="600"/>
      <c r="J478" s="600"/>
      <c r="K478" s="189">
        <f>SUM(K477)</f>
        <v>33804.295622404352</v>
      </c>
      <c r="M478" s="548"/>
      <c r="N478" s="119"/>
      <c r="O478" s="119"/>
      <c r="P478" s="119"/>
      <c r="Q478" s="119"/>
      <c r="R478" s="36"/>
      <c r="S478" s="36"/>
      <c r="T478" s="187"/>
      <c r="U478" s="187"/>
      <c r="V478" s="129"/>
    </row>
    <row r="479" spans="2:22" x14ac:dyDescent="0.25">
      <c r="G479" s="12"/>
      <c r="H479" s="12"/>
      <c r="I479" s="190"/>
      <c r="J479" s="190"/>
      <c r="K479" s="13"/>
      <c r="M479" s="549"/>
      <c r="N479" s="120"/>
      <c r="O479" s="120"/>
      <c r="P479" s="120"/>
      <c r="Q479" s="120"/>
      <c r="R479" s="120"/>
      <c r="S479" s="120"/>
      <c r="T479" s="120"/>
      <c r="U479" s="120"/>
      <c r="V479" s="124"/>
    </row>
    <row r="480" spans="2:22" x14ac:dyDescent="0.25">
      <c r="B480" s="120"/>
      <c r="C480" s="120"/>
      <c r="D480" s="120"/>
      <c r="E480" s="120"/>
      <c r="F480" s="120"/>
      <c r="G480" s="12"/>
      <c r="H480" s="12"/>
      <c r="I480" s="190"/>
      <c r="J480" s="190"/>
      <c r="K480" s="109"/>
      <c r="M480" s="549"/>
      <c r="N480" s="120"/>
      <c r="O480" s="120"/>
      <c r="P480" s="120"/>
      <c r="Q480" s="120"/>
      <c r="R480" s="120"/>
      <c r="S480" s="120"/>
      <c r="T480" s="120"/>
      <c r="U480" s="120"/>
      <c r="V480" s="120"/>
    </row>
    <row r="481" spans="1:22" ht="15" customHeight="1" x14ac:dyDescent="0.25">
      <c r="B481" s="597" t="s">
        <v>303</v>
      </c>
      <c r="C481" s="597"/>
      <c r="D481" s="597"/>
      <c r="E481" s="597"/>
      <c r="F481" s="597"/>
      <c r="G481" s="597"/>
      <c r="H481" s="597"/>
      <c r="I481" s="597"/>
      <c r="J481" s="597"/>
      <c r="K481" s="111">
        <f>K471+K478</f>
        <v>155886.00394434377</v>
      </c>
      <c r="M481" s="548"/>
      <c r="N481" s="119"/>
      <c r="O481" s="119"/>
      <c r="P481" s="119"/>
      <c r="Q481" s="119"/>
      <c r="R481" s="119"/>
      <c r="S481" s="119"/>
      <c r="T481" s="119"/>
      <c r="U481" s="119"/>
      <c r="V481" s="119"/>
    </row>
    <row r="482" spans="1:22" x14ac:dyDescent="0.25">
      <c r="M482" s="550"/>
      <c r="N482" s="119"/>
      <c r="O482" s="119"/>
      <c r="P482" s="119"/>
      <c r="Q482" s="119"/>
      <c r="R482" s="36"/>
      <c r="S482" s="36"/>
      <c r="T482" s="119"/>
      <c r="U482" s="119"/>
      <c r="V482" s="36"/>
    </row>
    <row r="483" spans="1:22" x14ac:dyDescent="0.25">
      <c r="M483" s="548"/>
      <c r="N483" s="119"/>
      <c r="O483" s="119"/>
      <c r="P483" s="119"/>
      <c r="Q483" s="119"/>
      <c r="R483" s="36"/>
      <c r="S483" s="36"/>
      <c r="T483" s="128"/>
      <c r="U483" s="119"/>
      <c r="V483" s="129"/>
    </row>
    <row r="484" spans="1:22" x14ac:dyDescent="0.25">
      <c r="B484" s="672" t="s">
        <v>304</v>
      </c>
      <c r="C484" s="672"/>
      <c r="D484" s="672"/>
      <c r="E484" s="672"/>
      <c r="F484" s="672"/>
      <c r="G484" s="672"/>
      <c r="H484" s="672"/>
      <c r="I484" s="672"/>
      <c r="J484" s="672"/>
      <c r="K484" s="672"/>
      <c r="M484" s="565"/>
      <c r="N484" s="131"/>
      <c r="O484" s="131"/>
      <c r="P484" s="131"/>
      <c r="Q484" s="131"/>
      <c r="R484" s="18"/>
      <c r="S484" s="18"/>
      <c r="T484" s="136"/>
      <c r="U484" s="136"/>
      <c r="V484" s="191"/>
    </row>
    <row r="485" spans="1:22" x14ac:dyDescent="0.25">
      <c r="B485" s="707"/>
      <c r="C485" s="707"/>
      <c r="D485" s="707"/>
      <c r="E485" s="707"/>
      <c r="F485" s="707"/>
      <c r="G485" s="707"/>
      <c r="H485" s="707"/>
      <c r="I485" s="707"/>
      <c r="J485" s="707"/>
      <c r="K485" s="707"/>
      <c r="M485" s="565"/>
      <c r="N485" s="131"/>
      <c r="O485" s="131"/>
      <c r="P485" s="131"/>
      <c r="Q485" s="131"/>
      <c r="R485" s="18"/>
      <c r="S485" s="18"/>
      <c r="T485" s="131"/>
      <c r="U485" s="131"/>
      <c r="V485" s="18"/>
    </row>
    <row r="486" spans="1:22" ht="30" x14ac:dyDescent="0.25">
      <c r="B486" s="708" t="s">
        <v>305</v>
      </c>
      <c r="C486" s="708"/>
      <c r="D486" s="708"/>
      <c r="E486" s="708"/>
      <c r="F486" s="708"/>
      <c r="G486" s="709" t="s">
        <v>306</v>
      </c>
      <c r="H486" s="709"/>
      <c r="I486" s="708" t="s">
        <v>89</v>
      </c>
      <c r="J486" s="708"/>
      <c r="K486" s="192" t="s">
        <v>307</v>
      </c>
      <c r="M486" s="565"/>
      <c r="N486" s="131"/>
      <c r="O486" s="131"/>
      <c r="P486" s="131"/>
      <c r="Q486" s="131"/>
      <c r="R486" s="18"/>
      <c r="S486" s="18"/>
      <c r="T486" s="193"/>
      <c r="U486" s="193"/>
      <c r="V486" s="132"/>
    </row>
    <row r="487" spans="1:22" x14ac:dyDescent="0.25">
      <c r="B487" s="699" t="s">
        <v>308</v>
      </c>
      <c r="C487" s="699"/>
      <c r="D487" s="699"/>
      <c r="E487" s="699"/>
      <c r="F487" s="699"/>
      <c r="G487" s="700">
        <v>1188365.99</v>
      </c>
      <c r="H487" s="700"/>
      <c r="I487" s="701">
        <f>G487/G491</f>
        <v>0.54885365972321676</v>
      </c>
      <c r="J487" s="701"/>
      <c r="K487" s="194">
        <f>K481*$I$487</f>
        <v>85558.603764480882</v>
      </c>
      <c r="M487" s="565"/>
      <c r="N487" s="131"/>
      <c r="O487" s="131"/>
      <c r="P487" s="131"/>
      <c r="Q487" s="131"/>
      <c r="R487" s="163"/>
      <c r="S487" s="18"/>
      <c r="T487" s="131"/>
      <c r="U487" s="131"/>
      <c r="V487" s="18"/>
    </row>
    <row r="488" spans="1:22" x14ac:dyDescent="0.25">
      <c r="B488" s="702" t="s">
        <v>309</v>
      </c>
      <c r="C488" s="702"/>
      <c r="D488" s="702"/>
      <c r="E488" s="702"/>
      <c r="F488" s="702"/>
      <c r="G488" s="703">
        <v>581527.79</v>
      </c>
      <c r="H488" s="703"/>
      <c r="I488" s="704">
        <f>G488/G491</f>
        <v>0.26858195072736329</v>
      </c>
      <c r="J488" s="704"/>
      <c r="K488" s="195">
        <f>K481*I488</f>
        <v>41868.167030465302</v>
      </c>
      <c r="M488" s="565"/>
      <c r="N488" s="131"/>
      <c r="O488" s="131"/>
      <c r="P488" s="131"/>
      <c r="Q488" s="131"/>
      <c r="R488" s="163"/>
      <c r="S488" s="18"/>
      <c r="T488" s="131"/>
      <c r="U488" s="131"/>
      <c r="V488" s="18"/>
    </row>
    <row r="489" spans="1:22" x14ac:dyDescent="0.25">
      <c r="B489" s="702" t="s">
        <v>310</v>
      </c>
      <c r="C489" s="702"/>
      <c r="D489" s="702"/>
      <c r="E489" s="702"/>
      <c r="F489" s="702"/>
      <c r="G489" s="703">
        <v>351607.43</v>
      </c>
      <c r="H489" s="703"/>
      <c r="I489" s="704">
        <f>G489/G491</f>
        <v>0.16239191155359028</v>
      </c>
      <c r="J489" s="704"/>
      <c r="K489" s="195">
        <f>K481*I489</f>
        <v>25314.626164972498</v>
      </c>
      <c r="M489" s="565"/>
      <c r="N489" s="131"/>
      <c r="O489" s="131"/>
      <c r="P489" s="131"/>
      <c r="Q489" s="131"/>
      <c r="R489" s="163"/>
      <c r="S489" s="18"/>
      <c r="T489" s="130"/>
      <c r="U489" s="131"/>
      <c r="V489" s="132"/>
    </row>
    <row r="490" spans="1:22" x14ac:dyDescent="0.25">
      <c r="B490" s="693" t="s">
        <v>311</v>
      </c>
      <c r="C490" s="693"/>
      <c r="D490" s="693"/>
      <c r="E490" s="693"/>
      <c r="F490" s="693"/>
      <c r="G490" s="694">
        <v>43677.01</v>
      </c>
      <c r="H490" s="694"/>
      <c r="I490" s="695">
        <f>G490/G491</f>
        <v>2.0172477995829833E-2</v>
      </c>
      <c r="J490" s="695"/>
      <c r="K490" s="196">
        <f>K481*I490</f>
        <v>3144.6069844251174</v>
      </c>
      <c r="M490" s="548"/>
      <c r="N490" s="119"/>
      <c r="O490" s="119"/>
      <c r="P490" s="119"/>
      <c r="Q490" s="119"/>
      <c r="R490" s="168"/>
      <c r="S490" s="36"/>
      <c r="T490" s="128"/>
      <c r="U490" s="119"/>
      <c r="V490" s="129"/>
    </row>
    <row r="491" spans="1:22" x14ac:dyDescent="0.25">
      <c r="B491" s="696" t="s">
        <v>34</v>
      </c>
      <c r="C491" s="696"/>
      <c r="D491" s="696"/>
      <c r="E491" s="696"/>
      <c r="F491" s="696"/>
      <c r="G491" s="697">
        <f>SUM(G487:H490)</f>
        <v>2165178.2199999997</v>
      </c>
      <c r="H491" s="697"/>
      <c r="I491" s="698">
        <f>SUM(I487:J490)</f>
        <v>1.0000000000000002</v>
      </c>
      <c r="J491" s="698"/>
      <c r="K491" s="197">
        <f>SUM(K487:K490)</f>
        <v>155886.00394434377</v>
      </c>
      <c r="M491" s="548"/>
      <c r="N491" s="119"/>
      <c r="O491" s="119"/>
      <c r="P491" s="119"/>
      <c r="Q491" s="119"/>
      <c r="R491" s="36"/>
      <c r="S491" s="36"/>
      <c r="T491" s="128"/>
      <c r="U491" s="119"/>
      <c r="V491" s="129"/>
    </row>
    <row r="492" spans="1:22" x14ac:dyDescent="0.25">
      <c r="M492" s="565"/>
      <c r="N492" s="131"/>
      <c r="O492" s="131"/>
      <c r="P492" s="131"/>
      <c r="Q492" s="131"/>
      <c r="R492" s="18"/>
      <c r="S492" s="18"/>
      <c r="T492" s="136"/>
      <c r="U492" s="136"/>
      <c r="V492" s="191"/>
    </row>
    <row r="493" spans="1:22" x14ac:dyDescent="0.25">
      <c r="M493" s="565"/>
      <c r="N493" s="131"/>
      <c r="O493" s="131"/>
      <c r="P493" s="131"/>
      <c r="Q493" s="131"/>
      <c r="R493" s="18"/>
      <c r="S493" s="18"/>
      <c r="T493" s="131"/>
      <c r="U493" s="131"/>
      <c r="V493" s="18"/>
    </row>
    <row r="494" spans="1:22" x14ac:dyDescent="0.25">
      <c r="B494" s="198"/>
      <c r="K494" s="199"/>
      <c r="M494" s="565"/>
      <c r="N494" s="131"/>
      <c r="O494" s="131"/>
      <c r="P494" s="131"/>
      <c r="Q494" s="131"/>
      <c r="R494" s="18"/>
      <c r="S494" s="18"/>
      <c r="T494" s="193"/>
      <c r="U494" s="193"/>
      <c r="V494" s="132"/>
    </row>
    <row r="495" spans="1:22" x14ac:dyDescent="0.25">
      <c r="B495" s="198"/>
      <c r="M495" s="565"/>
      <c r="N495" s="131"/>
      <c r="O495" s="131"/>
      <c r="P495" s="131"/>
      <c r="Q495" s="131"/>
      <c r="R495" s="163"/>
      <c r="S495" s="18"/>
      <c r="T495" s="131"/>
      <c r="U495" s="131"/>
      <c r="V495" s="18"/>
    </row>
    <row r="496" spans="1:22" ht="21.75" customHeight="1" x14ac:dyDescent="0.25">
      <c r="A496" s="131"/>
      <c r="B496" s="598"/>
      <c r="C496" s="598"/>
      <c r="D496" s="598"/>
      <c r="E496" s="598"/>
      <c r="F496" s="598"/>
      <c r="G496" s="598"/>
      <c r="H496" s="598"/>
      <c r="I496" s="598"/>
      <c r="J496" s="598"/>
      <c r="K496" s="200"/>
      <c r="M496" s="565"/>
      <c r="N496" s="131"/>
      <c r="O496" s="131"/>
      <c r="P496" s="131"/>
      <c r="Q496" s="131"/>
      <c r="R496" s="163"/>
      <c r="S496" s="18"/>
      <c r="T496" s="131"/>
      <c r="U496" s="131"/>
      <c r="V496" s="18"/>
    </row>
    <row r="497" spans="13:22" x14ac:dyDescent="0.25">
      <c r="M497" s="565"/>
      <c r="N497" s="131"/>
      <c r="O497" s="131"/>
      <c r="P497" s="131"/>
      <c r="Q497" s="131"/>
      <c r="R497" s="163"/>
      <c r="S497" s="18"/>
      <c r="T497" s="130"/>
      <c r="U497" s="131"/>
      <c r="V497" s="132"/>
    </row>
    <row r="498" spans="13:22" x14ac:dyDescent="0.25">
      <c r="M498" s="565"/>
      <c r="N498" s="131"/>
      <c r="O498" s="131"/>
      <c r="P498" s="131"/>
      <c r="Q498" s="131"/>
      <c r="R498" s="168"/>
      <c r="S498" s="36"/>
      <c r="T498" s="128"/>
      <c r="U498" s="119"/>
      <c r="V498" s="129"/>
    </row>
    <row r="499" spans="13:22" x14ac:dyDescent="0.25">
      <c r="M499" s="548"/>
      <c r="N499" s="119"/>
      <c r="O499" s="119"/>
      <c r="P499" s="119"/>
      <c r="Q499" s="119"/>
      <c r="R499" s="36"/>
      <c r="S499" s="36"/>
      <c r="T499" s="128"/>
      <c r="U499" s="119"/>
      <c r="V499" s="129"/>
    </row>
    <row r="500" spans="13:22" x14ac:dyDescent="0.25">
      <c r="M500" s="565"/>
      <c r="N500" s="131"/>
      <c r="O500" s="131"/>
      <c r="P500" s="131"/>
      <c r="Q500" s="131"/>
      <c r="R500" s="18"/>
      <c r="S500" s="18"/>
      <c r="T500" s="136"/>
      <c r="U500" s="136"/>
      <c r="V500" s="191"/>
    </row>
    <row r="501" spans="13:22" x14ac:dyDescent="0.25">
      <c r="M501" s="565"/>
      <c r="N501" s="131"/>
      <c r="O501" s="131"/>
      <c r="P501" s="131"/>
      <c r="Q501" s="131"/>
      <c r="R501" s="18"/>
      <c r="S501" s="18"/>
      <c r="T501" s="131"/>
      <c r="U501" s="131"/>
      <c r="V501" s="18"/>
    </row>
    <row r="502" spans="13:22" x14ac:dyDescent="0.25">
      <c r="M502" s="565"/>
      <c r="N502" s="131"/>
      <c r="O502" s="131"/>
      <c r="P502" s="131"/>
      <c r="Q502" s="131"/>
      <c r="R502" s="18"/>
      <c r="S502" s="18"/>
      <c r="T502" s="193"/>
      <c r="U502" s="193"/>
      <c r="V502" s="132"/>
    </row>
    <row r="503" spans="13:22" x14ac:dyDescent="0.25">
      <c r="M503" s="565"/>
      <c r="N503" s="131"/>
      <c r="O503" s="131"/>
      <c r="P503" s="131"/>
      <c r="Q503" s="131"/>
      <c r="R503" s="163"/>
      <c r="S503" s="18"/>
      <c r="T503" s="131"/>
      <c r="U503" s="131"/>
      <c r="V503" s="18"/>
    </row>
    <row r="504" spans="13:22" x14ac:dyDescent="0.25">
      <c r="M504" s="565"/>
      <c r="N504" s="131"/>
      <c r="O504" s="131"/>
      <c r="P504" s="131"/>
      <c r="Q504" s="131"/>
      <c r="R504" s="163"/>
      <c r="S504" s="18"/>
      <c r="T504" s="131"/>
      <c r="U504" s="131"/>
      <c r="V504" s="18"/>
    </row>
    <row r="505" spans="13:22" x14ac:dyDescent="0.25">
      <c r="M505" s="565"/>
      <c r="N505" s="131"/>
      <c r="O505" s="131"/>
      <c r="P505" s="131"/>
      <c r="Q505" s="131"/>
      <c r="R505" s="163"/>
      <c r="S505" s="18"/>
      <c r="T505" s="130"/>
      <c r="U505" s="131"/>
      <c r="V505" s="132"/>
    </row>
    <row r="506" spans="13:22" x14ac:dyDescent="0.25">
      <c r="M506" s="565"/>
      <c r="N506" s="131"/>
      <c r="O506" s="131"/>
      <c r="P506" s="131"/>
      <c r="Q506" s="131"/>
      <c r="R506" s="168"/>
      <c r="S506" s="36"/>
      <c r="T506" s="128"/>
      <c r="U506" s="119"/>
      <c r="V506" s="129"/>
    </row>
    <row r="507" spans="13:22" x14ac:dyDescent="0.25">
      <c r="M507" s="549"/>
      <c r="N507" s="120"/>
      <c r="O507" s="120"/>
      <c r="P507" s="120"/>
      <c r="Q507" s="120"/>
      <c r="R507" s="36"/>
      <c r="S507" s="36"/>
      <c r="T507" s="128"/>
      <c r="U507" s="119"/>
      <c r="V507" s="129"/>
    </row>
    <row r="508" spans="13:22" x14ac:dyDescent="0.25">
      <c r="R508" s="18"/>
      <c r="S508" s="18"/>
      <c r="T508" s="136"/>
      <c r="U508" s="136"/>
      <c r="V508" s="191"/>
    </row>
    <row r="509" spans="13:22" x14ac:dyDescent="0.25">
      <c r="R509" s="163"/>
      <c r="S509" s="36"/>
      <c r="T509" s="119"/>
      <c r="U509" s="119"/>
      <c r="V509" s="36"/>
    </row>
    <row r="510" spans="13:22" x14ac:dyDescent="0.25">
      <c r="R510" s="163"/>
      <c r="S510" s="36"/>
      <c r="T510" s="201"/>
      <c r="U510" s="119"/>
      <c r="V510" s="202"/>
    </row>
    <row r="511" spans="13:22" x14ac:dyDescent="0.25">
      <c r="R511" s="168"/>
      <c r="S511" s="18"/>
      <c r="T511" s="201"/>
      <c r="U511" s="119"/>
      <c r="V511" s="202"/>
    </row>
    <row r="512" spans="13:22" x14ac:dyDescent="0.25">
      <c r="M512" s="549"/>
      <c r="N512" s="120"/>
      <c r="O512" s="120"/>
      <c r="P512" s="120"/>
      <c r="Q512" s="120"/>
      <c r="R512" s="120"/>
      <c r="S512" s="120"/>
      <c r="T512" s="120"/>
      <c r="U512" s="120"/>
      <c r="V512" s="129"/>
    </row>
    <row r="514" spans="13:22" x14ac:dyDescent="0.25">
      <c r="M514" s="548"/>
      <c r="N514" s="119"/>
      <c r="O514" s="119"/>
      <c r="P514" s="119"/>
      <c r="Q514" s="119"/>
      <c r="R514" s="119"/>
      <c r="S514" s="119"/>
      <c r="T514" s="119"/>
      <c r="U514" s="119"/>
      <c r="V514" s="119"/>
    </row>
    <row r="515" spans="13:22" x14ac:dyDescent="0.25">
      <c r="M515" s="550"/>
      <c r="N515" s="119"/>
      <c r="O515" s="119"/>
      <c r="P515" s="119"/>
      <c r="Q515" s="119"/>
      <c r="R515" s="36"/>
      <c r="S515" s="36"/>
      <c r="T515" s="119"/>
      <c r="U515" s="119"/>
      <c r="V515" s="36"/>
    </row>
    <row r="516" spans="13:22" x14ac:dyDescent="0.25">
      <c r="R516" s="203"/>
      <c r="S516" s="1"/>
      <c r="T516" s="121"/>
      <c r="U516" s="121"/>
      <c r="V516" s="13"/>
    </row>
    <row r="517" spans="13:22" x14ac:dyDescent="0.25">
      <c r="R517" s="203"/>
      <c r="S517" s="1"/>
      <c r="T517" s="121"/>
      <c r="U517" s="121"/>
      <c r="V517" s="13"/>
    </row>
    <row r="518" spans="13:22" x14ac:dyDescent="0.25">
      <c r="R518" s="203"/>
      <c r="S518" s="1"/>
      <c r="T518" s="121"/>
      <c r="U518" s="121"/>
      <c r="V518" s="13"/>
    </row>
    <row r="519" spans="13:22" x14ac:dyDescent="0.25">
      <c r="R519" s="203"/>
      <c r="S519" s="1"/>
      <c r="T519" s="121"/>
      <c r="U519" s="121"/>
      <c r="V519" s="13"/>
    </row>
    <row r="520" spans="13:22" x14ac:dyDescent="0.25">
      <c r="M520" s="549"/>
      <c r="N520" s="120"/>
      <c r="O520" s="120"/>
      <c r="P520" s="120"/>
      <c r="Q520" s="120"/>
      <c r="R520" s="120"/>
      <c r="S520" s="120"/>
      <c r="T520" s="120"/>
      <c r="U520" s="120"/>
      <c r="V520" s="129"/>
    </row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575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C18:G18"/>
    <mergeCell ref="I18:J18"/>
    <mergeCell ref="C19:G19"/>
    <mergeCell ref="I19:J19"/>
    <mergeCell ref="C20:G20"/>
    <mergeCell ref="I20:J20"/>
    <mergeCell ref="C21:G21"/>
    <mergeCell ref="I21:J21"/>
    <mergeCell ref="C22:G22"/>
    <mergeCell ref="I22:J22"/>
    <mergeCell ref="C23:G23"/>
    <mergeCell ref="I23:J23"/>
    <mergeCell ref="C24:G24"/>
    <mergeCell ref="I24:J24"/>
    <mergeCell ref="C25:G25"/>
    <mergeCell ref="I25:J25"/>
    <mergeCell ref="C26:G26"/>
    <mergeCell ref="I26:J26"/>
    <mergeCell ref="C27:G27"/>
    <mergeCell ref="I27:J27"/>
    <mergeCell ref="C28:G28"/>
    <mergeCell ref="I28:J28"/>
    <mergeCell ref="B29:J29"/>
    <mergeCell ref="B30:I30"/>
    <mergeCell ref="B31:I31"/>
    <mergeCell ref="B32:I32"/>
    <mergeCell ref="B33:K34"/>
    <mergeCell ref="B36:K36"/>
    <mergeCell ref="B37:K37"/>
    <mergeCell ref="B38:K38"/>
    <mergeCell ref="C39:I39"/>
    <mergeCell ref="C40:I40"/>
    <mergeCell ref="C41:I41"/>
    <mergeCell ref="C42:I42"/>
    <mergeCell ref="C43:I43"/>
    <mergeCell ref="C44:I44"/>
    <mergeCell ref="C45:I45"/>
    <mergeCell ref="C46:I46"/>
    <mergeCell ref="C47:I47"/>
    <mergeCell ref="C48:G48"/>
    <mergeCell ref="C49:G49"/>
    <mergeCell ref="C50:G50"/>
    <mergeCell ref="C51:G51"/>
    <mergeCell ref="C52:I52"/>
    <mergeCell ref="B53:J53"/>
    <mergeCell ref="B54:H54"/>
    <mergeCell ref="B56:K56"/>
    <mergeCell ref="C57:G57"/>
    <mergeCell ref="C58:G58"/>
    <mergeCell ref="C61:G61"/>
    <mergeCell ref="C62:I62"/>
    <mergeCell ref="C63:I63"/>
    <mergeCell ref="C64:I64"/>
    <mergeCell ref="C65:I65"/>
    <mergeCell ref="C66:I66"/>
    <mergeCell ref="C67:I67"/>
    <mergeCell ref="C68:I68"/>
    <mergeCell ref="C69:G69"/>
    <mergeCell ref="C70:G70"/>
    <mergeCell ref="C71:G71"/>
    <mergeCell ref="C72:G72"/>
    <mergeCell ref="C73:I73"/>
    <mergeCell ref="B74:J74"/>
    <mergeCell ref="B75:H75"/>
    <mergeCell ref="B77:K77"/>
    <mergeCell ref="C78:G78"/>
    <mergeCell ref="C79:G79"/>
    <mergeCell ref="B80:B81"/>
    <mergeCell ref="C80:G81"/>
    <mergeCell ref="C86:G86"/>
    <mergeCell ref="C87:I87"/>
    <mergeCell ref="C88:I88"/>
    <mergeCell ref="C89:I89"/>
    <mergeCell ref="C90:I90"/>
    <mergeCell ref="C91:I91"/>
    <mergeCell ref="C92:I92"/>
    <mergeCell ref="C93:I93"/>
    <mergeCell ref="C94:G94"/>
    <mergeCell ref="C95:G95"/>
    <mergeCell ref="C96:G96"/>
    <mergeCell ref="C97:G97"/>
    <mergeCell ref="C98:I98"/>
    <mergeCell ref="B99:J99"/>
    <mergeCell ref="B100:H100"/>
    <mergeCell ref="B102:K102"/>
    <mergeCell ref="C103:I103"/>
    <mergeCell ref="C104:I104"/>
    <mergeCell ref="C105:I105"/>
    <mergeCell ref="C106:I106"/>
    <mergeCell ref="C107:I107"/>
    <mergeCell ref="C108:I108"/>
    <mergeCell ref="C109:I109"/>
    <mergeCell ref="C110:I110"/>
    <mergeCell ref="C111:I111"/>
    <mergeCell ref="C112:G112"/>
    <mergeCell ref="C113:G113"/>
    <mergeCell ref="C114:G114"/>
    <mergeCell ref="C115:G115"/>
    <mergeCell ref="C116:G116"/>
    <mergeCell ref="C117:I117"/>
    <mergeCell ref="B118:J118"/>
    <mergeCell ref="B119:H119"/>
    <mergeCell ref="B121:K121"/>
    <mergeCell ref="C122:G122"/>
    <mergeCell ref="C123:G123"/>
    <mergeCell ref="C126:G126"/>
    <mergeCell ref="C127:I127"/>
    <mergeCell ref="C128:I128"/>
    <mergeCell ref="C129:I129"/>
    <mergeCell ref="C130:I130"/>
    <mergeCell ref="C131:I131"/>
    <mergeCell ref="C132:I132"/>
    <mergeCell ref="C133:I133"/>
    <mergeCell ref="C134:G134"/>
    <mergeCell ref="C135:G135"/>
    <mergeCell ref="C136:G136"/>
    <mergeCell ref="C137:G137"/>
    <mergeCell ref="C138:I138"/>
    <mergeCell ref="B139:J139"/>
    <mergeCell ref="B140:H140"/>
    <mergeCell ref="B142:K142"/>
    <mergeCell ref="C143:G143"/>
    <mergeCell ref="C144:G144"/>
    <mergeCell ref="B145:B146"/>
    <mergeCell ref="C145:G146"/>
    <mergeCell ref="C151:G151"/>
    <mergeCell ref="C152:I152"/>
    <mergeCell ref="C153:I153"/>
    <mergeCell ref="C154:I154"/>
    <mergeCell ref="C155:I155"/>
    <mergeCell ref="C156:I156"/>
    <mergeCell ref="C157:I157"/>
    <mergeCell ref="C158:I158"/>
    <mergeCell ref="C159:G159"/>
    <mergeCell ref="C160:G160"/>
    <mergeCell ref="C161:G161"/>
    <mergeCell ref="C162:G162"/>
    <mergeCell ref="C163:I163"/>
    <mergeCell ref="B164:J164"/>
    <mergeCell ref="B165:H165"/>
    <mergeCell ref="B167:K167"/>
    <mergeCell ref="C168:G168"/>
    <mergeCell ref="C169:G169"/>
    <mergeCell ref="C172:G172"/>
    <mergeCell ref="C173:I173"/>
    <mergeCell ref="C174:I174"/>
    <mergeCell ref="C175:I175"/>
    <mergeCell ref="C176:I176"/>
    <mergeCell ref="C177:I177"/>
    <mergeCell ref="C178:I178"/>
    <mergeCell ref="C179:I179"/>
    <mergeCell ref="C180:G180"/>
    <mergeCell ref="C181:G181"/>
    <mergeCell ref="C182:G182"/>
    <mergeCell ref="C183:G183"/>
    <mergeCell ref="C184:I184"/>
    <mergeCell ref="B185:J185"/>
    <mergeCell ref="B186:H186"/>
    <mergeCell ref="B188:K188"/>
    <mergeCell ref="C189:G189"/>
    <mergeCell ref="C190:G190"/>
    <mergeCell ref="B191:B192"/>
    <mergeCell ref="C191:G192"/>
    <mergeCell ref="C197:G197"/>
    <mergeCell ref="C198:I198"/>
    <mergeCell ref="C199:I199"/>
    <mergeCell ref="C200:I200"/>
    <mergeCell ref="C201:I201"/>
    <mergeCell ref="C202:I202"/>
    <mergeCell ref="C203:I203"/>
    <mergeCell ref="C204:I204"/>
    <mergeCell ref="C205:G205"/>
    <mergeCell ref="C206:G206"/>
    <mergeCell ref="C207:G207"/>
    <mergeCell ref="C208:G208"/>
    <mergeCell ref="C209:I209"/>
    <mergeCell ref="B210:J210"/>
    <mergeCell ref="B211:H211"/>
    <mergeCell ref="B213:K213"/>
    <mergeCell ref="C214:G214"/>
    <mergeCell ref="C215:G215"/>
    <mergeCell ref="C218:G218"/>
    <mergeCell ref="C219:I219"/>
    <mergeCell ref="C220:I220"/>
    <mergeCell ref="C221:I221"/>
    <mergeCell ref="C222:I222"/>
    <mergeCell ref="C223:I223"/>
    <mergeCell ref="C224:I224"/>
    <mergeCell ref="C225:I225"/>
    <mergeCell ref="C226:G226"/>
    <mergeCell ref="C227:G227"/>
    <mergeCell ref="C228:G228"/>
    <mergeCell ref="C229:G229"/>
    <mergeCell ref="C230:G230"/>
    <mergeCell ref="C231:I231"/>
    <mergeCell ref="B232:J232"/>
    <mergeCell ref="B233:H233"/>
    <mergeCell ref="B235:K235"/>
    <mergeCell ref="C236:G236"/>
    <mergeCell ref="C237:G237"/>
    <mergeCell ref="C240:G240"/>
    <mergeCell ref="C241:I241"/>
    <mergeCell ref="C242:I242"/>
    <mergeCell ref="C243:I243"/>
    <mergeCell ref="C244:I244"/>
    <mergeCell ref="C245:I245"/>
    <mergeCell ref="C246:I246"/>
    <mergeCell ref="C247:I247"/>
    <mergeCell ref="C248:G248"/>
    <mergeCell ref="C249:G249"/>
    <mergeCell ref="C250:G250"/>
    <mergeCell ref="C251:G251"/>
    <mergeCell ref="C252:G252"/>
    <mergeCell ref="C253:I253"/>
    <mergeCell ref="B254:J254"/>
    <mergeCell ref="B255:H255"/>
    <mergeCell ref="B257:K257"/>
    <mergeCell ref="C258:G258"/>
    <mergeCell ref="C259:G259"/>
    <mergeCell ref="C262:G262"/>
    <mergeCell ref="C263:I263"/>
    <mergeCell ref="C264:I264"/>
    <mergeCell ref="C265:I265"/>
    <mergeCell ref="C266:I266"/>
    <mergeCell ref="C267:I267"/>
    <mergeCell ref="C268:I268"/>
    <mergeCell ref="C269:I269"/>
    <mergeCell ref="C270:G270"/>
    <mergeCell ref="C271:G271"/>
    <mergeCell ref="C272:G272"/>
    <mergeCell ref="C273:G273"/>
    <mergeCell ref="C274:G274"/>
    <mergeCell ref="C275:I275"/>
    <mergeCell ref="B276:J276"/>
    <mergeCell ref="B277:H277"/>
    <mergeCell ref="B279:K279"/>
    <mergeCell ref="C280:G280"/>
    <mergeCell ref="C281:G281"/>
    <mergeCell ref="B282:B283"/>
    <mergeCell ref="C282:G283"/>
    <mergeCell ref="C288:G288"/>
    <mergeCell ref="C289:I289"/>
    <mergeCell ref="C290:I290"/>
    <mergeCell ref="C291:I291"/>
    <mergeCell ref="C292:I292"/>
    <mergeCell ref="C293:I293"/>
    <mergeCell ref="C294:I294"/>
    <mergeCell ref="C295:I295"/>
    <mergeCell ref="C296:G296"/>
    <mergeCell ref="C297:G297"/>
    <mergeCell ref="C298:G298"/>
    <mergeCell ref="C299:G299"/>
    <mergeCell ref="C300:G300"/>
    <mergeCell ref="C301:I301"/>
    <mergeCell ref="B302:J302"/>
    <mergeCell ref="B303:H303"/>
    <mergeCell ref="B305:J305"/>
    <mergeCell ref="B308:K308"/>
    <mergeCell ref="B310:K310"/>
    <mergeCell ref="B311:F311"/>
    <mergeCell ref="I311:J311"/>
    <mergeCell ref="B312:F312"/>
    <mergeCell ref="I312:J312"/>
    <mergeCell ref="B313:F313"/>
    <mergeCell ref="I313:J313"/>
    <mergeCell ref="B314:F314"/>
    <mergeCell ref="I314:J314"/>
    <mergeCell ref="B315:F315"/>
    <mergeCell ref="I315:J315"/>
    <mergeCell ref="B317:K317"/>
    <mergeCell ref="B318:F318"/>
    <mergeCell ref="I318:J318"/>
    <mergeCell ref="B319:F319"/>
    <mergeCell ref="I319:J319"/>
    <mergeCell ref="B320:F320"/>
    <mergeCell ref="I320:J320"/>
    <mergeCell ref="B321:F321"/>
    <mergeCell ref="I321:J321"/>
    <mergeCell ref="B322:F322"/>
    <mergeCell ref="I322:J322"/>
    <mergeCell ref="B323:F323"/>
    <mergeCell ref="I323:J323"/>
    <mergeCell ref="B324:F324"/>
    <mergeCell ref="I324:J324"/>
    <mergeCell ref="B325:F325"/>
    <mergeCell ref="I325:J325"/>
    <mergeCell ref="B326:F326"/>
    <mergeCell ref="I326:J326"/>
    <mergeCell ref="B327:F327"/>
    <mergeCell ref="I327:J327"/>
    <mergeCell ref="B329:K329"/>
    <mergeCell ref="B330:F330"/>
    <mergeCell ref="I330:J330"/>
    <mergeCell ref="B331:F331"/>
    <mergeCell ref="I331:J331"/>
    <mergeCell ref="B332:F332"/>
    <mergeCell ref="I332:J332"/>
    <mergeCell ref="B333:F333"/>
    <mergeCell ref="I333:J333"/>
    <mergeCell ref="B334:F334"/>
    <mergeCell ref="I334:J334"/>
    <mergeCell ref="B335:F335"/>
    <mergeCell ref="I335:J335"/>
    <mergeCell ref="B336:F336"/>
    <mergeCell ref="I336:J336"/>
    <mergeCell ref="B337:F337"/>
    <mergeCell ref="I337:J337"/>
    <mergeCell ref="B338:F338"/>
    <mergeCell ref="I338:J338"/>
    <mergeCell ref="B339:F339"/>
    <mergeCell ref="I339:J339"/>
    <mergeCell ref="B340:F340"/>
    <mergeCell ref="I340:J340"/>
    <mergeCell ref="B341:F341"/>
    <mergeCell ref="I341:J341"/>
    <mergeCell ref="B343:K343"/>
    <mergeCell ref="B344:F344"/>
    <mergeCell ref="I344:J344"/>
    <mergeCell ref="B345:F345"/>
    <mergeCell ref="I345:J345"/>
    <mergeCell ref="B346:F346"/>
    <mergeCell ref="I346:J346"/>
    <mergeCell ref="B347:F347"/>
    <mergeCell ref="I347:J347"/>
    <mergeCell ref="B348:F348"/>
    <mergeCell ref="I348:J348"/>
    <mergeCell ref="B349:F349"/>
    <mergeCell ref="I349:J349"/>
    <mergeCell ref="B350:F350"/>
    <mergeCell ref="I350:J350"/>
    <mergeCell ref="B351:F351"/>
    <mergeCell ref="I351:J351"/>
    <mergeCell ref="B352:F352"/>
    <mergeCell ref="I352:J352"/>
    <mergeCell ref="B353:F353"/>
    <mergeCell ref="I353:J353"/>
    <mergeCell ref="B354:F354"/>
    <mergeCell ref="I354:J354"/>
    <mergeCell ref="B355:F355"/>
    <mergeCell ref="I355:J355"/>
    <mergeCell ref="B356:K356"/>
    <mergeCell ref="B357:F357"/>
    <mergeCell ref="I357:J357"/>
    <mergeCell ref="B358:F358"/>
    <mergeCell ref="I358:J358"/>
    <mergeCell ref="B359:F359"/>
    <mergeCell ref="I359:J359"/>
    <mergeCell ref="B360:F360"/>
    <mergeCell ref="I360:J360"/>
    <mergeCell ref="B361:F361"/>
    <mergeCell ref="I361:J361"/>
    <mergeCell ref="B362:F362"/>
    <mergeCell ref="I362:J362"/>
    <mergeCell ref="B363:F363"/>
    <mergeCell ref="I363:J363"/>
    <mergeCell ref="B364:F364"/>
    <mergeCell ref="I364:J364"/>
    <mergeCell ref="B366:J366"/>
    <mergeCell ref="B369:K369"/>
    <mergeCell ref="B371:K371"/>
    <mergeCell ref="M371:M380"/>
    <mergeCell ref="C372:H372"/>
    <mergeCell ref="I372:J372"/>
    <mergeCell ref="C373:H373"/>
    <mergeCell ref="I373:J373"/>
    <mergeCell ref="C374:H374"/>
    <mergeCell ref="I374:J374"/>
    <mergeCell ref="C375:H375"/>
    <mergeCell ref="I375:J375"/>
    <mergeCell ref="C376:H376"/>
    <mergeCell ref="I376:J376"/>
    <mergeCell ref="C377:H377"/>
    <mergeCell ref="I377:J377"/>
    <mergeCell ref="C378:H378"/>
    <mergeCell ref="I378:J378"/>
    <mergeCell ref="C379:H379"/>
    <mergeCell ref="I379:J379"/>
    <mergeCell ref="C380:H380"/>
    <mergeCell ref="I380:J380"/>
    <mergeCell ref="B383:K383"/>
    <mergeCell ref="B384:K384"/>
    <mergeCell ref="B385:K385"/>
    <mergeCell ref="M385:M392"/>
    <mergeCell ref="B386:F386"/>
    <mergeCell ref="I386:J386"/>
    <mergeCell ref="B387:F387"/>
    <mergeCell ref="I387:J387"/>
    <mergeCell ref="B388:F388"/>
    <mergeCell ref="I388:J388"/>
    <mergeCell ref="B389:F389"/>
    <mergeCell ref="I389:J389"/>
    <mergeCell ref="B390:F390"/>
    <mergeCell ref="I390:J390"/>
    <mergeCell ref="B391:F391"/>
    <mergeCell ref="I391:J391"/>
    <mergeCell ref="B392:F392"/>
    <mergeCell ref="I392:J392"/>
    <mergeCell ref="B393:K393"/>
    <mergeCell ref="B394:K394"/>
    <mergeCell ref="M394:M404"/>
    <mergeCell ref="B395:F395"/>
    <mergeCell ref="I395:J395"/>
    <mergeCell ref="B396:F396"/>
    <mergeCell ref="I396:J396"/>
    <mergeCell ref="B397:F397"/>
    <mergeCell ref="I397:J397"/>
    <mergeCell ref="B398:F398"/>
    <mergeCell ref="I398:J398"/>
    <mergeCell ref="B399:F399"/>
    <mergeCell ref="I399:J399"/>
    <mergeCell ref="B400:F400"/>
    <mergeCell ref="I400:J400"/>
    <mergeCell ref="B401:F401"/>
    <mergeCell ref="I401:J401"/>
    <mergeCell ref="B402:K404"/>
    <mergeCell ref="B405:K405"/>
    <mergeCell ref="B406:K406"/>
    <mergeCell ref="M406:M414"/>
    <mergeCell ref="B407:F407"/>
    <mergeCell ref="I407:J407"/>
    <mergeCell ref="B408:F408"/>
    <mergeCell ref="I408:J408"/>
    <mergeCell ref="B409:F409"/>
    <mergeCell ref="I409:J409"/>
    <mergeCell ref="B410:F410"/>
    <mergeCell ref="I410:J410"/>
    <mergeCell ref="B411:F411"/>
    <mergeCell ref="I411:J411"/>
    <mergeCell ref="B412:F412"/>
    <mergeCell ref="I412:J412"/>
    <mergeCell ref="B413:F413"/>
    <mergeCell ref="I413:J413"/>
    <mergeCell ref="B414:F414"/>
    <mergeCell ref="I414:J414"/>
    <mergeCell ref="B415:K415"/>
    <mergeCell ref="B416:K416"/>
    <mergeCell ref="M416:M428"/>
    <mergeCell ref="B417:F417"/>
    <mergeCell ref="I417:J417"/>
    <mergeCell ref="B418:F418"/>
    <mergeCell ref="I418:J418"/>
    <mergeCell ref="B419:F419"/>
    <mergeCell ref="I419:J419"/>
    <mergeCell ref="B420:F420"/>
    <mergeCell ref="I420:J420"/>
    <mergeCell ref="B421:F421"/>
    <mergeCell ref="I421:J421"/>
    <mergeCell ref="B422:F422"/>
    <mergeCell ref="I422:J422"/>
    <mergeCell ref="B423:F423"/>
    <mergeCell ref="I423:J423"/>
    <mergeCell ref="B424:F424"/>
    <mergeCell ref="I424:J424"/>
    <mergeCell ref="B425:F425"/>
    <mergeCell ref="I425:J425"/>
    <mergeCell ref="B426:F426"/>
    <mergeCell ref="I426:J426"/>
    <mergeCell ref="B427:F427"/>
    <mergeCell ref="I427:J427"/>
    <mergeCell ref="B428:F428"/>
    <mergeCell ref="I428:J428"/>
    <mergeCell ref="B429:K431"/>
    <mergeCell ref="B432:K432"/>
    <mergeCell ref="B433:K433"/>
    <mergeCell ref="M433:M439"/>
    <mergeCell ref="B434:F434"/>
    <mergeCell ref="I434:J434"/>
    <mergeCell ref="B435:F435"/>
    <mergeCell ref="I435:J435"/>
    <mergeCell ref="B436:F436"/>
    <mergeCell ref="I436:J436"/>
    <mergeCell ref="B437:F437"/>
    <mergeCell ref="I437:J437"/>
    <mergeCell ref="B438:F438"/>
    <mergeCell ref="I438:J438"/>
    <mergeCell ref="B439:F439"/>
    <mergeCell ref="I439:J439"/>
    <mergeCell ref="B440:K440"/>
    <mergeCell ref="B441:K441"/>
    <mergeCell ref="M441:M452"/>
    <mergeCell ref="B442:F442"/>
    <mergeCell ref="I442:J442"/>
    <mergeCell ref="B443:F443"/>
    <mergeCell ref="I443:J443"/>
    <mergeCell ref="B444:F444"/>
    <mergeCell ref="I444:J444"/>
    <mergeCell ref="B445:F445"/>
    <mergeCell ref="I445:J445"/>
    <mergeCell ref="B446:F446"/>
    <mergeCell ref="I446:J446"/>
    <mergeCell ref="B447:F447"/>
    <mergeCell ref="I447:J447"/>
    <mergeCell ref="B448:F448"/>
    <mergeCell ref="I448:J448"/>
    <mergeCell ref="B449:F449"/>
    <mergeCell ref="I449:J449"/>
    <mergeCell ref="B450:F450"/>
    <mergeCell ref="I450:J450"/>
    <mergeCell ref="B451:F451"/>
    <mergeCell ref="I451:J451"/>
    <mergeCell ref="B452:F452"/>
    <mergeCell ref="I452:J452"/>
    <mergeCell ref="B453:K453"/>
    <mergeCell ref="B454:J454"/>
    <mergeCell ref="B455:J455"/>
    <mergeCell ref="B457:J457"/>
    <mergeCell ref="B459:J459"/>
    <mergeCell ref="B462:K462"/>
    <mergeCell ref="B463:K463"/>
    <mergeCell ref="B464:F464"/>
    <mergeCell ref="I464:J464"/>
    <mergeCell ref="B465:F465"/>
    <mergeCell ref="I465:J465"/>
    <mergeCell ref="B466:F466"/>
    <mergeCell ref="I466:J466"/>
    <mergeCell ref="B467:F467"/>
    <mergeCell ref="I467:J467"/>
    <mergeCell ref="B468:J468"/>
    <mergeCell ref="B471:J471"/>
    <mergeCell ref="B474:K474"/>
    <mergeCell ref="B476:F476"/>
    <mergeCell ref="I476:J476"/>
    <mergeCell ref="B477:F477"/>
    <mergeCell ref="I477:J477"/>
    <mergeCell ref="B478:J478"/>
    <mergeCell ref="B481:J481"/>
    <mergeCell ref="B484:K484"/>
    <mergeCell ref="B485:K485"/>
    <mergeCell ref="B486:F486"/>
    <mergeCell ref="G486:H486"/>
    <mergeCell ref="I486:J486"/>
    <mergeCell ref="B490:F490"/>
    <mergeCell ref="G490:H490"/>
    <mergeCell ref="I490:J490"/>
    <mergeCell ref="B491:F491"/>
    <mergeCell ref="G491:H491"/>
    <mergeCell ref="I491:J491"/>
    <mergeCell ref="B496:J496"/>
    <mergeCell ref="B487:F487"/>
    <mergeCell ref="G487:H487"/>
    <mergeCell ref="I487:J487"/>
    <mergeCell ref="B488:F488"/>
    <mergeCell ref="G488:H488"/>
    <mergeCell ref="I488:J488"/>
    <mergeCell ref="B489:F489"/>
    <mergeCell ref="G489:H489"/>
    <mergeCell ref="I489:J489"/>
  </mergeCells>
  <pageMargins left="0.51180555555555596" right="0.51180555555555596" top="0.78749999999999998" bottom="0.78749999999999998" header="0.511811023622047" footer="0.31527777777777799"/>
  <pageSetup paperSize="9" firstPageNumber="2" fitToHeight="0" orientation="portrait" useFirstPageNumber="1" horizontalDpi="300" verticalDpi="300"/>
  <headerFooter>
    <oddFooter>&amp;R&amp;P de 45</oddFooter>
  </headerFooter>
  <rowBreaks count="5" manualBreakCount="5">
    <brk id="130" max="16383" man="1"/>
    <brk id="229" max="16383" man="1"/>
    <brk id="281" max="16383" man="1"/>
    <brk id="333" max="16383" man="1"/>
    <brk id="380" max="16383" man="1"/>
  </rowBreaks>
  <ignoredErrors>
    <ignoredError sqref="K19 K25 K314 K326 K353 K41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D1048575"/>
  <sheetViews>
    <sheetView showGridLines="0" topLeftCell="A433" zoomScale="110" zoomScaleNormal="110" workbookViewId="0">
      <selection activeCell="I416" sqref="I416:J416"/>
    </sheetView>
  </sheetViews>
  <sheetFormatPr defaultColWidth="8.7109375" defaultRowHeight="15" customHeight="1" x14ac:dyDescent="0.25"/>
  <cols>
    <col min="1" max="1" width="18" customWidth="1"/>
    <col min="3" max="3" width="9" customWidth="1"/>
    <col min="5" max="5" width="9.7109375" customWidth="1"/>
    <col min="6" max="6" width="12.85546875" customWidth="1"/>
    <col min="7" max="7" width="13.140625" customWidth="1"/>
    <col min="8" max="8" width="13.5703125" customWidth="1"/>
    <col min="9" max="9" width="9.7109375" customWidth="1"/>
    <col min="10" max="10" width="11.42578125" customWidth="1"/>
    <col min="11" max="11" width="18.7109375" customWidth="1"/>
    <col min="12" max="12" width="8.7109375" style="535"/>
    <col min="13" max="13" width="38.7109375" style="535" bestFit="1" customWidth="1"/>
    <col min="14" max="14" width="13.28515625" style="536" customWidth="1"/>
    <col min="15" max="15" width="42.7109375" style="536" customWidth="1"/>
    <col min="18" max="18" width="11.42578125" customWidth="1"/>
  </cols>
  <sheetData>
    <row r="2" spans="2:13" ht="15" customHeight="1" x14ac:dyDescent="0.25">
      <c r="B2" s="772" t="s">
        <v>312</v>
      </c>
      <c r="C2" s="772"/>
      <c r="D2" s="772"/>
      <c r="E2" s="772"/>
      <c r="F2" s="772"/>
      <c r="G2" s="772"/>
      <c r="H2" s="772"/>
      <c r="I2" s="772"/>
      <c r="J2" s="772"/>
      <c r="K2" s="772"/>
      <c r="L2" s="543"/>
      <c r="M2" s="543"/>
    </row>
    <row r="4" spans="2:13" x14ac:dyDescent="0.25">
      <c r="B4" s="672" t="s">
        <v>36</v>
      </c>
      <c r="C4" s="672"/>
      <c r="D4" s="672"/>
      <c r="E4" s="672"/>
      <c r="F4" s="672"/>
      <c r="G4" s="672"/>
      <c r="H4" s="672"/>
      <c r="I4" s="672"/>
      <c r="J4" s="672"/>
      <c r="K4" s="672"/>
    </row>
    <row r="5" spans="2:13" ht="30" x14ac:dyDescent="0.25">
      <c r="B5" s="614" t="s">
        <v>37</v>
      </c>
      <c r="C5" s="614"/>
      <c r="D5" s="614"/>
      <c r="E5" s="614"/>
      <c r="F5" s="614"/>
      <c r="G5" s="614"/>
      <c r="H5" s="25" t="s">
        <v>38</v>
      </c>
      <c r="I5" s="664" t="s">
        <v>39</v>
      </c>
      <c r="J5" s="664"/>
      <c r="K5" s="26" t="s">
        <v>40</v>
      </c>
    </row>
    <row r="6" spans="2:13" x14ac:dyDescent="0.25">
      <c r="B6" s="27" t="s">
        <v>313</v>
      </c>
      <c r="C6" s="676" t="s">
        <v>314</v>
      </c>
      <c r="D6" s="676"/>
      <c r="E6" s="676"/>
      <c r="F6" s="676"/>
      <c r="G6" s="676"/>
      <c r="H6" s="204">
        <f>SUM(H7:H10)</f>
        <v>72</v>
      </c>
      <c r="I6" s="678"/>
      <c r="J6" s="678"/>
      <c r="K6" s="205">
        <f>SUM(K7:K10)</f>
        <v>512268.98564546887</v>
      </c>
    </row>
    <row r="7" spans="2:13" x14ac:dyDescent="0.25">
      <c r="B7" s="5" t="s">
        <v>315</v>
      </c>
      <c r="C7" s="594" t="s">
        <v>316</v>
      </c>
      <c r="D7" s="594"/>
      <c r="E7" s="594"/>
      <c r="F7" s="594"/>
      <c r="G7" s="594"/>
      <c r="H7" s="4">
        <v>27</v>
      </c>
      <c r="I7" s="679">
        <f>K48</f>
        <v>6465.5533496361713</v>
      </c>
      <c r="J7" s="679"/>
      <c r="K7" s="133">
        <f>I7*H7</f>
        <v>174569.94044017664</v>
      </c>
    </row>
    <row r="8" spans="2:13" x14ac:dyDescent="0.25">
      <c r="B8" s="5" t="s">
        <v>317</v>
      </c>
      <c r="C8" s="594" t="s">
        <v>318</v>
      </c>
      <c r="D8" s="594"/>
      <c r="E8" s="594"/>
      <c r="F8" s="594"/>
      <c r="G8" s="594"/>
      <c r="H8" s="4">
        <v>27</v>
      </c>
      <c r="I8" s="679">
        <f>K74</f>
        <v>7027.8185652399752</v>
      </c>
      <c r="J8" s="679"/>
      <c r="K8" s="133">
        <f>I8*H8</f>
        <v>189751.10126147934</v>
      </c>
    </row>
    <row r="9" spans="2:13" x14ac:dyDescent="0.25">
      <c r="B9" s="5" t="s">
        <v>319</v>
      </c>
      <c r="C9" s="594" t="s">
        <v>320</v>
      </c>
      <c r="D9" s="594"/>
      <c r="E9" s="594"/>
      <c r="F9" s="594"/>
      <c r="G9" s="594"/>
      <c r="H9" s="4">
        <v>9</v>
      </c>
      <c r="I9" s="679">
        <f>K95</f>
        <v>7554.1758915477112</v>
      </c>
      <c r="J9" s="679"/>
      <c r="K9" s="133">
        <f>I9*H9</f>
        <v>67987.583023929401</v>
      </c>
    </row>
    <row r="10" spans="2:13" x14ac:dyDescent="0.25">
      <c r="B10" s="5" t="s">
        <v>321</v>
      </c>
      <c r="C10" s="594" t="s">
        <v>322</v>
      </c>
      <c r="D10" s="594"/>
      <c r="E10" s="594"/>
      <c r="F10" s="594"/>
      <c r="G10" s="594"/>
      <c r="H10" s="4">
        <v>9</v>
      </c>
      <c r="I10" s="679">
        <f>K120</f>
        <v>8884.4845466537263</v>
      </c>
      <c r="J10" s="679"/>
      <c r="K10" s="133">
        <f>I10*H10</f>
        <v>79960.360919883533</v>
      </c>
    </row>
    <row r="11" spans="2:13" x14ac:dyDescent="0.25">
      <c r="B11" s="27" t="s">
        <v>323</v>
      </c>
      <c r="C11" s="678" t="s">
        <v>68</v>
      </c>
      <c r="D11" s="678"/>
      <c r="E11" s="678"/>
      <c r="F11" s="678"/>
      <c r="G11" s="678"/>
      <c r="H11" s="204">
        <f>SUM(H12:H13)</f>
        <v>72</v>
      </c>
      <c r="I11" s="678"/>
      <c r="J11" s="678"/>
      <c r="K11" s="205">
        <f>SUM(K12:K13)</f>
        <v>16768.86</v>
      </c>
    </row>
    <row r="12" spans="2:13" x14ac:dyDescent="0.25">
      <c r="B12" s="5" t="s">
        <v>324</v>
      </c>
      <c r="C12" s="594" t="s">
        <v>325</v>
      </c>
      <c r="D12" s="594"/>
      <c r="E12" s="594"/>
      <c r="F12" s="594"/>
      <c r="G12" s="594"/>
      <c r="H12" s="4">
        <v>54</v>
      </c>
      <c r="I12" s="645">
        <f>K143</f>
        <v>280.10555555555555</v>
      </c>
      <c r="J12" s="645"/>
      <c r="K12" s="206">
        <f>I12*H12</f>
        <v>15125.7</v>
      </c>
    </row>
    <row r="13" spans="2:13" ht="15" customHeight="1" x14ac:dyDescent="0.25">
      <c r="B13" s="5" t="s">
        <v>326</v>
      </c>
      <c r="C13" s="670" t="s">
        <v>327</v>
      </c>
      <c r="D13" s="670"/>
      <c r="E13" s="670"/>
      <c r="F13" s="670"/>
      <c r="G13" s="670"/>
      <c r="H13" s="4">
        <v>18</v>
      </c>
      <c r="I13" s="645">
        <f>K156</f>
        <v>91.286666666666676</v>
      </c>
      <c r="J13" s="645"/>
      <c r="K13" s="206">
        <f>I13*H13</f>
        <v>1643.16</v>
      </c>
    </row>
    <row r="14" spans="2:13" x14ac:dyDescent="0.25">
      <c r="B14" s="27" t="s">
        <v>328</v>
      </c>
      <c r="C14" s="678" t="s">
        <v>80</v>
      </c>
      <c r="D14" s="678"/>
      <c r="E14" s="678"/>
      <c r="F14" s="678"/>
      <c r="G14" s="678"/>
      <c r="H14" s="204">
        <f>SUM(H15:H17)</f>
        <v>12</v>
      </c>
      <c r="I14" s="678"/>
      <c r="J14" s="678"/>
      <c r="K14" s="205">
        <f>SUM(K15:K17)</f>
        <v>310681.54338131397</v>
      </c>
    </row>
    <row r="15" spans="2:13" x14ac:dyDescent="0.25">
      <c r="B15" s="5" t="s">
        <v>329</v>
      </c>
      <c r="C15" s="594" t="s">
        <v>330</v>
      </c>
      <c r="D15" s="594"/>
      <c r="E15" s="594"/>
      <c r="F15" s="594"/>
      <c r="G15" s="594"/>
      <c r="H15" s="4">
        <v>2</v>
      </c>
      <c r="I15" s="645">
        <f>I166</f>
        <v>34629.93429649833</v>
      </c>
      <c r="J15" s="645"/>
      <c r="K15" s="133">
        <f>K166</f>
        <v>41487.476114364174</v>
      </c>
    </row>
    <row r="16" spans="2:13" x14ac:dyDescent="0.25">
      <c r="B16" s="5" t="s">
        <v>331</v>
      </c>
      <c r="C16" s="594" t="s">
        <v>332</v>
      </c>
      <c r="D16" s="594"/>
      <c r="E16" s="594"/>
      <c r="F16" s="594"/>
      <c r="G16" s="594"/>
      <c r="H16" s="4">
        <v>9</v>
      </c>
      <c r="I16" s="645">
        <f>I174</f>
        <v>32323.666238915597</v>
      </c>
      <c r="J16" s="645"/>
      <c r="K16" s="133">
        <f>K174</f>
        <v>265268.66910750535</v>
      </c>
    </row>
    <row r="17" spans="2:11" x14ac:dyDescent="0.25">
      <c r="B17" s="5" t="s">
        <v>333</v>
      </c>
      <c r="C17" s="604" t="s">
        <v>334</v>
      </c>
      <c r="D17" s="604"/>
      <c r="E17" s="604"/>
      <c r="F17" s="604"/>
      <c r="G17" s="604"/>
      <c r="H17" s="582">
        <v>1</v>
      </c>
      <c r="I17" s="679">
        <f>I182</f>
        <v>3925.3981594444444</v>
      </c>
      <c r="J17" s="679"/>
      <c r="K17" s="133">
        <f>K182</f>
        <v>3925.3981594444449</v>
      </c>
    </row>
    <row r="18" spans="2:11" x14ac:dyDescent="0.25">
      <c r="B18" s="27" t="s">
        <v>335</v>
      </c>
      <c r="C18" s="676" t="s">
        <v>336</v>
      </c>
      <c r="D18" s="676"/>
      <c r="E18" s="676"/>
      <c r="F18" s="676"/>
      <c r="G18" s="676"/>
      <c r="H18" s="207"/>
      <c r="I18" s="677"/>
      <c r="J18" s="677"/>
      <c r="K18" s="205">
        <f>K436</f>
        <v>783.02466666666669</v>
      </c>
    </row>
    <row r="19" spans="2:11" x14ac:dyDescent="0.25">
      <c r="B19" s="27" t="s">
        <v>337</v>
      </c>
      <c r="C19" s="678" t="s">
        <v>84</v>
      </c>
      <c r="D19" s="678"/>
      <c r="E19" s="678"/>
      <c r="F19" s="678"/>
      <c r="G19" s="678"/>
      <c r="H19" s="204"/>
      <c r="I19" s="678"/>
      <c r="J19" s="678"/>
      <c r="K19" s="205">
        <f>SUM(K20:K21)</f>
        <v>388620.23132680671</v>
      </c>
    </row>
    <row r="20" spans="2:11" x14ac:dyDescent="0.25">
      <c r="B20" s="5" t="s">
        <v>338</v>
      </c>
      <c r="C20" s="604" t="s">
        <v>339</v>
      </c>
      <c r="D20" s="604"/>
      <c r="E20" s="604"/>
      <c r="F20" s="604"/>
      <c r="G20" s="604"/>
      <c r="H20" s="4">
        <v>1</v>
      </c>
      <c r="I20" s="679">
        <f>K445</f>
        <v>155886.00394434377</v>
      </c>
      <c r="J20" s="679"/>
      <c r="K20" s="133">
        <f>I20*H20</f>
        <v>155886.00394434377</v>
      </c>
    </row>
    <row r="21" spans="2:11" x14ac:dyDescent="0.25">
      <c r="B21" s="5" t="s">
        <v>340</v>
      </c>
      <c r="C21" s="604" t="s">
        <v>86</v>
      </c>
      <c r="D21" s="604"/>
      <c r="E21" s="604"/>
      <c r="F21" s="604"/>
      <c r="G21" s="604"/>
      <c r="H21" s="4">
        <v>1</v>
      </c>
      <c r="I21" s="679">
        <f>K446</f>
        <v>232734.22738246297</v>
      </c>
      <c r="J21" s="679"/>
      <c r="K21" s="133">
        <f>I21*H21</f>
        <v>232734.22738246297</v>
      </c>
    </row>
    <row r="22" spans="2:11" x14ac:dyDescent="0.25">
      <c r="B22" s="672" t="s">
        <v>341</v>
      </c>
      <c r="C22" s="672"/>
      <c r="D22" s="672"/>
      <c r="E22" s="672"/>
      <c r="F22" s="672"/>
      <c r="G22" s="672"/>
      <c r="H22" s="672"/>
      <c r="I22" s="672"/>
      <c r="J22" s="672"/>
      <c r="K22" s="159">
        <f>K19+K14+K11+K6+K18</f>
        <v>1229122.6450202563</v>
      </c>
    </row>
    <row r="23" spans="2:11" x14ac:dyDescent="0.25">
      <c r="B23" s="672" t="s">
        <v>342</v>
      </c>
      <c r="C23" s="672"/>
      <c r="D23" s="672"/>
      <c r="E23" s="672"/>
      <c r="F23" s="672"/>
      <c r="G23" s="672"/>
      <c r="H23" s="672"/>
      <c r="I23" s="672"/>
      <c r="J23" s="672"/>
      <c r="K23" s="159">
        <f>K22*6</f>
        <v>7374735.8701215377</v>
      </c>
    </row>
    <row r="24" spans="2:11" x14ac:dyDescent="0.25">
      <c r="B24" s="673" t="s">
        <v>343</v>
      </c>
      <c r="C24" s="673"/>
      <c r="D24" s="673"/>
      <c r="E24" s="673"/>
      <c r="F24" s="673"/>
      <c r="G24" s="673"/>
      <c r="H24" s="208">
        <v>4800</v>
      </c>
      <c r="I24" s="674" t="s">
        <v>344</v>
      </c>
      <c r="J24" s="674"/>
      <c r="K24" s="209">
        <f>$K$22/H24</f>
        <v>256.06721771255337</v>
      </c>
    </row>
    <row r="25" spans="2:11" x14ac:dyDescent="0.25"/>
    <row r="26" spans="2:11" x14ac:dyDescent="0.25"/>
    <row r="27" spans="2:11" ht="15" customHeight="1" x14ac:dyDescent="0.25">
      <c r="B27" s="601" t="s">
        <v>345</v>
      </c>
      <c r="C27" s="601"/>
      <c r="D27" s="601"/>
      <c r="E27" s="601"/>
      <c r="F27" s="601"/>
      <c r="G27" s="601"/>
      <c r="H27" s="601"/>
      <c r="I27" s="601"/>
      <c r="J27" s="601"/>
      <c r="K27" s="601"/>
    </row>
    <row r="28" spans="2:11" ht="15" customHeight="1" x14ac:dyDescent="0.25">
      <c r="B28" s="675"/>
      <c r="C28" s="675"/>
      <c r="D28" s="675"/>
      <c r="E28" s="675"/>
      <c r="F28" s="675"/>
      <c r="G28" s="675"/>
      <c r="H28" s="675"/>
      <c r="I28" s="675"/>
      <c r="J28" s="675"/>
      <c r="K28" s="675"/>
    </row>
    <row r="29" spans="2:11" x14ac:dyDescent="0.25">
      <c r="B29" s="663" t="s">
        <v>346</v>
      </c>
      <c r="C29" s="663"/>
      <c r="D29" s="663"/>
      <c r="E29" s="663"/>
      <c r="F29" s="663"/>
      <c r="G29" s="663"/>
      <c r="H29" s="663"/>
      <c r="I29" s="663"/>
      <c r="J29" s="663"/>
      <c r="K29" s="663"/>
    </row>
    <row r="30" spans="2:11" x14ac:dyDescent="0.25">
      <c r="B30" s="3" t="s">
        <v>95</v>
      </c>
      <c r="C30" s="602" t="s">
        <v>96</v>
      </c>
      <c r="D30" s="602"/>
      <c r="E30" s="602"/>
      <c r="F30" s="602"/>
      <c r="G30" s="602"/>
      <c r="H30" s="53" t="s">
        <v>128</v>
      </c>
      <c r="I30" s="45" t="s">
        <v>129</v>
      </c>
      <c r="J30" s="45" t="s">
        <v>115</v>
      </c>
      <c r="K30" s="45" t="s">
        <v>97</v>
      </c>
    </row>
    <row r="31" spans="2:11" x14ac:dyDescent="0.25">
      <c r="B31" s="8" t="s">
        <v>98</v>
      </c>
      <c r="C31" s="622" t="s">
        <v>99</v>
      </c>
      <c r="D31" s="622"/>
      <c r="E31" s="622"/>
      <c r="F31" s="622"/>
      <c r="G31" s="622"/>
      <c r="H31" s="4">
        <v>220</v>
      </c>
      <c r="I31" s="8" t="s">
        <v>130</v>
      </c>
      <c r="J31" s="62">
        <f>K31/H31</f>
        <v>9.4650454545454537</v>
      </c>
      <c r="K31" s="67">
        <f>'6 - DADOS CC MO'!E10</f>
        <v>2082.31</v>
      </c>
    </row>
    <row r="32" spans="2:11" x14ac:dyDescent="0.25">
      <c r="B32" s="8" t="s">
        <v>135</v>
      </c>
      <c r="C32" s="63" t="s">
        <v>132</v>
      </c>
      <c r="D32" s="64"/>
      <c r="E32" s="64"/>
      <c r="F32" s="64"/>
      <c r="G32" s="65"/>
      <c r="H32" s="66">
        <f>7+1/3</f>
        <v>7.333333333333333</v>
      </c>
      <c r="I32" s="8" t="s">
        <v>130</v>
      </c>
      <c r="J32" s="62">
        <f>J31*2</f>
        <v>18.930090909090907</v>
      </c>
      <c r="K32" s="67">
        <f>H32*J32</f>
        <v>138.82066666666665</v>
      </c>
    </row>
    <row r="33" spans="2:11" x14ac:dyDescent="0.25">
      <c r="B33" s="8" t="s">
        <v>148</v>
      </c>
      <c r="C33" s="63" t="s">
        <v>134</v>
      </c>
      <c r="D33" s="64"/>
      <c r="E33" s="64"/>
      <c r="F33" s="64"/>
      <c r="G33" s="65"/>
      <c r="H33" s="66"/>
      <c r="I33" s="8"/>
      <c r="J33" s="62">
        <f>61/304*(SUM(K32))</f>
        <v>27.855462719298245</v>
      </c>
      <c r="K33" s="67">
        <f>J33</f>
        <v>27.855462719298245</v>
      </c>
    </row>
    <row r="34" spans="2:11" x14ac:dyDescent="0.25">
      <c r="B34" s="8" t="s">
        <v>347</v>
      </c>
      <c r="C34" s="622" t="s">
        <v>136</v>
      </c>
      <c r="D34" s="622"/>
      <c r="E34" s="622"/>
      <c r="F34" s="622"/>
      <c r="G34" s="622"/>
      <c r="H34" s="4">
        <v>40</v>
      </c>
      <c r="I34" s="8" t="s">
        <v>89</v>
      </c>
      <c r="J34" s="46"/>
      <c r="K34" s="67">
        <f>K31*40%</f>
        <v>832.92399999999998</v>
      </c>
    </row>
    <row r="35" spans="2:11" x14ac:dyDescent="0.25">
      <c r="B35" s="4"/>
      <c r="C35" s="661" t="s">
        <v>100</v>
      </c>
      <c r="D35" s="661"/>
      <c r="E35" s="661"/>
      <c r="F35" s="661"/>
      <c r="G35" s="661"/>
      <c r="H35" s="661"/>
      <c r="I35" s="661"/>
      <c r="J35" s="48"/>
      <c r="K35" s="210">
        <f>SUM(K31:K34)</f>
        <v>3081.9101293859649</v>
      </c>
    </row>
    <row r="36" spans="2:11" x14ac:dyDescent="0.25">
      <c r="B36" s="45" t="s">
        <v>101</v>
      </c>
      <c r="C36" s="602" t="s">
        <v>102</v>
      </c>
      <c r="D36" s="602"/>
      <c r="E36" s="602"/>
      <c r="F36" s="602"/>
      <c r="G36" s="602"/>
      <c r="H36" s="602"/>
      <c r="I36" s="602"/>
      <c r="J36" s="45" t="s">
        <v>89</v>
      </c>
      <c r="K36" s="45" t="s">
        <v>97</v>
      </c>
    </row>
    <row r="37" spans="2:11" x14ac:dyDescent="0.25">
      <c r="B37" s="8" t="s">
        <v>103</v>
      </c>
      <c r="C37" s="622" t="s">
        <v>104</v>
      </c>
      <c r="D37" s="622"/>
      <c r="E37" s="622"/>
      <c r="F37" s="622"/>
      <c r="G37" s="622"/>
      <c r="H37" s="622"/>
      <c r="I37" s="622"/>
      <c r="J37" s="50">
        <f>'7 - ENCARGOS SOCIAIS'!$D$13</f>
        <v>0.36800000000000005</v>
      </c>
      <c r="K37" s="67">
        <f>J37*$K$35</f>
        <v>1134.1429276140352</v>
      </c>
    </row>
    <row r="38" spans="2:11" x14ac:dyDescent="0.25">
      <c r="B38" s="8" t="s">
        <v>105</v>
      </c>
      <c r="C38" s="622" t="s">
        <v>106</v>
      </c>
      <c r="D38" s="622"/>
      <c r="E38" s="622"/>
      <c r="F38" s="622"/>
      <c r="G38" s="622"/>
      <c r="H38" s="622"/>
      <c r="I38" s="622"/>
      <c r="J38" s="50">
        <f>'7 - ENCARGOS SOCIAIS'!$D$21</f>
        <v>0.15387245147090212</v>
      </c>
      <c r="K38" s="67">
        <f>J38*$K$35</f>
        <v>474.22106682162354</v>
      </c>
    </row>
    <row r="39" spans="2:11" x14ac:dyDescent="0.25">
      <c r="B39" s="8" t="s">
        <v>107</v>
      </c>
      <c r="C39" s="622" t="s">
        <v>108</v>
      </c>
      <c r="D39" s="622"/>
      <c r="E39" s="622"/>
      <c r="F39" s="622"/>
      <c r="G39" s="622"/>
      <c r="H39" s="622"/>
      <c r="I39" s="622"/>
      <c r="J39" s="50">
        <f>'7 - ENCARGOS SOCIAIS'!$D$28</f>
        <v>0.12666581537651095</v>
      </c>
      <c r="K39" s="67">
        <f>J39*$K$35</f>
        <v>390.37265945580157</v>
      </c>
    </row>
    <row r="40" spans="2:11" x14ac:dyDescent="0.25">
      <c r="B40" s="8" t="s">
        <v>109</v>
      </c>
      <c r="C40" s="622" t="s">
        <v>110</v>
      </c>
      <c r="D40" s="622"/>
      <c r="E40" s="622"/>
      <c r="F40" s="622"/>
      <c r="G40" s="622"/>
      <c r="H40" s="622"/>
      <c r="I40" s="622"/>
      <c r="J40" s="50">
        <f>'7 - ENCARGOS SOCIAIS'!$D$32</f>
        <v>5.9231502118822603E-2</v>
      </c>
      <c r="K40" s="67">
        <f>J40*$K$35</f>
        <v>182.54616635874561</v>
      </c>
    </row>
    <row r="41" spans="2:11" x14ac:dyDescent="0.25">
      <c r="B41" s="25"/>
      <c r="C41" s="614" t="s">
        <v>111</v>
      </c>
      <c r="D41" s="614"/>
      <c r="E41" s="614"/>
      <c r="F41" s="614"/>
      <c r="G41" s="614"/>
      <c r="H41" s="614"/>
      <c r="I41" s="614"/>
      <c r="J41" s="51">
        <f>SUM(J37:J40)</f>
        <v>0.70776976896623567</v>
      </c>
      <c r="K41" s="211">
        <f>SUM(K37:K40)</f>
        <v>2181.282820250206</v>
      </c>
    </row>
    <row r="42" spans="2:11" ht="23.85" customHeight="1" x14ac:dyDescent="0.25">
      <c r="B42" s="45" t="s">
        <v>112</v>
      </c>
      <c r="C42" s="667" t="s">
        <v>113</v>
      </c>
      <c r="D42" s="667"/>
      <c r="E42" s="667"/>
      <c r="F42" s="667"/>
      <c r="G42" s="667"/>
      <c r="H42" s="53" t="s">
        <v>114</v>
      </c>
      <c r="I42" s="45" t="s">
        <v>115</v>
      </c>
      <c r="J42" s="45" t="s">
        <v>116</v>
      </c>
      <c r="K42" s="45" t="s">
        <v>97</v>
      </c>
    </row>
    <row r="43" spans="2:11" ht="15" customHeight="1" x14ac:dyDescent="0.25">
      <c r="B43" s="8" t="s">
        <v>117</v>
      </c>
      <c r="C43" s="670" t="s">
        <v>118</v>
      </c>
      <c r="D43" s="670"/>
      <c r="E43" s="670"/>
      <c r="F43" s="670"/>
      <c r="G43" s="670"/>
      <c r="H43" s="8">
        <v>26</v>
      </c>
      <c r="I43" s="54">
        <v>27.15</v>
      </c>
      <c r="J43" s="69">
        <v>0.19</v>
      </c>
      <c r="K43" s="133">
        <f>(H43*I43)-((H43*I43)*J43)</f>
        <v>571.779</v>
      </c>
    </row>
    <row r="44" spans="2:11" x14ac:dyDescent="0.25">
      <c r="B44" s="8" t="s">
        <v>119</v>
      </c>
      <c r="C44" s="622" t="s">
        <v>151</v>
      </c>
      <c r="D44" s="622"/>
      <c r="E44" s="622"/>
      <c r="F44" s="622"/>
      <c r="G44" s="622"/>
      <c r="H44" s="8">
        <f>H43*4</f>
        <v>104</v>
      </c>
      <c r="I44" s="56">
        <v>6.25</v>
      </c>
      <c r="J44" s="69">
        <v>0.06</v>
      </c>
      <c r="K44" s="133">
        <f>(H44*I44)-(K31*J44)</f>
        <v>525.06140000000005</v>
      </c>
    </row>
    <row r="45" spans="2:11" x14ac:dyDescent="0.25">
      <c r="B45" s="8" t="s">
        <v>121</v>
      </c>
      <c r="C45" s="622" t="s">
        <v>122</v>
      </c>
      <c r="D45" s="622"/>
      <c r="E45" s="622"/>
      <c r="F45" s="622"/>
      <c r="G45" s="622"/>
      <c r="H45" s="4">
        <v>1</v>
      </c>
      <c r="I45" s="54">
        <v>25.52</v>
      </c>
      <c r="J45" s="5"/>
      <c r="K45" s="32">
        <f>I45</f>
        <v>25.52</v>
      </c>
    </row>
    <row r="46" spans="2:11" x14ac:dyDescent="0.25">
      <c r="B46" s="8" t="s">
        <v>152</v>
      </c>
      <c r="C46" s="622" t="s">
        <v>348</v>
      </c>
      <c r="D46" s="622"/>
      <c r="E46" s="622"/>
      <c r="F46" s="622"/>
      <c r="G46" s="622"/>
      <c r="H46" s="4">
        <v>1</v>
      </c>
      <c r="I46" s="54">
        <v>80</v>
      </c>
      <c r="J46" s="5"/>
      <c r="K46" s="32">
        <f>I46</f>
        <v>80</v>
      </c>
    </row>
    <row r="47" spans="2:11" x14ac:dyDescent="0.25">
      <c r="B47" s="5"/>
      <c r="C47" s="661" t="s">
        <v>123</v>
      </c>
      <c r="D47" s="661"/>
      <c r="E47" s="661"/>
      <c r="F47" s="661"/>
      <c r="G47" s="661"/>
      <c r="H47" s="661"/>
      <c r="I47" s="661"/>
      <c r="J47" s="48"/>
      <c r="K47" s="206">
        <f>SUM(K43:K46)</f>
        <v>1202.3604</v>
      </c>
    </row>
    <row r="48" spans="2:11" x14ac:dyDescent="0.25">
      <c r="B48" s="665" t="s">
        <v>349</v>
      </c>
      <c r="C48" s="665"/>
      <c r="D48" s="665"/>
      <c r="E48" s="665"/>
      <c r="F48" s="665"/>
      <c r="G48" s="665"/>
      <c r="H48" s="665"/>
      <c r="I48" s="665"/>
      <c r="J48" s="665"/>
      <c r="K48" s="212">
        <f>K47+K41+K35</f>
        <v>6465.5533496361713</v>
      </c>
    </row>
    <row r="49" spans="2:11" ht="15" customHeight="1" x14ac:dyDescent="0.25">
      <c r="B49" s="666" t="s">
        <v>125</v>
      </c>
      <c r="C49" s="666"/>
      <c r="D49" s="666"/>
      <c r="E49" s="666"/>
      <c r="F49" s="666"/>
      <c r="G49" s="666"/>
      <c r="H49" s="666"/>
      <c r="I49" s="59">
        <f>H7</f>
        <v>27</v>
      </c>
      <c r="J49" s="59" t="s">
        <v>126</v>
      </c>
      <c r="K49" s="213">
        <f>K48*I49</f>
        <v>174569.94044017664</v>
      </c>
    </row>
    <row r="50" spans="2:11" x14ac:dyDescent="0.25"/>
    <row r="51" spans="2:11" x14ac:dyDescent="0.25">
      <c r="B51" s="663" t="s">
        <v>350</v>
      </c>
      <c r="C51" s="663"/>
      <c r="D51" s="663"/>
      <c r="E51" s="663"/>
      <c r="F51" s="663"/>
      <c r="G51" s="663"/>
      <c r="H51" s="663"/>
      <c r="I51" s="663"/>
      <c r="J51" s="663"/>
      <c r="K51" s="663"/>
    </row>
    <row r="52" spans="2:11" x14ac:dyDescent="0.25">
      <c r="B52" s="3" t="s">
        <v>95</v>
      </c>
      <c r="C52" s="602" t="s">
        <v>96</v>
      </c>
      <c r="D52" s="602"/>
      <c r="E52" s="602"/>
      <c r="F52" s="602"/>
      <c r="G52" s="602"/>
      <c r="H52" s="53" t="s">
        <v>128</v>
      </c>
      <c r="I52" s="61" t="s">
        <v>129</v>
      </c>
      <c r="J52" s="45" t="s">
        <v>115</v>
      </c>
      <c r="K52" s="45" t="s">
        <v>97</v>
      </c>
    </row>
    <row r="53" spans="2:11" x14ac:dyDescent="0.25">
      <c r="B53" s="8" t="s">
        <v>98</v>
      </c>
      <c r="C53" s="622" t="s">
        <v>99</v>
      </c>
      <c r="D53" s="622"/>
      <c r="E53" s="622"/>
      <c r="F53" s="622"/>
      <c r="G53" s="622"/>
      <c r="H53" s="4">
        <v>220</v>
      </c>
      <c r="I53" s="8" t="s">
        <v>130</v>
      </c>
      <c r="J53" s="62">
        <f>K53/H53</f>
        <v>9.4650454545454537</v>
      </c>
      <c r="K53" s="67">
        <v>2082.31</v>
      </c>
    </row>
    <row r="54" spans="2:11" x14ac:dyDescent="0.25">
      <c r="B54" s="668" t="s">
        <v>135</v>
      </c>
      <c r="C54" s="615" t="s">
        <v>139</v>
      </c>
      <c r="D54" s="615"/>
      <c r="E54" s="615"/>
      <c r="F54" s="615"/>
      <c r="G54" s="615"/>
      <c r="H54" s="66">
        <f>H57*H69</f>
        <v>112.66666666666666</v>
      </c>
      <c r="I54" s="8" t="s">
        <v>140</v>
      </c>
      <c r="J54" s="62"/>
      <c r="K54" s="67"/>
    </row>
    <row r="55" spans="2:11" x14ac:dyDescent="0.25">
      <c r="B55" s="668"/>
      <c r="C55" s="615"/>
      <c r="D55" s="615"/>
      <c r="E55" s="615"/>
      <c r="F55" s="615"/>
      <c r="G55" s="615"/>
      <c r="H55" s="66">
        <f>H54*8/7</f>
        <v>128.76190476190476</v>
      </c>
      <c r="I55" s="8" t="s">
        <v>141</v>
      </c>
      <c r="J55" s="62">
        <f>J53*0.2</f>
        <v>1.8930090909090909</v>
      </c>
      <c r="K55" s="67">
        <f>H55*J55</f>
        <v>243.74745627705627</v>
      </c>
    </row>
    <row r="56" spans="2:11" x14ac:dyDescent="0.25">
      <c r="B56" s="76" t="s">
        <v>142</v>
      </c>
      <c r="C56" s="63" t="s">
        <v>132</v>
      </c>
      <c r="D56" s="64"/>
      <c r="E56" s="64"/>
      <c r="F56" s="64"/>
      <c r="G56" s="65"/>
      <c r="H56" s="66">
        <f>7+1/3-H57</f>
        <v>3</v>
      </c>
      <c r="I56" s="8" t="s">
        <v>130</v>
      </c>
      <c r="J56" s="62">
        <f>J53*2</f>
        <v>18.930090909090907</v>
      </c>
      <c r="K56" s="67">
        <f>H56*J56</f>
        <v>56.790272727272722</v>
      </c>
    </row>
    <row r="57" spans="2:11" x14ac:dyDescent="0.25">
      <c r="B57" s="76" t="s">
        <v>143</v>
      </c>
      <c r="C57" s="63" t="s">
        <v>144</v>
      </c>
      <c r="D57" s="64"/>
      <c r="E57" s="64"/>
      <c r="F57" s="64"/>
      <c r="G57" s="65"/>
      <c r="H57" s="66">
        <f>4+1/3</f>
        <v>4.333333333333333</v>
      </c>
      <c r="I57" s="8" t="s">
        <v>130</v>
      </c>
      <c r="J57" s="62"/>
      <c r="K57" s="67"/>
    </row>
    <row r="58" spans="2:11" x14ac:dyDescent="0.25">
      <c r="B58" s="76" t="s">
        <v>145</v>
      </c>
      <c r="C58" s="63" t="s">
        <v>146</v>
      </c>
      <c r="D58" s="64"/>
      <c r="E58" s="64"/>
      <c r="F58" s="64"/>
      <c r="G58" s="65"/>
      <c r="H58" s="66">
        <f>H57*8/7</f>
        <v>4.9523809523809517</v>
      </c>
      <c r="I58" s="8" t="s">
        <v>130</v>
      </c>
      <c r="J58" s="62">
        <f>J53*2*1.2</f>
        <v>22.716109090909089</v>
      </c>
      <c r="K58" s="67">
        <f>H58*J58</f>
        <v>112.49882597402595</v>
      </c>
    </row>
    <row r="59" spans="2:11" x14ac:dyDescent="0.25">
      <c r="B59" s="214" t="s">
        <v>147</v>
      </c>
      <c r="C59" s="622" t="s">
        <v>136</v>
      </c>
      <c r="D59" s="622"/>
      <c r="E59" s="622"/>
      <c r="F59" s="622"/>
      <c r="G59" s="622"/>
      <c r="H59" s="66"/>
      <c r="I59" s="8"/>
      <c r="J59" s="215">
        <f>61/304*(SUM(K54:K58))</f>
        <v>82.879045571314649</v>
      </c>
      <c r="K59" s="67">
        <f>J59</f>
        <v>82.879045571314649</v>
      </c>
    </row>
    <row r="60" spans="2:11" x14ac:dyDescent="0.25">
      <c r="B60" s="76" t="s">
        <v>148</v>
      </c>
      <c r="C60" s="671" t="s">
        <v>136</v>
      </c>
      <c r="D60" s="671"/>
      <c r="E60" s="671"/>
      <c r="F60" s="671"/>
      <c r="G60" s="671"/>
      <c r="H60" s="4">
        <v>40</v>
      </c>
      <c r="I60" s="8" t="s">
        <v>89</v>
      </c>
      <c r="J60" s="46"/>
      <c r="K60" s="67">
        <f>K53*40%</f>
        <v>832.92399999999998</v>
      </c>
    </row>
    <row r="61" spans="2:11" x14ac:dyDescent="0.25">
      <c r="C61" s="661" t="s">
        <v>100</v>
      </c>
      <c r="D61" s="661"/>
      <c r="E61" s="661"/>
      <c r="F61" s="661"/>
      <c r="G61" s="661"/>
      <c r="H61" s="661"/>
      <c r="I61" s="661"/>
      <c r="J61" s="48"/>
      <c r="K61" s="210">
        <f>SUM(K53:K60)</f>
        <v>3411.1496005496692</v>
      </c>
    </row>
    <row r="62" spans="2:11" x14ac:dyDescent="0.25">
      <c r="B62" s="45" t="s">
        <v>101</v>
      </c>
      <c r="C62" s="602" t="s">
        <v>102</v>
      </c>
      <c r="D62" s="602"/>
      <c r="E62" s="602"/>
      <c r="F62" s="602"/>
      <c r="G62" s="602"/>
      <c r="H62" s="602"/>
      <c r="I62" s="602"/>
      <c r="J62" s="45" t="s">
        <v>89</v>
      </c>
      <c r="K62" s="45" t="s">
        <v>97</v>
      </c>
    </row>
    <row r="63" spans="2:11" x14ac:dyDescent="0.25">
      <c r="B63" s="8" t="s">
        <v>103</v>
      </c>
      <c r="C63" s="622" t="s">
        <v>104</v>
      </c>
      <c r="D63" s="622"/>
      <c r="E63" s="622"/>
      <c r="F63" s="622"/>
      <c r="G63" s="622"/>
      <c r="H63" s="622"/>
      <c r="I63" s="622"/>
      <c r="J63" s="50">
        <f>'7 - ENCARGOS SOCIAIS'!$D$13</f>
        <v>0.36800000000000005</v>
      </c>
      <c r="K63" s="67">
        <f>J63*$K$61</f>
        <v>1255.3030530022784</v>
      </c>
    </row>
    <row r="64" spans="2:11" x14ac:dyDescent="0.25">
      <c r="B64" s="8" t="s">
        <v>105</v>
      </c>
      <c r="C64" s="622" t="s">
        <v>106</v>
      </c>
      <c r="D64" s="622"/>
      <c r="E64" s="622"/>
      <c r="F64" s="622"/>
      <c r="G64" s="622"/>
      <c r="H64" s="622"/>
      <c r="I64" s="622"/>
      <c r="J64" s="50">
        <f>'7 - ENCARGOS SOCIAIS'!$D$21</f>
        <v>0.15387245147090212</v>
      </c>
      <c r="K64" s="67">
        <f>J64*$K$61</f>
        <v>524.88195137056607</v>
      </c>
    </row>
    <row r="65" spans="2:11" x14ac:dyDescent="0.25">
      <c r="B65" s="8" t="s">
        <v>107</v>
      </c>
      <c r="C65" s="622" t="s">
        <v>108</v>
      </c>
      <c r="D65" s="622"/>
      <c r="E65" s="622"/>
      <c r="F65" s="622"/>
      <c r="G65" s="622"/>
      <c r="H65" s="622"/>
      <c r="I65" s="622"/>
      <c r="J65" s="50">
        <f>'7 - ENCARGOS SOCIAIS'!$D$28</f>
        <v>0.12666581537651095</v>
      </c>
      <c r="K65" s="67">
        <f>J65*$K$61</f>
        <v>432.07604552488345</v>
      </c>
    </row>
    <row r="66" spans="2:11" x14ac:dyDescent="0.25">
      <c r="B66" s="8" t="s">
        <v>109</v>
      </c>
      <c r="C66" s="622" t="s">
        <v>110</v>
      </c>
      <c r="D66" s="622"/>
      <c r="E66" s="622"/>
      <c r="F66" s="622"/>
      <c r="G66" s="622"/>
      <c r="H66" s="622"/>
      <c r="I66" s="622"/>
      <c r="J66" s="50">
        <f>'7 - ENCARGOS SOCIAIS'!$D$32</f>
        <v>5.9231502118822603E-2</v>
      </c>
      <c r="K66" s="67">
        <f>J66*$K$61</f>
        <v>202.0475147925786</v>
      </c>
    </row>
    <row r="67" spans="2:11" x14ac:dyDescent="0.25">
      <c r="B67" s="25"/>
      <c r="C67" s="614" t="s">
        <v>111</v>
      </c>
      <c r="D67" s="614"/>
      <c r="E67" s="614"/>
      <c r="F67" s="614"/>
      <c r="G67" s="614"/>
      <c r="H67" s="614"/>
      <c r="I67" s="614"/>
      <c r="J67" s="51">
        <f>SUM(J63:J66)</f>
        <v>0.70776976896623567</v>
      </c>
      <c r="K67" s="211">
        <f>SUM(K63:K66)</f>
        <v>2414.3085646903064</v>
      </c>
    </row>
    <row r="68" spans="2:11" ht="30" customHeight="1" x14ac:dyDescent="0.25">
      <c r="B68" s="45" t="s">
        <v>112</v>
      </c>
      <c r="C68" s="667" t="s">
        <v>113</v>
      </c>
      <c r="D68" s="667"/>
      <c r="E68" s="667"/>
      <c r="F68" s="667"/>
      <c r="G68" s="667"/>
      <c r="H68" s="53" t="s">
        <v>114</v>
      </c>
      <c r="I68" s="45" t="s">
        <v>115</v>
      </c>
      <c r="J68" s="45" t="s">
        <v>116</v>
      </c>
      <c r="K68" s="45" t="s">
        <v>97</v>
      </c>
    </row>
    <row r="69" spans="2:11" ht="15" customHeight="1" x14ac:dyDescent="0.25">
      <c r="B69" s="8" t="s">
        <v>117</v>
      </c>
      <c r="C69" s="670" t="s">
        <v>118</v>
      </c>
      <c r="D69" s="670"/>
      <c r="E69" s="670"/>
      <c r="F69" s="670"/>
      <c r="G69" s="670"/>
      <c r="H69" s="8">
        <v>26</v>
      </c>
      <c r="I69" s="54">
        <v>27.15</v>
      </c>
      <c r="J69" s="69">
        <v>0.19</v>
      </c>
      <c r="K69" s="133">
        <f>(H69*I69)-((H69*I69)*J69)</f>
        <v>571.779</v>
      </c>
    </row>
    <row r="70" spans="2:11" x14ac:dyDescent="0.25">
      <c r="B70" s="8" t="s">
        <v>119</v>
      </c>
      <c r="C70" s="622" t="s">
        <v>151</v>
      </c>
      <c r="D70" s="622"/>
      <c r="E70" s="622"/>
      <c r="F70" s="622"/>
      <c r="G70" s="622"/>
      <c r="H70" s="8">
        <f>H69*4</f>
        <v>104</v>
      </c>
      <c r="I70" s="56">
        <v>6.25</v>
      </c>
      <c r="J70" s="69">
        <v>0.06</v>
      </c>
      <c r="K70" s="133">
        <f>(H70*I70)-(K53*J70)</f>
        <v>525.06140000000005</v>
      </c>
    </row>
    <row r="71" spans="2:11" ht="15" customHeight="1" x14ac:dyDescent="0.25">
      <c r="B71" s="8" t="s">
        <v>121</v>
      </c>
      <c r="C71" s="622" t="s">
        <v>122</v>
      </c>
      <c r="D71" s="622"/>
      <c r="E71" s="622"/>
      <c r="F71" s="622"/>
      <c r="G71" s="622"/>
      <c r="H71" s="4">
        <v>1</v>
      </c>
      <c r="I71" s="54">
        <v>25.52</v>
      </c>
      <c r="J71" s="5"/>
      <c r="K71" s="32">
        <f>I71</f>
        <v>25.52</v>
      </c>
    </row>
    <row r="72" spans="2:11" x14ac:dyDescent="0.25">
      <c r="B72" s="76" t="s">
        <v>152</v>
      </c>
      <c r="C72" s="671" t="s">
        <v>153</v>
      </c>
      <c r="D72" s="671"/>
      <c r="E72" s="671"/>
      <c r="F72" s="671"/>
      <c r="G72" s="671"/>
      <c r="H72" s="4">
        <v>1</v>
      </c>
      <c r="I72" s="54">
        <v>80</v>
      </c>
      <c r="J72" s="5"/>
      <c r="K72" s="32">
        <f>I72</f>
        <v>80</v>
      </c>
    </row>
    <row r="73" spans="2:11" x14ac:dyDescent="0.25">
      <c r="B73" s="5"/>
      <c r="C73" s="661" t="s">
        <v>123</v>
      </c>
      <c r="D73" s="661"/>
      <c r="E73" s="661"/>
      <c r="F73" s="661"/>
      <c r="G73" s="661"/>
      <c r="H73" s="661"/>
      <c r="I73" s="661"/>
      <c r="J73" s="48"/>
      <c r="K73" s="206">
        <f>SUM(K69:K72)</f>
        <v>1202.3604</v>
      </c>
    </row>
    <row r="74" spans="2:11" x14ac:dyDescent="0.25">
      <c r="B74" s="665" t="s">
        <v>351</v>
      </c>
      <c r="C74" s="665"/>
      <c r="D74" s="665"/>
      <c r="E74" s="665"/>
      <c r="F74" s="665"/>
      <c r="G74" s="665"/>
      <c r="H74" s="665"/>
      <c r="I74" s="665"/>
      <c r="J74" s="665"/>
      <c r="K74" s="212">
        <f>K73+K67+K61</f>
        <v>7027.8185652399752</v>
      </c>
    </row>
    <row r="75" spans="2:11" x14ac:dyDescent="0.25">
      <c r="B75" s="666" t="s">
        <v>125</v>
      </c>
      <c r="C75" s="666"/>
      <c r="D75" s="666"/>
      <c r="E75" s="666"/>
      <c r="F75" s="666"/>
      <c r="G75" s="666"/>
      <c r="H75" s="666"/>
      <c r="I75" s="59">
        <f>H8</f>
        <v>27</v>
      </c>
      <c r="J75" s="59" t="s">
        <v>126</v>
      </c>
      <c r="K75" s="213">
        <f>K74*I75</f>
        <v>189751.10126147934</v>
      </c>
    </row>
    <row r="76" spans="2:11" x14ac:dyDescent="0.25"/>
    <row r="77" spans="2:11" x14ac:dyDescent="0.25">
      <c r="B77" s="663" t="s">
        <v>352</v>
      </c>
      <c r="C77" s="663"/>
      <c r="D77" s="663"/>
      <c r="E77" s="663"/>
      <c r="F77" s="663"/>
      <c r="G77" s="663"/>
      <c r="H77" s="663"/>
      <c r="I77" s="663"/>
      <c r="J77" s="663"/>
      <c r="K77" s="663"/>
    </row>
    <row r="78" spans="2:11" x14ac:dyDescent="0.25">
      <c r="B78" s="3" t="s">
        <v>95</v>
      </c>
      <c r="C78" s="602" t="s">
        <v>96</v>
      </c>
      <c r="D78" s="602"/>
      <c r="E78" s="602"/>
      <c r="F78" s="602"/>
      <c r="G78" s="602"/>
      <c r="H78" s="53" t="s">
        <v>128</v>
      </c>
      <c r="I78" s="61" t="s">
        <v>129</v>
      </c>
      <c r="J78" s="45" t="s">
        <v>115</v>
      </c>
      <c r="K78" s="45" t="s">
        <v>97</v>
      </c>
    </row>
    <row r="79" spans="2:11" x14ac:dyDescent="0.25">
      <c r="B79" s="8" t="s">
        <v>98</v>
      </c>
      <c r="C79" s="622" t="s">
        <v>99</v>
      </c>
      <c r="D79" s="622"/>
      <c r="E79" s="622"/>
      <c r="F79" s="622"/>
      <c r="G79" s="622"/>
      <c r="H79" s="4">
        <v>220</v>
      </c>
      <c r="I79" s="8" t="s">
        <v>130</v>
      </c>
      <c r="J79" s="62">
        <f>K79/H79</f>
        <v>11.441227272727273</v>
      </c>
      <c r="K79" s="67">
        <f>'6 - DADOS CC MO'!E22</f>
        <v>2517.0700000000002</v>
      </c>
    </row>
    <row r="80" spans="2:11" x14ac:dyDescent="0.25">
      <c r="B80" s="76" t="s">
        <v>131</v>
      </c>
      <c r="C80" s="63" t="s">
        <v>132</v>
      </c>
      <c r="D80" s="64"/>
      <c r="E80" s="64"/>
      <c r="F80" s="64"/>
      <c r="G80" s="65"/>
      <c r="H80" s="66">
        <f>7+1/3</f>
        <v>7.333333333333333</v>
      </c>
      <c r="I80" s="8" t="s">
        <v>130</v>
      </c>
      <c r="J80" s="62">
        <f>J79*2</f>
        <v>22.882454545454546</v>
      </c>
      <c r="K80" s="67">
        <f>H80*J80</f>
        <v>167.80466666666666</v>
      </c>
    </row>
    <row r="81" spans="2:11" x14ac:dyDescent="0.25">
      <c r="B81" s="76" t="s">
        <v>133</v>
      </c>
      <c r="C81" s="63" t="s">
        <v>134</v>
      </c>
      <c r="D81" s="64"/>
      <c r="E81" s="64"/>
      <c r="F81" s="64"/>
      <c r="G81" s="65"/>
      <c r="H81" s="66"/>
      <c r="I81" s="8"/>
      <c r="J81" s="62">
        <f>61/304*(SUM(K80))</f>
        <v>33.67133114035088</v>
      </c>
      <c r="K81" s="67">
        <f>J81</f>
        <v>33.67133114035088</v>
      </c>
    </row>
    <row r="82" spans="2:11" x14ac:dyDescent="0.25">
      <c r="B82" s="8" t="s">
        <v>135</v>
      </c>
      <c r="C82" s="622" t="s">
        <v>136</v>
      </c>
      <c r="D82" s="622"/>
      <c r="E82" s="622"/>
      <c r="F82" s="622"/>
      <c r="G82" s="622"/>
      <c r="H82" s="4">
        <v>40</v>
      </c>
      <c r="I82" s="8" t="s">
        <v>89</v>
      </c>
      <c r="J82" s="46"/>
      <c r="K82" s="67">
        <f>K79*40%</f>
        <v>1006.8280000000001</v>
      </c>
    </row>
    <row r="83" spans="2:11" x14ac:dyDescent="0.25">
      <c r="B83" s="4"/>
      <c r="C83" s="661" t="s">
        <v>100</v>
      </c>
      <c r="D83" s="661"/>
      <c r="E83" s="661"/>
      <c r="F83" s="661"/>
      <c r="G83" s="661"/>
      <c r="H83" s="661"/>
      <c r="I83" s="661"/>
      <c r="J83" s="48"/>
      <c r="K83" s="210">
        <f>SUM(K79:K82)</f>
        <v>3725.3739978070175</v>
      </c>
    </row>
    <row r="84" spans="2:11" x14ac:dyDescent="0.25">
      <c r="B84" s="45" t="s">
        <v>101</v>
      </c>
      <c r="C84" s="602" t="s">
        <v>102</v>
      </c>
      <c r="D84" s="602"/>
      <c r="E84" s="602"/>
      <c r="F84" s="602"/>
      <c r="G84" s="602"/>
      <c r="H84" s="602"/>
      <c r="I84" s="602"/>
      <c r="J84" s="45" t="s">
        <v>89</v>
      </c>
      <c r="K84" s="45" t="s">
        <v>97</v>
      </c>
    </row>
    <row r="85" spans="2:11" x14ac:dyDescent="0.25">
      <c r="B85" s="8" t="s">
        <v>103</v>
      </c>
      <c r="C85" s="622" t="s">
        <v>104</v>
      </c>
      <c r="D85" s="622"/>
      <c r="E85" s="622"/>
      <c r="F85" s="622"/>
      <c r="G85" s="622"/>
      <c r="H85" s="622"/>
      <c r="I85" s="622"/>
      <c r="J85" s="50">
        <f>'7 - ENCARGOS SOCIAIS'!$D$13</f>
        <v>0.36800000000000005</v>
      </c>
      <c r="K85" s="67">
        <f>J85*$K$83</f>
        <v>1370.9376311929827</v>
      </c>
    </row>
    <row r="86" spans="2:11" x14ac:dyDescent="0.25">
      <c r="B86" s="8" t="s">
        <v>105</v>
      </c>
      <c r="C86" s="622" t="s">
        <v>106</v>
      </c>
      <c r="D86" s="622"/>
      <c r="E86" s="622"/>
      <c r="F86" s="622"/>
      <c r="G86" s="622"/>
      <c r="H86" s="622"/>
      <c r="I86" s="622"/>
      <c r="J86" s="50">
        <f>'7 - ENCARGOS SOCIAIS'!$D$21</f>
        <v>0.15387245147090212</v>
      </c>
      <c r="K86" s="67">
        <f>J86*$K$83</f>
        <v>573.23242968852094</v>
      </c>
    </row>
    <row r="87" spans="2:11" x14ac:dyDescent="0.25">
      <c r="B87" s="8" t="s">
        <v>107</v>
      </c>
      <c r="C87" s="622" t="s">
        <v>108</v>
      </c>
      <c r="D87" s="622"/>
      <c r="E87" s="622"/>
      <c r="F87" s="622"/>
      <c r="G87" s="622"/>
      <c r="H87" s="622"/>
      <c r="I87" s="622"/>
      <c r="J87" s="50">
        <f>'7 - ENCARGOS SOCIAIS'!$D$28</f>
        <v>0.12666581537651095</v>
      </c>
      <c r="K87" s="67">
        <f>J87*$K$83</f>
        <v>471.87753501467819</v>
      </c>
    </row>
    <row r="88" spans="2:11" ht="15" customHeight="1" x14ac:dyDescent="0.25">
      <c r="B88" s="8" t="s">
        <v>109</v>
      </c>
      <c r="C88" s="622" t="s">
        <v>110</v>
      </c>
      <c r="D88" s="622"/>
      <c r="E88" s="622"/>
      <c r="F88" s="622"/>
      <c r="G88" s="622"/>
      <c r="H88" s="622"/>
      <c r="I88" s="622"/>
      <c r="J88" s="50">
        <f>'7 - ENCARGOS SOCIAIS'!$D$32</f>
        <v>5.9231502118822603E-2</v>
      </c>
      <c r="K88" s="67">
        <f>J88*$K$83</f>
        <v>220.659497844513</v>
      </c>
    </row>
    <row r="89" spans="2:11" x14ac:dyDescent="0.25">
      <c r="B89" s="25"/>
      <c r="C89" s="614" t="s">
        <v>111</v>
      </c>
      <c r="D89" s="614"/>
      <c r="E89" s="614"/>
      <c r="F89" s="614"/>
      <c r="G89" s="614"/>
      <c r="H89" s="614"/>
      <c r="I89" s="614"/>
      <c r="J89" s="51">
        <f>SUM(J85:J88)</f>
        <v>0.70776976896623567</v>
      </c>
      <c r="K89" s="211">
        <f>SUM(K85:K88)</f>
        <v>2636.7070937406943</v>
      </c>
    </row>
    <row r="90" spans="2:11" ht="35.450000000000003" customHeight="1" x14ac:dyDescent="0.25">
      <c r="B90" s="45" t="s">
        <v>112</v>
      </c>
      <c r="C90" s="667" t="s">
        <v>113</v>
      </c>
      <c r="D90" s="667"/>
      <c r="E90" s="667"/>
      <c r="F90" s="667"/>
      <c r="G90" s="667"/>
      <c r="H90" s="53" t="s">
        <v>114</v>
      </c>
      <c r="I90" s="45" t="s">
        <v>115</v>
      </c>
      <c r="J90" s="45" t="s">
        <v>116</v>
      </c>
      <c r="K90" s="45" t="s">
        <v>97</v>
      </c>
    </row>
    <row r="91" spans="2:11" x14ac:dyDescent="0.25">
      <c r="B91" s="8" t="s">
        <v>117</v>
      </c>
      <c r="C91" s="622" t="s">
        <v>156</v>
      </c>
      <c r="D91" s="622"/>
      <c r="E91" s="622"/>
      <c r="F91" s="622"/>
      <c r="G91" s="622"/>
      <c r="H91" s="8">
        <v>26</v>
      </c>
      <c r="I91" s="54">
        <v>27.15</v>
      </c>
      <c r="J91" s="69">
        <v>0.19</v>
      </c>
      <c r="K91" s="133">
        <f>(H91*I91)-((H91*I91)*J91)</f>
        <v>571.779</v>
      </c>
    </row>
    <row r="92" spans="2:11" x14ac:dyDescent="0.25">
      <c r="B92" s="8" t="s">
        <v>119</v>
      </c>
      <c r="C92" s="622" t="s">
        <v>120</v>
      </c>
      <c r="D92" s="622"/>
      <c r="E92" s="622"/>
      <c r="F92" s="622"/>
      <c r="G92" s="622"/>
      <c r="H92" s="8">
        <f>H91*4</f>
        <v>104</v>
      </c>
      <c r="I92" s="56">
        <v>6.25</v>
      </c>
      <c r="J92" s="69">
        <v>0.06</v>
      </c>
      <c r="K92" s="133">
        <f>(H92*I92)-(K79*J92)</f>
        <v>498.97579999999999</v>
      </c>
    </row>
    <row r="93" spans="2:11" x14ac:dyDescent="0.25">
      <c r="B93" s="8" t="s">
        <v>121</v>
      </c>
      <c r="C93" s="622" t="s">
        <v>353</v>
      </c>
      <c r="D93" s="622"/>
      <c r="E93" s="622"/>
      <c r="F93" s="622"/>
      <c r="G93" s="622"/>
      <c r="H93" s="8">
        <v>1</v>
      </c>
      <c r="I93" s="56">
        <v>121.34</v>
      </c>
      <c r="J93" s="50"/>
      <c r="K93" s="133">
        <f>I93</f>
        <v>121.34</v>
      </c>
    </row>
    <row r="94" spans="2:11" x14ac:dyDescent="0.25">
      <c r="B94" s="5"/>
      <c r="C94" s="661" t="s">
        <v>123</v>
      </c>
      <c r="D94" s="661"/>
      <c r="E94" s="661"/>
      <c r="F94" s="661"/>
      <c r="G94" s="661"/>
      <c r="H94" s="661"/>
      <c r="I94" s="661"/>
      <c r="J94" s="48"/>
      <c r="K94" s="206">
        <f>SUM(K91:K93)</f>
        <v>1192.0947999999999</v>
      </c>
    </row>
    <row r="95" spans="2:11" x14ac:dyDescent="0.25">
      <c r="B95" s="665" t="s">
        <v>354</v>
      </c>
      <c r="C95" s="665"/>
      <c r="D95" s="665"/>
      <c r="E95" s="665"/>
      <c r="F95" s="665"/>
      <c r="G95" s="665"/>
      <c r="H95" s="665"/>
      <c r="I95" s="665"/>
      <c r="J95" s="665"/>
      <c r="K95" s="212">
        <f>K94+K89+K83</f>
        <v>7554.1758915477112</v>
      </c>
    </row>
    <row r="96" spans="2:11" x14ac:dyDescent="0.25">
      <c r="B96" s="666" t="s">
        <v>125</v>
      </c>
      <c r="C96" s="666"/>
      <c r="D96" s="666"/>
      <c r="E96" s="666"/>
      <c r="F96" s="666"/>
      <c r="G96" s="666"/>
      <c r="H96" s="666"/>
      <c r="I96" s="59">
        <f>H9</f>
        <v>9</v>
      </c>
      <c r="J96" s="59" t="s">
        <v>126</v>
      </c>
      <c r="K96" s="213">
        <f>K95*I96</f>
        <v>67987.583023929401</v>
      </c>
    </row>
    <row r="97" spans="2:11" x14ac:dyDescent="0.25"/>
    <row r="98" spans="2:11" x14ac:dyDescent="0.25">
      <c r="B98" s="663" t="s">
        <v>355</v>
      </c>
      <c r="C98" s="663"/>
      <c r="D98" s="663"/>
      <c r="E98" s="663"/>
      <c r="F98" s="663"/>
      <c r="G98" s="663"/>
      <c r="H98" s="663"/>
      <c r="I98" s="663"/>
      <c r="J98" s="663"/>
      <c r="K98" s="663"/>
    </row>
    <row r="99" spans="2:11" x14ac:dyDescent="0.25">
      <c r="B99" s="3" t="s">
        <v>95</v>
      </c>
      <c r="C99" s="602" t="s">
        <v>96</v>
      </c>
      <c r="D99" s="602"/>
      <c r="E99" s="602"/>
      <c r="F99" s="602"/>
      <c r="G99" s="602"/>
      <c r="H99" s="53" t="s">
        <v>128</v>
      </c>
      <c r="I99" s="61" t="s">
        <v>129</v>
      </c>
      <c r="J99" s="45" t="s">
        <v>115</v>
      </c>
      <c r="K99" s="45" t="s">
        <v>97</v>
      </c>
    </row>
    <row r="100" spans="2:11" x14ac:dyDescent="0.25">
      <c r="B100" s="76" t="s">
        <v>98</v>
      </c>
      <c r="C100" s="671" t="s">
        <v>99</v>
      </c>
      <c r="D100" s="671"/>
      <c r="E100" s="671"/>
      <c r="F100" s="671"/>
      <c r="G100" s="671"/>
      <c r="H100" s="77">
        <v>220</v>
      </c>
      <c r="I100" s="76" t="s">
        <v>130</v>
      </c>
      <c r="J100" s="78">
        <f>K100/H100</f>
        <v>11.441227272727273</v>
      </c>
      <c r="K100" s="216">
        <f>'6 - DADOS CC MO'!E22</f>
        <v>2517.0700000000002</v>
      </c>
    </row>
    <row r="101" spans="2:11" x14ac:dyDescent="0.25">
      <c r="B101" s="754" t="s">
        <v>135</v>
      </c>
      <c r="C101" s="755" t="s">
        <v>139</v>
      </c>
      <c r="D101" s="755"/>
      <c r="E101" s="755"/>
      <c r="F101" s="755"/>
      <c r="G101" s="755"/>
      <c r="H101" s="80">
        <v>112.67</v>
      </c>
      <c r="I101" s="76" t="s">
        <v>140</v>
      </c>
      <c r="J101" s="78"/>
      <c r="K101" s="216"/>
    </row>
    <row r="102" spans="2:11" x14ac:dyDescent="0.25">
      <c r="B102" s="754"/>
      <c r="C102" s="755"/>
      <c r="D102" s="755"/>
      <c r="E102" s="755"/>
      <c r="F102" s="755"/>
      <c r="G102" s="755"/>
      <c r="H102" s="80">
        <f>H101*8/7</f>
        <v>128.7657142857143</v>
      </c>
      <c r="I102" s="77" t="s">
        <v>141</v>
      </c>
      <c r="J102" s="92">
        <f>J100*0.4</f>
        <v>4.5764909090909098</v>
      </c>
      <c r="K102" s="216">
        <f>J102*H102</f>
        <v>589.29512083116902</v>
      </c>
    </row>
    <row r="103" spans="2:11" x14ac:dyDescent="0.25">
      <c r="B103" s="76" t="s">
        <v>142</v>
      </c>
      <c r="C103" s="83" t="s">
        <v>132</v>
      </c>
      <c r="D103" s="84"/>
      <c r="E103" s="84"/>
      <c r="F103" s="84"/>
      <c r="G103" s="217"/>
      <c r="H103" s="80">
        <f>7+1/3-H104</f>
        <v>3</v>
      </c>
      <c r="I103" s="77" t="s">
        <v>130</v>
      </c>
      <c r="J103" s="218">
        <f>J100*2</f>
        <v>22.882454545454546</v>
      </c>
      <c r="K103" s="216">
        <f>J103*H103</f>
        <v>68.647363636363636</v>
      </c>
    </row>
    <row r="104" spans="2:11" x14ac:dyDescent="0.25">
      <c r="B104" s="76" t="s">
        <v>143</v>
      </c>
      <c r="C104" s="83" t="s">
        <v>356</v>
      </c>
      <c r="D104" s="84"/>
      <c r="E104" s="84"/>
      <c r="F104" s="84"/>
      <c r="G104" s="217"/>
      <c r="H104" s="80">
        <f>4+1/3</f>
        <v>4.333333333333333</v>
      </c>
      <c r="I104" s="77" t="s">
        <v>130</v>
      </c>
      <c r="J104" s="77"/>
      <c r="K104" s="216"/>
    </row>
    <row r="105" spans="2:11" x14ac:dyDescent="0.25">
      <c r="B105" s="76" t="s">
        <v>145</v>
      </c>
      <c r="C105" s="83" t="s">
        <v>146</v>
      </c>
      <c r="D105" s="84"/>
      <c r="E105" s="84"/>
      <c r="F105" s="84"/>
      <c r="G105" s="217"/>
      <c r="H105" s="80">
        <f>H104*8/7</f>
        <v>4.9523809523809517</v>
      </c>
      <c r="I105" s="77" t="s">
        <v>130</v>
      </c>
      <c r="J105" s="218">
        <f>J100*2*1.4</f>
        <v>32.035436363636364</v>
      </c>
      <c r="K105" s="216">
        <f>J105*H105</f>
        <v>158.65168484848482</v>
      </c>
    </row>
    <row r="106" spans="2:11" x14ac:dyDescent="0.25">
      <c r="B106" s="76" t="s">
        <v>147</v>
      </c>
      <c r="C106" s="83" t="s">
        <v>159</v>
      </c>
      <c r="D106" s="84"/>
      <c r="E106" s="84"/>
      <c r="F106" s="84"/>
      <c r="G106" s="85"/>
      <c r="H106" s="77"/>
      <c r="I106" s="86"/>
      <c r="J106" s="218">
        <f>61/304*(SUM(K102:K105))</f>
        <v>163.85606686933247</v>
      </c>
      <c r="K106" s="216">
        <f>J106</f>
        <v>163.85606686933247</v>
      </c>
    </row>
    <row r="107" spans="2:11" x14ac:dyDescent="0.25">
      <c r="B107" s="76" t="s">
        <v>148</v>
      </c>
      <c r="C107" s="671" t="s">
        <v>136</v>
      </c>
      <c r="D107" s="671"/>
      <c r="E107" s="671"/>
      <c r="F107" s="671"/>
      <c r="G107" s="671"/>
      <c r="H107" s="77">
        <v>40</v>
      </c>
      <c r="I107" s="76" t="s">
        <v>89</v>
      </c>
      <c r="J107" s="81"/>
      <c r="K107" s="216">
        <f>K100*40%</f>
        <v>1006.8280000000001</v>
      </c>
    </row>
    <row r="108" spans="2:11" ht="15" customHeight="1" x14ac:dyDescent="0.25">
      <c r="B108" s="4"/>
      <c r="C108" s="661" t="s">
        <v>100</v>
      </c>
      <c r="D108" s="661"/>
      <c r="E108" s="661"/>
      <c r="F108" s="661"/>
      <c r="G108" s="661"/>
      <c r="H108" s="661"/>
      <c r="I108" s="661"/>
      <c r="J108" s="48"/>
      <c r="K108" s="210">
        <f>SUM(K100:K107)</f>
        <v>4504.3482361853503</v>
      </c>
    </row>
    <row r="109" spans="2:11" ht="15" customHeight="1" x14ac:dyDescent="0.25">
      <c r="B109" s="45" t="s">
        <v>101</v>
      </c>
      <c r="C109" s="602" t="s">
        <v>102</v>
      </c>
      <c r="D109" s="602"/>
      <c r="E109" s="602"/>
      <c r="F109" s="602"/>
      <c r="G109" s="602"/>
      <c r="H109" s="602"/>
      <c r="I109" s="602"/>
      <c r="J109" s="45" t="s">
        <v>89</v>
      </c>
      <c r="K109" s="45" t="s">
        <v>97</v>
      </c>
    </row>
    <row r="110" spans="2:11" ht="15" customHeight="1" x14ac:dyDescent="0.25">
      <c r="B110" s="8" t="s">
        <v>103</v>
      </c>
      <c r="C110" s="622" t="s">
        <v>104</v>
      </c>
      <c r="D110" s="622"/>
      <c r="E110" s="622"/>
      <c r="F110" s="622"/>
      <c r="G110" s="622"/>
      <c r="H110" s="622"/>
      <c r="I110" s="622"/>
      <c r="J110" s="50">
        <f>'7 - ENCARGOS SOCIAIS'!$D$13</f>
        <v>0.36800000000000005</v>
      </c>
      <c r="K110" s="67">
        <f>J110*K108</f>
        <v>1657.600150916209</v>
      </c>
    </row>
    <row r="111" spans="2:11" x14ac:dyDescent="0.25">
      <c r="B111" s="8" t="s">
        <v>105</v>
      </c>
      <c r="C111" s="622" t="s">
        <v>106</v>
      </c>
      <c r="D111" s="622"/>
      <c r="E111" s="622"/>
      <c r="F111" s="622"/>
      <c r="G111" s="622"/>
      <c r="H111" s="622"/>
      <c r="I111" s="622"/>
      <c r="J111" s="50">
        <f>'7 - ENCARGOS SOCIAIS'!$D$21</f>
        <v>0.15387245147090212</v>
      </c>
      <c r="K111" s="67">
        <f>J111*K108</f>
        <v>693.09510538047391</v>
      </c>
    </row>
    <row r="112" spans="2:11" ht="15" customHeight="1" x14ac:dyDescent="0.25">
      <c r="B112" s="8" t="s">
        <v>107</v>
      </c>
      <c r="C112" s="622" t="s">
        <v>108</v>
      </c>
      <c r="D112" s="622"/>
      <c r="E112" s="622"/>
      <c r="F112" s="622"/>
      <c r="G112" s="622"/>
      <c r="H112" s="622"/>
      <c r="I112" s="622"/>
      <c r="J112" s="50">
        <f>'7 - ENCARGOS SOCIAIS'!$D$28</f>
        <v>0.12666581537651095</v>
      </c>
      <c r="K112" s="67">
        <f>J112*K108</f>
        <v>570.54694207616626</v>
      </c>
    </row>
    <row r="113" spans="2:11" x14ac:dyDescent="0.25">
      <c r="B113" s="8" t="s">
        <v>109</v>
      </c>
      <c r="C113" s="622" t="s">
        <v>110</v>
      </c>
      <c r="D113" s="622"/>
      <c r="E113" s="622"/>
      <c r="F113" s="622"/>
      <c r="G113" s="622"/>
      <c r="H113" s="622"/>
      <c r="I113" s="622"/>
      <c r="J113" s="50">
        <f>'7 - ENCARGOS SOCIAIS'!$D$32</f>
        <v>5.9231502118822603E-2</v>
      </c>
      <c r="K113" s="67">
        <f>J113*K108</f>
        <v>266.79931209552745</v>
      </c>
    </row>
    <row r="114" spans="2:11" x14ac:dyDescent="0.25">
      <c r="B114" s="25"/>
      <c r="C114" s="614" t="s">
        <v>111</v>
      </c>
      <c r="D114" s="614"/>
      <c r="E114" s="614"/>
      <c r="F114" s="614"/>
      <c r="G114" s="614"/>
      <c r="H114" s="614"/>
      <c r="I114" s="614"/>
      <c r="J114" s="51">
        <f>SUM(J110:J113)</f>
        <v>0.70776976896623567</v>
      </c>
      <c r="K114" s="211">
        <f>SUM(K110:K113)</f>
        <v>3188.0415104683766</v>
      </c>
    </row>
    <row r="115" spans="2:11" ht="23.85" customHeight="1" x14ac:dyDescent="0.25">
      <c r="B115" s="45" t="s">
        <v>112</v>
      </c>
      <c r="C115" s="667" t="s">
        <v>113</v>
      </c>
      <c r="D115" s="667"/>
      <c r="E115" s="667"/>
      <c r="F115" s="667"/>
      <c r="G115" s="667"/>
      <c r="H115" s="53" t="s">
        <v>114</v>
      </c>
      <c r="I115" s="45" t="s">
        <v>115</v>
      </c>
      <c r="J115" s="45" t="s">
        <v>116</v>
      </c>
      <c r="K115" s="45" t="s">
        <v>97</v>
      </c>
    </row>
    <row r="116" spans="2:11" x14ac:dyDescent="0.25">
      <c r="B116" s="8" t="s">
        <v>117</v>
      </c>
      <c r="C116" s="622" t="s">
        <v>156</v>
      </c>
      <c r="D116" s="622"/>
      <c r="E116" s="622"/>
      <c r="F116" s="622"/>
      <c r="G116" s="622"/>
      <c r="H116" s="8">
        <v>26</v>
      </c>
      <c r="I116" s="54">
        <v>27.15</v>
      </c>
      <c r="J116" s="69">
        <v>0.19</v>
      </c>
      <c r="K116" s="133">
        <f>(H116*I116)-((H116*I116)*J116)</f>
        <v>571.779</v>
      </c>
    </row>
    <row r="117" spans="2:11" x14ac:dyDescent="0.25">
      <c r="B117" s="8" t="s">
        <v>119</v>
      </c>
      <c r="C117" s="622" t="s">
        <v>120</v>
      </c>
      <c r="D117" s="622"/>
      <c r="E117" s="622"/>
      <c r="F117" s="622"/>
      <c r="G117" s="622"/>
      <c r="H117" s="8">
        <f>H116*4</f>
        <v>104</v>
      </c>
      <c r="I117" s="56">
        <v>6.25</v>
      </c>
      <c r="J117" s="69">
        <v>0.06</v>
      </c>
      <c r="K117" s="133">
        <f>(H117*I117)-(K100*J117)</f>
        <v>498.97579999999999</v>
      </c>
    </row>
    <row r="118" spans="2:11" x14ac:dyDescent="0.25">
      <c r="B118" s="8" t="s">
        <v>121</v>
      </c>
      <c r="C118" s="622" t="s">
        <v>353</v>
      </c>
      <c r="D118" s="622"/>
      <c r="E118" s="622"/>
      <c r="F118" s="622"/>
      <c r="G118" s="622"/>
      <c r="H118" s="8">
        <v>1</v>
      </c>
      <c r="I118" s="56">
        <v>121.34</v>
      </c>
      <c r="J118" s="50"/>
      <c r="K118" s="133">
        <f>I118</f>
        <v>121.34</v>
      </c>
    </row>
    <row r="119" spans="2:11" x14ac:dyDescent="0.25">
      <c r="B119" s="5"/>
      <c r="C119" s="661" t="s">
        <v>123</v>
      </c>
      <c r="D119" s="661"/>
      <c r="E119" s="661"/>
      <c r="F119" s="661"/>
      <c r="G119" s="661"/>
      <c r="H119" s="661"/>
      <c r="I119" s="661"/>
      <c r="J119" s="48"/>
      <c r="K119" s="206">
        <f>SUM(K116:K118)</f>
        <v>1192.0947999999999</v>
      </c>
    </row>
    <row r="120" spans="2:11" x14ac:dyDescent="0.25">
      <c r="B120" s="665" t="s">
        <v>357</v>
      </c>
      <c r="C120" s="665"/>
      <c r="D120" s="665"/>
      <c r="E120" s="665"/>
      <c r="F120" s="665"/>
      <c r="G120" s="665"/>
      <c r="H120" s="665"/>
      <c r="I120" s="665"/>
      <c r="J120" s="665"/>
      <c r="K120" s="212">
        <f>K119+K114+K108</f>
        <v>8884.4845466537263</v>
      </c>
    </row>
    <row r="121" spans="2:11" x14ac:dyDescent="0.25">
      <c r="B121" s="666" t="s">
        <v>125</v>
      </c>
      <c r="C121" s="666"/>
      <c r="D121" s="666"/>
      <c r="E121" s="666"/>
      <c r="F121" s="666"/>
      <c r="G121" s="666"/>
      <c r="H121" s="666"/>
      <c r="I121" s="59">
        <v>9</v>
      </c>
      <c r="J121" s="59" t="s">
        <v>126</v>
      </c>
      <c r="K121" s="213">
        <f>K120*I121</f>
        <v>79960.360919883533</v>
      </c>
    </row>
    <row r="122" spans="2:11" x14ac:dyDescent="0.25">
      <c r="B122" s="771"/>
      <c r="C122" s="771"/>
      <c r="D122" s="771"/>
      <c r="E122" s="771"/>
      <c r="F122" s="771"/>
      <c r="G122" s="771"/>
      <c r="H122" s="771"/>
      <c r="I122" s="771"/>
      <c r="J122" s="771"/>
      <c r="K122" s="771"/>
    </row>
    <row r="123" spans="2:11" x14ac:dyDescent="0.25"/>
    <row r="124" spans="2:11" ht="15" customHeight="1" x14ac:dyDescent="0.25">
      <c r="B124" s="597" t="s">
        <v>358</v>
      </c>
      <c r="C124" s="597"/>
      <c r="D124" s="597"/>
      <c r="E124" s="597"/>
      <c r="F124" s="597"/>
      <c r="G124" s="597"/>
      <c r="H124" s="597"/>
      <c r="I124" s="597"/>
      <c r="J124" s="597"/>
      <c r="K124" s="111">
        <f>K49+K75+K96+K121</f>
        <v>512268.98564546887</v>
      </c>
    </row>
    <row r="125" spans="2:11" x14ac:dyDescent="0.25"/>
    <row r="126" spans="2:11" x14ac:dyDescent="0.25"/>
    <row r="127" spans="2:11" x14ac:dyDescent="0.25">
      <c r="B127" s="601" t="s">
        <v>359</v>
      </c>
      <c r="C127" s="601"/>
      <c r="D127" s="601"/>
      <c r="E127" s="601"/>
      <c r="F127" s="601"/>
      <c r="G127" s="601"/>
      <c r="H127" s="601"/>
      <c r="I127" s="601"/>
      <c r="J127" s="601"/>
      <c r="K127" s="601"/>
    </row>
    <row r="129" spans="2:13" x14ac:dyDescent="0.25">
      <c r="B129" s="663" t="s">
        <v>360</v>
      </c>
      <c r="C129" s="663"/>
      <c r="D129" s="663"/>
      <c r="E129" s="663"/>
      <c r="F129" s="663"/>
      <c r="G129" s="663"/>
      <c r="H129" s="663"/>
      <c r="I129" s="663"/>
      <c r="J129" s="663"/>
      <c r="K129" s="663"/>
      <c r="M129" s="541"/>
    </row>
    <row r="130" spans="2:13" ht="30" x14ac:dyDescent="0.25">
      <c r="B130" s="614" t="s">
        <v>174</v>
      </c>
      <c r="C130" s="614"/>
      <c r="D130" s="614"/>
      <c r="E130" s="614"/>
      <c r="F130" s="614"/>
      <c r="G130" s="26" t="s">
        <v>361</v>
      </c>
      <c r="H130" s="26" t="s">
        <v>176</v>
      </c>
      <c r="I130" s="664" t="s">
        <v>177</v>
      </c>
      <c r="J130" s="664"/>
      <c r="K130" s="25" t="s">
        <v>178</v>
      </c>
      <c r="M130" s="541"/>
    </row>
    <row r="131" spans="2:13" x14ac:dyDescent="0.25">
      <c r="B131" s="594" t="s">
        <v>362</v>
      </c>
      <c r="C131" s="594"/>
      <c r="D131" s="594"/>
      <c r="E131" s="594"/>
      <c r="F131" s="594"/>
      <c r="G131" s="4">
        <v>2</v>
      </c>
      <c r="H131" s="133">
        <f>'10 - CUSTOS UN'!J39</f>
        <v>42.74</v>
      </c>
      <c r="I131" s="645">
        <f t="shared" ref="I131:I142" si="0">H131/6</f>
        <v>7.123333333333334</v>
      </c>
      <c r="J131" s="645"/>
      <c r="K131" s="133">
        <f t="shared" ref="K131:K142" si="1">I131*G131</f>
        <v>14.246666666666668</v>
      </c>
    </row>
    <row r="132" spans="2:13" x14ac:dyDescent="0.25">
      <c r="B132" s="594" t="s">
        <v>363</v>
      </c>
      <c r="C132" s="594"/>
      <c r="D132" s="594"/>
      <c r="E132" s="594"/>
      <c r="F132" s="594"/>
      <c r="G132" s="4">
        <v>2</v>
      </c>
      <c r="H132" s="133">
        <f>'10 - CUSTOS UN'!J33</f>
        <v>44.47</v>
      </c>
      <c r="I132" s="645">
        <f t="shared" si="0"/>
        <v>7.4116666666666662</v>
      </c>
      <c r="J132" s="645"/>
      <c r="K132" s="133">
        <f t="shared" si="1"/>
        <v>14.823333333333332</v>
      </c>
      <c r="M132" s="541"/>
    </row>
    <row r="133" spans="2:13" x14ac:dyDescent="0.25">
      <c r="B133" s="594" t="s">
        <v>364</v>
      </c>
      <c r="C133" s="594"/>
      <c r="D133" s="594"/>
      <c r="E133" s="594"/>
      <c r="F133" s="594"/>
      <c r="G133" s="4">
        <v>2</v>
      </c>
      <c r="H133" s="133">
        <f>'10 - CUSTOS UN'!J24</f>
        <v>55.079999999999991</v>
      </c>
      <c r="I133" s="645">
        <f t="shared" si="0"/>
        <v>9.1799999999999979</v>
      </c>
      <c r="J133" s="645"/>
      <c r="K133" s="133">
        <f t="shared" si="1"/>
        <v>18.359999999999996</v>
      </c>
      <c r="M133" s="541"/>
    </row>
    <row r="134" spans="2:13" x14ac:dyDescent="0.25">
      <c r="B134" s="594" t="s">
        <v>365</v>
      </c>
      <c r="C134" s="594"/>
      <c r="D134" s="594"/>
      <c r="E134" s="594"/>
      <c r="F134" s="594"/>
      <c r="G134" s="4">
        <v>2</v>
      </c>
      <c r="H134" s="133">
        <f>'10 - CUSTOS UN'!J15</f>
        <v>44.393333333333338</v>
      </c>
      <c r="I134" s="645">
        <f t="shared" si="0"/>
        <v>7.39888888888889</v>
      </c>
      <c r="J134" s="645"/>
      <c r="K134" s="133">
        <f t="shared" si="1"/>
        <v>14.79777777777778</v>
      </c>
      <c r="M134" s="541"/>
    </row>
    <row r="135" spans="2:13" x14ac:dyDescent="0.25">
      <c r="B135" s="594" t="s">
        <v>366</v>
      </c>
      <c r="C135" s="594"/>
      <c r="D135" s="594"/>
      <c r="E135" s="594"/>
      <c r="F135" s="594"/>
      <c r="G135" s="4">
        <v>6</v>
      </c>
      <c r="H135" s="133">
        <f>'10 - CUSTOS UN'!J84</f>
        <v>17.73</v>
      </c>
      <c r="I135" s="645">
        <f t="shared" si="0"/>
        <v>2.9550000000000001</v>
      </c>
      <c r="J135" s="645"/>
      <c r="K135" s="133">
        <f t="shared" si="1"/>
        <v>17.73</v>
      </c>
      <c r="M135" s="541"/>
    </row>
    <row r="136" spans="2:13" x14ac:dyDescent="0.25">
      <c r="B136" s="594" t="s">
        <v>367</v>
      </c>
      <c r="C136" s="594"/>
      <c r="D136" s="594"/>
      <c r="E136" s="594"/>
      <c r="F136" s="594"/>
      <c r="G136" s="4">
        <v>2</v>
      </c>
      <c r="H136" s="133">
        <f>'10 - CUSTOS UN'!J21</f>
        <v>9.2099999999999991</v>
      </c>
      <c r="I136" s="645">
        <f t="shared" si="0"/>
        <v>1.5349999999999999</v>
      </c>
      <c r="J136" s="645"/>
      <c r="K136" s="133">
        <f t="shared" si="1"/>
        <v>3.07</v>
      </c>
      <c r="M136" s="541"/>
    </row>
    <row r="137" spans="2:13" x14ac:dyDescent="0.25">
      <c r="B137" s="594" t="s">
        <v>185</v>
      </c>
      <c r="C137" s="594"/>
      <c r="D137" s="594"/>
      <c r="E137" s="594"/>
      <c r="F137" s="594"/>
      <c r="G137" s="4">
        <v>1</v>
      </c>
      <c r="H137" s="133">
        <f>'10 - CUSTOS UN'!J66</f>
        <v>156.05666666666664</v>
      </c>
      <c r="I137" s="645">
        <f t="shared" si="0"/>
        <v>26.009444444444441</v>
      </c>
      <c r="J137" s="645"/>
      <c r="K137" s="133">
        <f t="shared" si="1"/>
        <v>26.009444444444441</v>
      </c>
      <c r="M137" s="541"/>
    </row>
    <row r="138" spans="2:13" x14ac:dyDescent="0.25">
      <c r="B138" s="594" t="s">
        <v>368</v>
      </c>
      <c r="C138" s="594"/>
      <c r="D138" s="594"/>
      <c r="E138" s="594"/>
      <c r="F138" s="594"/>
      <c r="G138" s="4">
        <v>2</v>
      </c>
      <c r="H138" s="133">
        <f>'10 - CUSTOS UN'!J111</f>
        <v>116.83</v>
      </c>
      <c r="I138" s="645">
        <f t="shared" si="0"/>
        <v>19.471666666666668</v>
      </c>
      <c r="J138" s="645"/>
      <c r="K138" s="133">
        <f t="shared" si="1"/>
        <v>38.943333333333335</v>
      </c>
      <c r="M138" s="541"/>
    </row>
    <row r="139" spans="2:13" x14ac:dyDescent="0.25">
      <c r="B139" s="594" t="s">
        <v>369</v>
      </c>
      <c r="C139" s="594"/>
      <c r="D139" s="594"/>
      <c r="E139" s="594"/>
      <c r="F139" s="594"/>
      <c r="G139" s="219">
        <v>1</v>
      </c>
      <c r="H139" s="220">
        <f>'10 - CUSTOS UN'!J87</f>
        <v>4.7966666666666669</v>
      </c>
      <c r="I139" s="645">
        <f t="shared" si="0"/>
        <v>0.79944444444444451</v>
      </c>
      <c r="J139" s="645"/>
      <c r="K139" s="133">
        <f t="shared" si="1"/>
        <v>0.79944444444444451</v>
      </c>
      <c r="M139" s="541"/>
    </row>
    <row r="140" spans="2:13" x14ac:dyDescent="0.25">
      <c r="B140" s="594" t="s">
        <v>188</v>
      </c>
      <c r="C140" s="594"/>
      <c r="D140" s="594"/>
      <c r="E140" s="594"/>
      <c r="F140" s="594"/>
      <c r="G140" s="219">
        <v>1</v>
      </c>
      <c r="H140" s="220">
        <f>'10 - CUSTOS UN'!J51</f>
        <v>212.1933333333333</v>
      </c>
      <c r="I140" s="645">
        <f t="shared" si="0"/>
        <v>35.365555555555552</v>
      </c>
      <c r="J140" s="645"/>
      <c r="K140" s="133">
        <f t="shared" si="1"/>
        <v>35.365555555555552</v>
      </c>
      <c r="M140" s="541"/>
    </row>
    <row r="141" spans="2:13" x14ac:dyDescent="0.25">
      <c r="B141" s="594" t="s">
        <v>187</v>
      </c>
      <c r="C141" s="594"/>
      <c r="D141" s="594"/>
      <c r="E141" s="594"/>
      <c r="F141" s="594"/>
      <c r="G141" s="219">
        <v>48</v>
      </c>
      <c r="H141" s="220">
        <f>'10 - CUSTOS UN'!J72</f>
        <v>8.2700000000000014</v>
      </c>
      <c r="I141" s="645">
        <f t="shared" si="0"/>
        <v>1.3783333333333336</v>
      </c>
      <c r="J141" s="645"/>
      <c r="K141" s="133">
        <f t="shared" si="1"/>
        <v>66.160000000000011</v>
      </c>
      <c r="M141" s="541"/>
    </row>
    <row r="142" spans="2:13" ht="15" customHeight="1" x14ac:dyDescent="0.25">
      <c r="B142" s="648" t="s">
        <v>370</v>
      </c>
      <c r="C142" s="648"/>
      <c r="D142" s="648"/>
      <c r="E142" s="648"/>
      <c r="F142" s="648"/>
      <c r="G142" s="113">
        <v>12</v>
      </c>
      <c r="H142" s="137">
        <f>'10 - CUSTOS UN'!J99</f>
        <v>14.9</v>
      </c>
      <c r="I142" s="649">
        <f t="shared" si="0"/>
        <v>2.4833333333333334</v>
      </c>
      <c r="J142" s="649"/>
      <c r="K142" s="137">
        <f t="shared" si="1"/>
        <v>29.8</v>
      </c>
      <c r="M142" s="541"/>
    </row>
    <row r="143" spans="2:13" ht="15" customHeight="1" x14ac:dyDescent="0.25">
      <c r="B143" s="660" t="s">
        <v>371</v>
      </c>
      <c r="C143" s="660"/>
      <c r="D143" s="660"/>
      <c r="E143" s="660"/>
      <c r="F143" s="660"/>
      <c r="G143" s="115"/>
      <c r="H143" s="115"/>
      <c r="I143" s="662"/>
      <c r="J143" s="662"/>
      <c r="K143" s="221">
        <f>SUM(K131:K142)</f>
        <v>280.10555555555555</v>
      </c>
      <c r="M143" s="541"/>
    </row>
    <row r="144" spans="2:13" ht="15" customHeight="1" x14ac:dyDescent="0.25">
      <c r="B144" s="661" t="s">
        <v>182</v>
      </c>
      <c r="C144" s="661"/>
      <c r="D144" s="661"/>
      <c r="E144" s="661"/>
      <c r="F144" s="661"/>
      <c r="G144" s="582">
        <f>H7+H8</f>
        <v>54</v>
      </c>
      <c r="H144" s="4" t="s">
        <v>126</v>
      </c>
      <c r="I144" s="645">
        <f>K143</f>
        <v>280.10555555555555</v>
      </c>
      <c r="J144" s="645"/>
      <c r="K144" s="206">
        <f>K143*G144</f>
        <v>15125.7</v>
      </c>
      <c r="M144" s="541"/>
    </row>
    <row r="145" spans="2:23" x14ac:dyDescent="0.25"/>
    <row r="146" spans="2:23" ht="15" customHeight="1" x14ac:dyDescent="0.25">
      <c r="B146" s="663" t="s">
        <v>372</v>
      </c>
      <c r="C146" s="663"/>
      <c r="D146" s="663"/>
      <c r="E146" s="663"/>
      <c r="F146" s="663"/>
      <c r="G146" s="663"/>
      <c r="H146" s="663"/>
      <c r="I146" s="663"/>
      <c r="J146" s="663"/>
      <c r="K146" s="663"/>
      <c r="M146" s="541"/>
    </row>
    <row r="147" spans="2:23" ht="30" x14ac:dyDescent="0.25">
      <c r="B147" s="614" t="s">
        <v>174</v>
      </c>
      <c r="C147" s="614"/>
      <c r="D147" s="614"/>
      <c r="E147" s="614"/>
      <c r="F147" s="614"/>
      <c r="G147" s="26" t="s">
        <v>361</v>
      </c>
      <c r="H147" s="26" t="s">
        <v>176</v>
      </c>
      <c r="I147" s="664" t="s">
        <v>177</v>
      </c>
      <c r="J147" s="664"/>
      <c r="K147" s="25" t="s">
        <v>178</v>
      </c>
      <c r="M147" s="573"/>
      <c r="N147" s="548"/>
      <c r="O147" s="548"/>
      <c r="P147" s="119"/>
      <c r="Q147" s="119"/>
      <c r="R147" s="119"/>
      <c r="S147" s="119"/>
      <c r="T147" s="119"/>
      <c r="U147" s="119"/>
      <c r="V147" s="119"/>
      <c r="W147" s="119"/>
    </row>
    <row r="148" spans="2:23" x14ac:dyDescent="0.25">
      <c r="B148" s="594" t="s">
        <v>179</v>
      </c>
      <c r="C148" s="594"/>
      <c r="D148" s="594"/>
      <c r="E148" s="594"/>
      <c r="F148" s="594"/>
      <c r="G148" s="4">
        <v>2</v>
      </c>
      <c r="H148" s="133">
        <f>'10 - CUSTOS UN'!J36</f>
        <v>21.349999999999998</v>
      </c>
      <c r="I148" s="645">
        <f t="shared" ref="I148:I155" si="2">H148/6</f>
        <v>3.5583333333333331</v>
      </c>
      <c r="J148" s="645"/>
      <c r="K148" s="133">
        <f t="shared" ref="K148:K155" si="3">I148*G148</f>
        <v>7.1166666666666663</v>
      </c>
      <c r="N148" s="548"/>
      <c r="O148" s="548"/>
      <c r="P148" s="119"/>
      <c r="Q148" s="119"/>
      <c r="R148" s="119"/>
      <c r="S148" s="119"/>
      <c r="T148" s="119"/>
      <c r="U148" s="119"/>
      <c r="V148" s="119"/>
      <c r="W148" s="119"/>
    </row>
    <row r="149" spans="2:23" x14ac:dyDescent="0.25">
      <c r="B149" s="594" t="s">
        <v>184</v>
      </c>
      <c r="C149" s="594"/>
      <c r="D149" s="594"/>
      <c r="E149" s="594"/>
      <c r="F149" s="594"/>
      <c r="G149" s="4">
        <v>2</v>
      </c>
      <c r="H149" s="133">
        <f>'10 - CUSTOS UN'!J27</f>
        <v>67.736666666666665</v>
      </c>
      <c r="I149" s="645">
        <f t="shared" si="2"/>
        <v>11.289444444444444</v>
      </c>
      <c r="J149" s="645"/>
      <c r="K149" s="133">
        <f t="shared" si="3"/>
        <v>22.578888888888887</v>
      </c>
      <c r="M149" s="541"/>
      <c r="T149" s="121"/>
      <c r="U149" s="121"/>
      <c r="V149" s="12"/>
      <c r="W149" s="12"/>
    </row>
    <row r="150" spans="2:23" x14ac:dyDescent="0.25">
      <c r="B150" s="594" t="s">
        <v>185</v>
      </c>
      <c r="C150" s="594"/>
      <c r="D150" s="594"/>
      <c r="E150" s="594"/>
      <c r="F150" s="594"/>
      <c r="G150" s="4">
        <v>1</v>
      </c>
      <c r="H150" s="133">
        <f>'10 - CUSTOS UN'!J66</f>
        <v>156.05666666666664</v>
      </c>
      <c r="I150" s="645">
        <f t="shared" si="2"/>
        <v>26.009444444444441</v>
      </c>
      <c r="J150" s="645"/>
      <c r="K150" s="133">
        <f t="shared" si="3"/>
        <v>26.009444444444441</v>
      </c>
      <c r="M150" s="541"/>
      <c r="T150" s="121"/>
      <c r="U150" s="121"/>
      <c r="V150" s="12"/>
      <c r="W150" s="12"/>
    </row>
    <row r="151" spans="2:23" x14ac:dyDescent="0.25">
      <c r="B151" s="594" t="s">
        <v>186</v>
      </c>
      <c r="C151" s="594"/>
      <c r="D151" s="594"/>
      <c r="E151" s="594"/>
      <c r="F151" s="594"/>
      <c r="G151" s="4">
        <v>1</v>
      </c>
      <c r="H151" s="133">
        <f>'10 - CUSTOS UN'!J30</f>
        <v>84.38</v>
      </c>
      <c r="I151" s="645">
        <f t="shared" si="2"/>
        <v>14.063333333333333</v>
      </c>
      <c r="J151" s="645"/>
      <c r="K151" s="133">
        <f t="shared" si="3"/>
        <v>14.063333333333333</v>
      </c>
      <c r="M151" s="541"/>
    </row>
    <row r="152" spans="2:23" x14ac:dyDescent="0.25">
      <c r="B152" s="594" t="s">
        <v>369</v>
      </c>
      <c r="C152" s="594"/>
      <c r="D152" s="594"/>
      <c r="E152" s="594"/>
      <c r="F152" s="594"/>
      <c r="G152" s="4">
        <v>1</v>
      </c>
      <c r="H152" s="133">
        <f>'10 - CUSTOS UN'!J87</f>
        <v>4.7966666666666669</v>
      </c>
      <c r="I152" s="645">
        <f t="shared" si="2"/>
        <v>0.79944444444444451</v>
      </c>
      <c r="J152" s="645"/>
      <c r="K152" s="133">
        <f t="shared" si="3"/>
        <v>0.79944444444444451</v>
      </c>
      <c r="M152" s="541"/>
    </row>
    <row r="153" spans="2:23" x14ac:dyDescent="0.25">
      <c r="B153" s="657" t="s">
        <v>196</v>
      </c>
      <c r="C153" s="657"/>
      <c r="D153" s="657"/>
      <c r="E153" s="657"/>
      <c r="F153" s="657"/>
      <c r="G153" s="4">
        <v>1</v>
      </c>
      <c r="H153" s="133">
        <f>'10 - CUSTOS UN'!J42</f>
        <v>16.393333333333334</v>
      </c>
      <c r="I153" s="645">
        <f t="shared" si="2"/>
        <v>2.7322222222222226</v>
      </c>
      <c r="J153" s="645"/>
      <c r="K153" s="133">
        <f t="shared" si="3"/>
        <v>2.7322222222222226</v>
      </c>
      <c r="M153" s="541"/>
      <c r="N153" s="549"/>
      <c r="O153" s="549"/>
      <c r="P153" s="120"/>
      <c r="Q153" s="120"/>
      <c r="V153" s="12"/>
      <c r="W153" s="12"/>
    </row>
    <row r="154" spans="2:23" ht="15" customHeight="1" x14ac:dyDescent="0.25">
      <c r="B154" s="594" t="s">
        <v>370</v>
      </c>
      <c r="C154" s="594"/>
      <c r="D154" s="594"/>
      <c r="E154" s="594"/>
      <c r="F154" s="594"/>
      <c r="G154" s="4">
        <v>6</v>
      </c>
      <c r="H154" s="133">
        <f>'10 - CUSTOS UN'!J99</f>
        <v>14.9</v>
      </c>
      <c r="I154" s="645">
        <f t="shared" si="2"/>
        <v>2.4833333333333334</v>
      </c>
      <c r="J154" s="645"/>
      <c r="K154" s="133">
        <f t="shared" si="3"/>
        <v>14.9</v>
      </c>
      <c r="M154" s="541"/>
    </row>
    <row r="155" spans="2:23" x14ac:dyDescent="0.25">
      <c r="B155" s="658" t="s">
        <v>373</v>
      </c>
      <c r="C155" s="658"/>
      <c r="D155" s="658"/>
      <c r="E155" s="658"/>
      <c r="F155" s="658"/>
      <c r="G155" s="113">
        <v>1</v>
      </c>
      <c r="H155" s="137">
        <f>'10 - CUSTOS UN'!J48</f>
        <v>18.52</v>
      </c>
      <c r="I155" s="659">
        <f t="shared" si="2"/>
        <v>3.0866666666666664</v>
      </c>
      <c r="J155" s="659"/>
      <c r="K155" s="137">
        <f t="shared" si="3"/>
        <v>3.0866666666666664</v>
      </c>
      <c r="M155" s="573"/>
      <c r="N155" s="548"/>
      <c r="O155" s="548"/>
      <c r="P155" s="119"/>
      <c r="Q155" s="119"/>
      <c r="R155" s="119"/>
      <c r="S155" s="119"/>
      <c r="T155" s="119"/>
      <c r="U155" s="119"/>
      <c r="V155" s="119"/>
      <c r="W155" s="119"/>
    </row>
    <row r="156" spans="2:23" x14ac:dyDescent="0.25">
      <c r="B156" s="660" t="s">
        <v>371</v>
      </c>
      <c r="C156" s="660"/>
      <c r="D156" s="660"/>
      <c r="E156" s="660"/>
      <c r="F156" s="660"/>
      <c r="G156" s="115"/>
      <c r="H156" s="115"/>
      <c r="I156" s="606"/>
      <c r="J156" s="606"/>
      <c r="K156" s="221">
        <f>SUM(K148:K155)</f>
        <v>91.286666666666676</v>
      </c>
      <c r="M156" s="573"/>
      <c r="N156" s="548"/>
      <c r="O156" s="548"/>
      <c r="P156" s="119"/>
      <c r="Q156" s="119"/>
      <c r="R156" s="119"/>
      <c r="S156" s="119"/>
      <c r="T156" s="119"/>
      <c r="U156" s="119"/>
      <c r="V156" s="119"/>
      <c r="W156" s="119"/>
    </row>
    <row r="157" spans="2:23" x14ac:dyDescent="0.25">
      <c r="B157" s="661" t="s">
        <v>374</v>
      </c>
      <c r="C157" s="661"/>
      <c r="D157" s="661"/>
      <c r="E157" s="661"/>
      <c r="F157" s="661"/>
      <c r="G157" s="582">
        <v>18</v>
      </c>
      <c r="H157" s="4" t="s">
        <v>126</v>
      </c>
      <c r="I157" s="645">
        <f>K156</f>
        <v>91.286666666666676</v>
      </c>
      <c r="J157" s="645"/>
      <c r="K157" s="206">
        <f>I157*G157</f>
        <v>1643.16</v>
      </c>
      <c r="M157" s="541"/>
      <c r="N157" s="549"/>
      <c r="O157" s="549"/>
      <c r="P157" s="120"/>
      <c r="Q157" s="120"/>
      <c r="R157" s="120"/>
      <c r="S157" s="120"/>
      <c r="T157" s="124"/>
      <c r="U157" s="124"/>
      <c r="V157" s="124"/>
      <c r="W157" s="124"/>
    </row>
    <row r="158" spans="2:23" x14ac:dyDescent="0.25">
      <c r="B158" s="654"/>
      <c r="C158" s="654"/>
      <c r="D158" s="654"/>
      <c r="E158" s="654"/>
      <c r="F158" s="654"/>
      <c r="I158" s="654"/>
      <c r="J158" s="654"/>
    </row>
    <row r="159" spans="2:23" ht="15.75" customHeight="1" x14ac:dyDescent="0.25">
      <c r="B159" s="597" t="s">
        <v>375</v>
      </c>
      <c r="C159" s="597"/>
      <c r="D159" s="597"/>
      <c r="E159" s="597"/>
      <c r="F159" s="597"/>
      <c r="G159" s="597"/>
      <c r="H159" s="597"/>
      <c r="I159" s="597"/>
      <c r="J159" s="597"/>
      <c r="K159" s="111">
        <f>K157+K144</f>
        <v>16768.86</v>
      </c>
    </row>
    <row r="160" spans="2:23" x14ac:dyDescent="0.25">
      <c r="T160" s="12"/>
      <c r="U160" s="12"/>
      <c r="V160" s="12"/>
      <c r="W160" s="12"/>
    </row>
    <row r="161" spans="2:23" x14ac:dyDescent="0.25">
      <c r="T161" s="12"/>
      <c r="U161" s="12"/>
      <c r="V161" s="124"/>
      <c r="W161" s="124"/>
    </row>
    <row r="162" spans="2:23" x14ac:dyDescent="0.25">
      <c r="B162" s="601" t="s">
        <v>376</v>
      </c>
      <c r="C162" s="601"/>
      <c r="D162" s="601"/>
      <c r="E162" s="601"/>
      <c r="F162" s="601"/>
      <c r="G162" s="601"/>
      <c r="H162" s="601"/>
      <c r="I162" s="601"/>
      <c r="J162" s="601"/>
      <c r="K162" s="601"/>
      <c r="N162" s="549"/>
      <c r="O162" s="549"/>
      <c r="P162" s="120"/>
      <c r="Q162" s="120"/>
      <c r="R162" s="120"/>
      <c r="S162" s="120"/>
      <c r="T162" s="120"/>
      <c r="U162" s="120"/>
      <c r="V162" s="120"/>
      <c r="W162" s="120"/>
    </row>
    <row r="163" spans="2:23" x14ac:dyDescent="0.25"/>
    <row r="164" spans="2:23" x14ac:dyDescent="0.25">
      <c r="B164" s="655" t="s">
        <v>206</v>
      </c>
      <c r="C164" s="655"/>
      <c r="D164" s="655"/>
      <c r="E164" s="655"/>
      <c r="F164" s="655"/>
      <c r="G164" s="655"/>
      <c r="H164" s="655"/>
      <c r="I164" s="655"/>
      <c r="J164" s="655"/>
      <c r="K164" s="655"/>
    </row>
    <row r="165" spans="2:23" ht="15" customHeight="1" x14ac:dyDescent="0.25">
      <c r="B165" s="38" t="s">
        <v>207</v>
      </c>
      <c r="C165" s="605" t="s">
        <v>174</v>
      </c>
      <c r="D165" s="605"/>
      <c r="E165" s="605"/>
      <c r="F165" s="605"/>
      <c r="G165" s="605"/>
      <c r="H165" s="605"/>
      <c r="I165" s="656" t="s">
        <v>208</v>
      </c>
      <c r="J165" s="656"/>
      <c r="K165" s="138" t="s">
        <v>209</v>
      </c>
    </row>
    <row r="166" spans="2:23" x14ac:dyDescent="0.25">
      <c r="B166" s="140" t="s">
        <v>329</v>
      </c>
      <c r="C166" s="770" t="s">
        <v>377</v>
      </c>
      <c r="D166" s="770"/>
      <c r="E166" s="770"/>
      <c r="F166" s="770"/>
      <c r="G166" s="770"/>
      <c r="H166" s="770"/>
      <c r="I166" s="651">
        <f>K277</f>
        <v>34629.93429649833</v>
      </c>
      <c r="J166" s="651"/>
      <c r="K166" s="141">
        <f>SUM(K167:K173)</f>
        <v>41487.476114364174</v>
      </c>
      <c r="M166" s="574"/>
      <c r="N166" s="535"/>
    </row>
    <row r="167" spans="2:23" x14ac:dyDescent="0.25">
      <c r="B167" s="5" t="s">
        <v>378</v>
      </c>
      <c r="C167" s="768" t="s">
        <v>212</v>
      </c>
      <c r="D167" s="768"/>
      <c r="E167" s="768"/>
      <c r="F167" s="768"/>
      <c r="G167" s="768"/>
      <c r="H167" s="768"/>
      <c r="I167" s="645">
        <f>I208</f>
        <v>4576.6592178013725</v>
      </c>
      <c r="J167" s="645"/>
      <c r="K167" s="142">
        <f>I167*2</f>
        <v>9153.318435602745</v>
      </c>
      <c r="M167" s="575"/>
      <c r="N167" s="576"/>
      <c r="O167" s="577"/>
    </row>
    <row r="168" spans="2:23" x14ac:dyDescent="0.25">
      <c r="B168" s="5" t="s">
        <v>379</v>
      </c>
      <c r="C168" s="768" t="s">
        <v>214</v>
      </c>
      <c r="D168" s="768"/>
      <c r="E168" s="768"/>
      <c r="F168" s="768"/>
      <c r="G168" s="768"/>
      <c r="H168" s="768"/>
      <c r="I168" s="645">
        <f>I223</f>
        <v>1730.5492667311441</v>
      </c>
      <c r="J168" s="645"/>
      <c r="K168" s="142">
        <f>I168*2</f>
        <v>3461.0985334622883</v>
      </c>
      <c r="M168" s="575"/>
      <c r="N168" s="576"/>
    </row>
    <row r="169" spans="2:23" x14ac:dyDescent="0.25">
      <c r="B169" s="5" t="s">
        <v>380</v>
      </c>
      <c r="C169" s="768" t="s">
        <v>216</v>
      </c>
      <c r="D169" s="768"/>
      <c r="E169" s="768"/>
      <c r="F169" s="768"/>
      <c r="G169" s="768"/>
      <c r="H169" s="768"/>
      <c r="I169" s="645">
        <f>I234</f>
        <v>550.33333333333337</v>
      </c>
      <c r="J169" s="645"/>
      <c r="K169" s="142">
        <f>I169*2</f>
        <v>1100.6666666666667</v>
      </c>
      <c r="M169" s="575"/>
      <c r="N169" s="576"/>
    </row>
    <row r="170" spans="2:23" x14ac:dyDescent="0.25">
      <c r="B170" s="5" t="s">
        <v>381</v>
      </c>
      <c r="C170" s="769" t="s">
        <v>382</v>
      </c>
      <c r="D170" s="769"/>
      <c r="E170" s="769"/>
      <c r="F170" s="769"/>
      <c r="G170" s="769"/>
      <c r="H170" s="769"/>
      <c r="I170" s="645">
        <f>I242</f>
        <v>19306.666666666668</v>
      </c>
      <c r="J170" s="645"/>
      <c r="K170" s="142">
        <f>I170*1</f>
        <v>19306.666666666668</v>
      </c>
      <c r="M170" s="575"/>
      <c r="N170" s="576"/>
    </row>
    <row r="171" spans="2:23" x14ac:dyDescent="0.25">
      <c r="B171" s="5" t="s">
        <v>383</v>
      </c>
      <c r="C171" s="769" t="s">
        <v>384</v>
      </c>
      <c r="D171" s="769"/>
      <c r="E171" s="769"/>
      <c r="F171" s="769"/>
      <c r="G171" s="769"/>
      <c r="H171" s="769"/>
      <c r="I171" s="645">
        <f>I255</f>
        <v>1442.2288888888888</v>
      </c>
      <c r="J171" s="645"/>
      <c r="K171" s="142">
        <f>I171*1</f>
        <v>1442.2288888888888</v>
      </c>
      <c r="M171" s="575"/>
      <c r="N171" s="576"/>
    </row>
    <row r="172" spans="2:23" x14ac:dyDescent="0.25">
      <c r="B172" s="5" t="s">
        <v>385</v>
      </c>
      <c r="C172" s="769" t="s">
        <v>220</v>
      </c>
      <c r="D172" s="769"/>
      <c r="E172" s="769"/>
      <c r="F172" s="769"/>
      <c r="G172" s="769"/>
      <c r="H172" s="769"/>
      <c r="I172" s="645">
        <f>I266</f>
        <v>2303.4969230769234</v>
      </c>
      <c r="J172" s="645"/>
      <c r="K172" s="142">
        <f>I172*1</f>
        <v>2303.4969230769234</v>
      </c>
      <c r="M172" s="575"/>
      <c r="N172" s="576"/>
      <c r="O172" s="549"/>
      <c r="P172" s="120"/>
      <c r="Q172" s="120"/>
      <c r="R172" s="120"/>
      <c r="S172" s="120"/>
      <c r="T172" s="120"/>
      <c r="U172" s="120"/>
      <c r="V172" s="120"/>
      <c r="W172" s="120"/>
    </row>
    <row r="173" spans="2:23" x14ac:dyDescent="0.25">
      <c r="B173" s="5" t="s">
        <v>386</v>
      </c>
      <c r="C173" s="769" t="s">
        <v>222</v>
      </c>
      <c r="D173" s="769"/>
      <c r="E173" s="769"/>
      <c r="F173" s="769"/>
      <c r="G173" s="769"/>
      <c r="H173" s="769"/>
      <c r="I173" s="645">
        <f>I271</f>
        <v>4720</v>
      </c>
      <c r="J173" s="645"/>
      <c r="K173" s="142">
        <f>I173*1</f>
        <v>4720</v>
      </c>
      <c r="M173" s="575"/>
      <c r="N173" s="576"/>
    </row>
    <row r="174" spans="2:23" x14ac:dyDescent="0.25">
      <c r="B174" s="140" t="s">
        <v>331</v>
      </c>
      <c r="C174" s="652" t="s">
        <v>387</v>
      </c>
      <c r="D174" s="652"/>
      <c r="E174" s="652"/>
      <c r="F174" s="652"/>
      <c r="G174" s="652"/>
      <c r="H174" s="652"/>
      <c r="I174" s="653">
        <f>K357</f>
        <v>32323.666238915597</v>
      </c>
      <c r="J174" s="653"/>
      <c r="K174" s="141">
        <f>SUM(K175:K181)</f>
        <v>265268.66910750535</v>
      </c>
      <c r="M174" s="574"/>
      <c r="N174" s="535"/>
    </row>
    <row r="175" spans="2:23" x14ac:dyDescent="0.25">
      <c r="B175" s="5" t="s">
        <v>388</v>
      </c>
      <c r="C175" s="768" t="s">
        <v>212</v>
      </c>
      <c r="D175" s="768"/>
      <c r="E175" s="768"/>
      <c r="F175" s="768"/>
      <c r="G175" s="768"/>
      <c r="H175" s="768"/>
      <c r="I175" s="645">
        <f>I295</f>
        <v>4437.2126190476192</v>
      </c>
      <c r="J175" s="645"/>
      <c r="K175" s="142">
        <f>I175*9</f>
        <v>39934.913571428573</v>
      </c>
      <c r="M175" s="575"/>
      <c r="N175" s="576"/>
      <c r="O175" s="578"/>
    </row>
    <row r="176" spans="2:23" x14ac:dyDescent="0.25">
      <c r="B176" s="5" t="s">
        <v>389</v>
      </c>
      <c r="C176" s="768" t="s">
        <v>214</v>
      </c>
      <c r="D176" s="768"/>
      <c r="E176" s="768"/>
      <c r="F176" s="768"/>
      <c r="G176" s="768"/>
      <c r="H176" s="768"/>
      <c r="I176" s="645">
        <f>I310</f>
        <v>1677.8210215773806</v>
      </c>
      <c r="J176" s="645"/>
      <c r="K176" s="142">
        <f>I176*9</f>
        <v>15100.389194196425</v>
      </c>
      <c r="M176" s="575"/>
      <c r="N176" s="576"/>
      <c r="O176" s="578"/>
    </row>
    <row r="177" spans="2:23" x14ac:dyDescent="0.25">
      <c r="B177" s="5" t="s">
        <v>390</v>
      </c>
      <c r="C177" s="768" t="s">
        <v>216</v>
      </c>
      <c r="D177" s="768"/>
      <c r="E177" s="768"/>
      <c r="F177" s="768"/>
      <c r="G177" s="768"/>
      <c r="H177" s="768"/>
      <c r="I177" s="645">
        <f>I318</f>
        <v>564.30555555555554</v>
      </c>
      <c r="J177" s="645"/>
      <c r="K177" s="142">
        <f>I177*9</f>
        <v>5078.75</v>
      </c>
      <c r="M177" s="575"/>
      <c r="N177" s="576"/>
      <c r="O177" s="578"/>
      <c r="P177" s="120"/>
      <c r="Q177" s="120"/>
      <c r="R177" s="120"/>
      <c r="S177" s="120"/>
      <c r="T177" s="120"/>
      <c r="U177" s="120"/>
      <c r="V177" s="120"/>
      <c r="W177" s="120"/>
    </row>
    <row r="178" spans="2:23" x14ac:dyDescent="0.25">
      <c r="B178" s="5" t="s">
        <v>391</v>
      </c>
      <c r="C178" s="769" t="s">
        <v>382</v>
      </c>
      <c r="D178" s="769"/>
      <c r="E178" s="769"/>
      <c r="F178" s="769"/>
      <c r="G178" s="769"/>
      <c r="H178" s="769"/>
      <c r="I178" s="645">
        <f>I326</f>
        <v>18100</v>
      </c>
      <c r="J178" s="645"/>
      <c r="K178" s="142">
        <f>I178*8</f>
        <v>144800</v>
      </c>
      <c r="M178" s="575"/>
      <c r="N178" s="576"/>
      <c r="O178" s="578"/>
    </row>
    <row r="179" spans="2:23" x14ac:dyDescent="0.25">
      <c r="B179" s="5" t="s">
        <v>392</v>
      </c>
      <c r="C179" s="769" t="s">
        <v>384</v>
      </c>
      <c r="D179" s="769"/>
      <c r="E179" s="769"/>
      <c r="F179" s="769"/>
      <c r="G179" s="769"/>
      <c r="H179" s="769"/>
      <c r="I179" s="645">
        <f>I338</f>
        <v>1442.2288888888888</v>
      </c>
      <c r="J179" s="645"/>
      <c r="K179" s="142">
        <f>I179*8</f>
        <v>11537.831111111111</v>
      </c>
      <c r="M179" s="579"/>
      <c r="N179" s="534"/>
      <c r="O179" s="568"/>
      <c r="P179" s="119"/>
      <c r="Q179" s="119"/>
      <c r="R179" s="119"/>
      <c r="S179" s="119"/>
      <c r="T179" s="119"/>
      <c r="U179" s="119"/>
      <c r="V179" s="119"/>
      <c r="W179" s="119"/>
    </row>
    <row r="180" spans="2:23" x14ac:dyDescent="0.25">
      <c r="B180" s="5" t="s">
        <v>393</v>
      </c>
      <c r="C180" s="769" t="s">
        <v>220</v>
      </c>
      <c r="D180" s="769"/>
      <c r="E180" s="769"/>
      <c r="F180" s="769"/>
      <c r="G180" s="769"/>
      <c r="H180" s="769"/>
      <c r="I180" s="645">
        <f>I349</f>
        <v>1382.0981538461538</v>
      </c>
      <c r="J180" s="645"/>
      <c r="K180" s="142">
        <f>I180*8</f>
        <v>11056.78523076923</v>
      </c>
      <c r="M180" s="579"/>
      <c r="N180" s="534"/>
      <c r="O180" s="568"/>
      <c r="P180" s="119"/>
      <c r="Q180" s="119"/>
      <c r="R180" s="119"/>
      <c r="S180" s="119"/>
      <c r="T180" s="119"/>
      <c r="U180" s="119"/>
      <c r="V180" s="119"/>
      <c r="W180" s="119"/>
    </row>
    <row r="181" spans="2:23" x14ac:dyDescent="0.25">
      <c r="B181" s="5" t="s">
        <v>394</v>
      </c>
      <c r="C181" s="769" t="s">
        <v>222</v>
      </c>
      <c r="D181" s="769"/>
      <c r="E181" s="769"/>
      <c r="F181" s="769"/>
      <c r="G181" s="769"/>
      <c r="H181" s="769"/>
      <c r="I181" s="645">
        <f>I354</f>
        <v>4720</v>
      </c>
      <c r="J181" s="645"/>
      <c r="K181" s="142">
        <f>I181*8</f>
        <v>37760</v>
      </c>
      <c r="M181" s="575"/>
      <c r="N181" s="576"/>
      <c r="O181" s="580"/>
      <c r="P181" s="120"/>
      <c r="Q181" s="120"/>
      <c r="R181" s="120"/>
      <c r="S181" s="120"/>
      <c r="T181" s="124"/>
      <c r="U181" s="120"/>
      <c r="V181" s="124"/>
      <c r="W181" s="120"/>
    </row>
    <row r="182" spans="2:23" x14ac:dyDescent="0.25">
      <c r="B182" s="140" t="s">
        <v>333</v>
      </c>
      <c r="C182" s="652" t="s">
        <v>395</v>
      </c>
      <c r="D182" s="652"/>
      <c r="E182" s="652"/>
      <c r="F182" s="652"/>
      <c r="G182" s="652"/>
      <c r="H182" s="652"/>
      <c r="I182" s="653">
        <f>K420</f>
        <v>3925.3981594444444</v>
      </c>
      <c r="J182" s="653"/>
      <c r="K182" s="141">
        <f>SUM(K183:K189)</f>
        <v>3925.3981594444449</v>
      </c>
      <c r="M182" s="574"/>
      <c r="N182" s="541"/>
      <c r="T182" s="12"/>
    </row>
    <row r="183" spans="2:23" x14ac:dyDescent="0.25">
      <c r="B183" s="5" t="s">
        <v>396</v>
      </c>
      <c r="C183" s="768" t="s">
        <v>212</v>
      </c>
      <c r="D183" s="768"/>
      <c r="E183" s="768"/>
      <c r="F183" s="768"/>
      <c r="G183" s="768"/>
      <c r="H183" s="768"/>
      <c r="I183" s="645">
        <f>I369</f>
        <v>512.96190476190475</v>
      </c>
      <c r="J183" s="645"/>
      <c r="K183" s="142">
        <f t="shared" ref="K183:K189" si="4">I183</f>
        <v>512.96190476190475</v>
      </c>
      <c r="M183" s="575"/>
      <c r="N183" s="541"/>
      <c r="S183" s="18"/>
    </row>
    <row r="184" spans="2:23" x14ac:dyDescent="0.25">
      <c r="B184" s="5" t="s">
        <v>397</v>
      </c>
      <c r="C184" s="768" t="s">
        <v>214</v>
      </c>
      <c r="D184" s="768"/>
      <c r="E184" s="768"/>
      <c r="F184" s="768"/>
      <c r="G184" s="768"/>
      <c r="H184" s="768"/>
      <c r="I184" s="645">
        <f>I378</f>
        <v>193.96372023809519</v>
      </c>
      <c r="J184" s="645"/>
      <c r="K184" s="142">
        <f t="shared" si="4"/>
        <v>193.96372023809519</v>
      </c>
      <c r="M184" s="575"/>
      <c r="N184" s="541"/>
      <c r="T184" s="12"/>
    </row>
    <row r="185" spans="2:23" x14ac:dyDescent="0.25">
      <c r="B185" s="5" t="s">
        <v>398</v>
      </c>
      <c r="C185" s="768" t="s">
        <v>216</v>
      </c>
      <c r="D185" s="768"/>
      <c r="E185" s="768"/>
      <c r="F185" s="768"/>
      <c r="G185" s="768"/>
      <c r="H185" s="768"/>
      <c r="I185" s="645">
        <f>I386</f>
        <v>272.42111111111114</v>
      </c>
      <c r="J185" s="645"/>
      <c r="K185" s="142">
        <f t="shared" si="4"/>
        <v>272.42111111111114</v>
      </c>
      <c r="M185" s="575"/>
      <c r="N185" s="541"/>
      <c r="T185" s="12"/>
      <c r="V185" s="12"/>
    </row>
    <row r="186" spans="2:23" x14ac:dyDescent="0.25">
      <c r="B186" s="5" t="s">
        <v>399</v>
      </c>
      <c r="C186" s="768" t="s">
        <v>382</v>
      </c>
      <c r="D186" s="768"/>
      <c r="E186" s="768"/>
      <c r="F186" s="768"/>
      <c r="G186" s="768"/>
      <c r="H186" s="768"/>
      <c r="I186" s="645">
        <f>I394</f>
        <v>1103.3333333333333</v>
      </c>
      <c r="J186" s="645"/>
      <c r="K186" s="142">
        <f t="shared" si="4"/>
        <v>1103.3333333333333</v>
      </c>
      <c r="M186" s="575"/>
      <c r="N186" s="541"/>
      <c r="O186" s="549"/>
      <c r="P186" s="120"/>
      <c r="Q186" s="120"/>
      <c r="R186" s="120"/>
      <c r="S186" s="120"/>
      <c r="T186" s="120"/>
      <c r="U186" s="120"/>
      <c r="V186" s="120"/>
      <c r="W186" s="120"/>
    </row>
    <row r="187" spans="2:23" x14ac:dyDescent="0.25">
      <c r="B187" s="5" t="s">
        <v>400</v>
      </c>
      <c r="C187" s="768" t="s">
        <v>384</v>
      </c>
      <c r="D187" s="768"/>
      <c r="E187" s="768"/>
      <c r="F187" s="768"/>
      <c r="G187" s="768"/>
      <c r="H187" s="768"/>
      <c r="I187" s="645">
        <f>I404</f>
        <v>27.814890000000002</v>
      </c>
      <c r="J187" s="645"/>
      <c r="K187" s="142">
        <f t="shared" si="4"/>
        <v>27.814890000000002</v>
      </c>
      <c r="M187" s="575"/>
      <c r="N187" s="541"/>
    </row>
    <row r="188" spans="2:23" x14ac:dyDescent="0.25">
      <c r="B188" s="5" t="s">
        <v>401</v>
      </c>
      <c r="C188" s="768" t="s">
        <v>220</v>
      </c>
      <c r="D188" s="768"/>
      <c r="E188" s="768"/>
      <c r="F188" s="768"/>
      <c r="G188" s="768"/>
      <c r="H188" s="768"/>
      <c r="I188" s="645">
        <f>I412</f>
        <v>44.903200000000005</v>
      </c>
      <c r="J188" s="645"/>
      <c r="K188" s="142">
        <f t="shared" si="4"/>
        <v>44.903200000000005</v>
      </c>
      <c r="M188" s="575"/>
      <c r="N188" s="541"/>
    </row>
    <row r="189" spans="2:23" x14ac:dyDescent="0.25">
      <c r="B189" s="112" t="s">
        <v>402</v>
      </c>
      <c r="C189" s="766" t="s">
        <v>222</v>
      </c>
      <c r="D189" s="766"/>
      <c r="E189" s="766"/>
      <c r="F189" s="766"/>
      <c r="G189" s="766"/>
      <c r="H189" s="766"/>
      <c r="I189" s="649">
        <f>I417</f>
        <v>1770</v>
      </c>
      <c r="J189" s="649"/>
      <c r="K189" s="222">
        <f t="shared" si="4"/>
        <v>1770</v>
      </c>
      <c r="M189" s="575"/>
      <c r="N189" s="541"/>
    </row>
    <row r="190" spans="2:23" x14ac:dyDescent="0.25">
      <c r="B190" s="143"/>
      <c r="C190" s="767" t="s">
        <v>223</v>
      </c>
      <c r="D190" s="767"/>
      <c r="E190" s="767"/>
      <c r="F190" s="767"/>
      <c r="G190" s="767"/>
      <c r="H190" s="767"/>
      <c r="I190" s="767"/>
      <c r="J190" s="767"/>
      <c r="K190" s="144">
        <f>SUM(K166,K174,,K182)</f>
        <v>310681.54338131397</v>
      </c>
      <c r="M190" s="574"/>
    </row>
    <row r="191" spans="2:23" x14ac:dyDescent="0.25">
      <c r="C191" s="132"/>
      <c r="D191" s="132"/>
      <c r="E191" s="132"/>
      <c r="F191" s="132"/>
      <c r="G191" s="132"/>
      <c r="H191" s="132"/>
      <c r="I191" s="132"/>
      <c r="J191" s="132"/>
      <c r="K191" s="132"/>
    </row>
    <row r="192" spans="2:23" x14ac:dyDescent="0.25"/>
    <row r="193" spans="2:23" x14ac:dyDescent="0.25">
      <c r="B193" s="626" t="s">
        <v>403</v>
      </c>
      <c r="C193" s="626"/>
      <c r="D193" s="626"/>
      <c r="E193" s="626"/>
      <c r="F193" s="626"/>
      <c r="G193" s="626"/>
      <c r="H193" s="626"/>
      <c r="I193" s="626"/>
      <c r="J193" s="626"/>
      <c r="K193" s="626"/>
    </row>
    <row r="194" spans="2:23" x14ac:dyDescent="0.25"/>
    <row r="195" spans="2:23" x14ac:dyDescent="0.25">
      <c r="B195" s="609" t="s">
        <v>404</v>
      </c>
      <c r="C195" s="609"/>
      <c r="D195" s="609"/>
      <c r="E195" s="609"/>
      <c r="F195" s="609"/>
      <c r="G195" s="609"/>
      <c r="H195" s="609"/>
      <c r="I195" s="609"/>
      <c r="J195" s="609"/>
      <c r="K195" s="609"/>
    </row>
    <row r="196" spans="2:23" x14ac:dyDescent="0.25">
      <c r="B196" s="605" t="s">
        <v>174</v>
      </c>
      <c r="C196" s="605"/>
      <c r="D196" s="605"/>
      <c r="E196" s="605"/>
      <c r="F196" s="605"/>
      <c r="G196" s="223" t="s">
        <v>128</v>
      </c>
      <c r="H196" s="138" t="s">
        <v>129</v>
      </c>
      <c r="I196" s="605" t="s">
        <v>226</v>
      </c>
      <c r="J196" s="605"/>
      <c r="K196" s="138" t="s">
        <v>227</v>
      </c>
      <c r="M196" s="534"/>
      <c r="N196" s="549"/>
      <c r="O196" s="549"/>
      <c r="P196" s="120"/>
      <c r="Q196" s="120"/>
      <c r="R196" s="120"/>
      <c r="S196" s="120"/>
      <c r="T196" s="120"/>
      <c r="U196" s="120"/>
      <c r="V196" s="120"/>
      <c r="W196" s="120"/>
    </row>
    <row r="197" spans="2:23" x14ac:dyDescent="0.25">
      <c r="B197" s="620" t="s">
        <v>405</v>
      </c>
      <c r="C197" s="620"/>
      <c r="D197" s="620"/>
      <c r="E197" s="620"/>
      <c r="F197" s="620"/>
      <c r="G197" s="125">
        <v>2</v>
      </c>
      <c r="H197" s="125" t="s">
        <v>129</v>
      </c>
      <c r="I197" s="621">
        <f>297262+30000</f>
        <v>327262</v>
      </c>
      <c r="J197" s="621"/>
      <c r="K197" s="224">
        <f>I197*G197</f>
        <v>654524</v>
      </c>
      <c r="M197" s="717"/>
    </row>
    <row r="198" spans="2:23" x14ac:dyDescent="0.25">
      <c r="B198" s="622" t="s">
        <v>406</v>
      </c>
      <c r="C198" s="622"/>
      <c r="D198" s="622"/>
      <c r="E198" s="622"/>
      <c r="F198" s="622"/>
      <c r="G198" s="8">
        <v>7</v>
      </c>
      <c r="H198" s="8" t="s">
        <v>231</v>
      </c>
      <c r="I198" s="616"/>
      <c r="J198" s="616"/>
      <c r="K198" s="158"/>
      <c r="M198" s="717"/>
    </row>
    <row r="199" spans="2:23" x14ac:dyDescent="0.25">
      <c r="B199" s="622" t="s">
        <v>232</v>
      </c>
      <c r="C199" s="622"/>
      <c r="D199" s="622"/>
      <c r="E199" s="622"/>
      <c r="F199" s="622"/>
      <c r="G199" s="8">
        <v>6</v>
      </c>
      <c r="H199" s="8" t="s">
        <v>231</v>
      </c>
      <c r="I199" s="616"/>
      <c r="J199" s="616"/>
      <c r="K199" s="158"/>
      <c r="M199" s="717"/>
    </row>
    <row r="200" spans="2:23" x14ac:dyDescent="0.25">
      <c r="B200" s="615" t="s">
        <v>407</v>
      </c>
      <c r="C200" s="615"/>
      <c r="D200" s="615"/>
      <c r="E200" s="615"/>
      <c r="F200" s="615"/>
      <c r="G200" s="225">
        <v>80</v>
      </c>
      <c r="H200" s="8" t="s">
        <v>89</v>
      </c>
      <c r="I200" s="617">
        <f>I197</f>
        <v>327262</v>
      </c>
      <c r="J200" s="617"/>
      <c r="K200" s="30">
        <f>I200*G200/100</f>
        <v>261809.6</v>
      </c>
      <c r="M200" s="717"/>
    </row>
    <row r="201" spans="2:23" x14ac:dyDescent="0.25">
      <c r="B201" s="618" t="s">
        <v>408</v>
      </c>
      <c r="C201" s="618"/>
      <c r="D201" s="618"/>
      <c r="E201" s="618"/>
      <c r="F201" s="618"/>
      <c r="G201" s="226">
        <f>G198*12</f>
        <v>84</v>
      </c>
      <c r="H201" s="226" t="s">
        <v>235</v>
      </c>
      <c r="I201" s="619">
        <f>K200</f>
        <v>261809.6</v>
      </c>
      <c r="J201" s="619"/>
      <c r="K201" s="148">
        <f>I201/G201</f>
        <v>3116.7809523809524</v>
      </c>
      <c r="M201" s="717"/>
      <c r="N201" s="549"/>
      <c r="O201" s="549"/>
      <c r="P201" s="120"/>
      <c r="Q201" s="120"/>
      <c r="R201" s="120"/>
      <c r="S201" s="120"/>
      <c r="T201" s="120"/>
      <c r="U201" s="120"/>
      <c r="V201" s="120"/>
      <c r="W201" s="120"/>
    </row>
    <row r="202" spans="2:23" x14ac:dyDescent="0.25">
      <c r="B202" s="620" t="s">
        <v>409</v>
      </c>
      <c r="C202" s="620"/>
      <c r="D202" s="620"/>
      <c r="E202" s="620"/>
      <c r="F202" s="620"/>
      <c r="G202" s="125">
        <v>2</v>
      </c>
      <c r="H202" s="125" t="s">
        <v>129</v>
      </c>
      <c r="I202" s="621">
        <f>I197/(582375+50000)*296200</f>
        <v>153287.21786914411</v>
      </c>
      <c r="J202" s="621"/>
      <c r="K202" s="224">
        <f>I202*G202</f>
        <v>306574.43573828822</v>
      </c>
      <c r="M202" s="717"/>
      <c r="N202" s="549"/>
      <c r="O202" s="549"/>
      <c r="P202" s="120"/>
      <c r="Q202" s="120"/>
      <c r="R202" s="120"/>
      <c r="S202" s="120"/>
      <c r="T202" s="120"/>
      <c r="U202" s="120"/>
      <c r="V202" s="120"/>
      <c r="W202" s="120"/>
    </row>
    <row r="203" spans="2:23" ht="15" customHeight="1" x14ac:dyDescent="0.25">
      <c r="B203" s="622" t="s">
        <v>410</v>
      </c>
      <c r="C203" s="622"/>
      <c r="D203" s="622"/>
      <c r="E203" s="622"/>
      <c r="F203" s="622"/>
      <c r="G203" s="8">
        <v>7</v>
      </c>
      <c r="H203" s="8" t="s">
        <v>231</v>
      </c>
      <c r="I203" s="616"/>
      <c r="J203" s="616"/>
      <c r="K203" s="158"/>
      <c r="M203" s="717"/>
    </row>
    <row r="204" spans="2:23" x14ac:dyDescent="0.25">
      <c r="B204" s="622" t="s">
        <v>411</v>
      </c>
      <c r="C204" s="622"/>
      <c r="D204" s="622"/>
      <c r="E204" s="622"/>
      <c r="F204" s="622"/>
      <c r="G204" s="8">
        <v>6</v>
      </c>
      <c r="H204" s="8" t="s">
        <v>231</v>
      </c>
      <c r="I204" s="616"/>
      <c r="J204" s="616"/>
      <c r="K204" s="158"/>
      <c r="M204" s="717"/>
      <c r="N204" s="548"/>
      <c r="O204" s="548"/>
      <c r="P204" s="119"/>
      <c r="Q204" s="119"/>
      <c r="R204" s="119"/>
      <c r="S204" s="119"/>
      <c r="T204" s="119"/>
      <c r="U204" s="119"/>
      <c r="V204" s="119"/>
      <c r="W204" s="119"/>
    </row>
    <row r="205" spans="2:23" x14ac:dyDescent="0.25">
      <c r="B205" s="615" t="s">
        <v>412</v>
      </c>
      <c r="C205" s="615"/>
      <c r="D205" s="615"/>
      <c r="E205" s="615"/>
      <c r="F205" s="615"/>
      <c r="G205" s="225">
        <v>80</v>
      </c>
      <c r="H205" s="8" t="s">
        <v>89</v>
      </c>
      <c r="I205" s="617">
        <f>I202</f>
        <v>153287.21786914411</v>
      </c>
      <c r="J205" s="617"/>
      <c r="K205" s="30">
        <f>I205*G205/100</f>
        <v>122629.77429531529</v>
      </c>
      <c r="M205" s="717"/>
      <c r="N205" s="548"/>
      <c r="O205" s="548"/>
      <c r="P205" s="119"/>
      <c r="Q205" s="119"/>
      <c r="R205" s="119"/>
      <c r="S205" s="119"/>
      <c r="T205" s="119"/>
      <c r="U205" s="119"/>
      <c r="V205" s="119"/>
      <c r="W205" s="119"/>
    </row>
    <row r="206" spans="2:23" ht="15" customHeight="1" x14ac:dyDescent="0.25">
      <c r="B206" s="618" t="s">
        <v>413</v>
      </c>
      <c r="C206" s="618"/>
      <c r="D206" s="618"/>
      <c r="E206" s="618"/>
      <c r="F206" s="618"/>
      <c r="G206" s="226">
        <f>G203*12</f>
        <v>84</v>
      </c>
      <c r="H206" s="226" t="s">
        <v>235</v>
      </c>
      <c r="I206" s="619">
        <f>K205</f>
        <v>122629.77429531529</v>
      </c>
      <c r="J206" s="619"/>
      <c r="K206" s="148">
        <f>I206/G206</f>
        <v>1459.8782654204201</v>
      </c>
      <c r="M206" s="717"/>
      <c r="N206" s="548"/>
      <c r="O206" s="548"/>
      <c r="P206" s="119"/>
      <c r="Q206" s="119"/>
      <c r="R206" s="119"/>
      <c r="S206" s="119"/>
      <c r="T206" s="119"/>
      <c r="U206" s="119"/>
      <c r="V206" s="119"/>
      <c r="W206" s="119"/>
    </row>
    <row r="207" spans="2:23" ht="15" customHeight="1" x14ac:dyDescent="0.25">
      <c r="B207" s="635" t="s">
        <v>414</v>
      </c>
      <c r="C207" s="635"/>
      <c r="D207" s="635"/>
      <c r="E207" s="635"/>
      <c r="F207" s="635"/>
      <c r="G207" s="180"/>
      <c r="H207" s="180"/>
      <c r="I207" s="636"/>
      <c r="J207" s="636"/>
      <c r="K207" s="227">
        <f>SUM(K201+K206)</f>
        <v>4576.6592178013725</v>
      </c>
      <c r="M207" s="717"/>
      <c r="N207" s="548"/>
      <c r="O207" s="548"/>
      <c r="P207" s="119"/>
      <c r="Q207" s="119"/>
      <c r="R207" s="119"/>
      <c r="S207" s="119"/>
      <c r="T207" s="119"/>
      <c r="U207" s="119"/>
      <c r="V207" s="119"/>
      <c r="W207" s="119"/>
    </row>
    <row r="208" spans="2:23" ht="15" customHeight="1" x14ac:dyDescent="0.25">
      <c r="B208" s="612" t="s">
        <v>415</v>
      </c>
      <c r="C208" s="612"/>
      <c r="D208" s="612"/>
      <c r="E208" s="612"/>
      <c r="F208" s="612"/>
      <c r="G208" s="45">
        <v>2</v>
      </c>
      <c r="H208" s="45" t="s">
        <v>229</v>
      </c>
      <c r="I208" s="613">
        <f>K207</f>
        <v>4576.6592178013725</v>
      </c>
      <c r="J208" s="613"/>
      <c r="K208" s="159">
        <f>I208*G208</f>
        <v>9153.318435602745</v>
      </c>
      <c r="M208" s="717"/>
      <c r="N208" s="548"/>
      <c r="O208" s="548"/>
      <c r="P208" s="119"/>
      <c r="Q208" s="119"/>
      <c r="R208" s="119"/>
      <c r="S208" s="119"/>
      <c r="T208" s="119"/>
      <c r="U208" s="119"/>
      <c r="V208" s="119"/>
      <c r="W208" s="119"/>
    </row>
    <row r="209" spans="2:23" ht="15" customHeight="1" x14ac:dyDescent="0.25">
      <c r="M209" s="550"/>
      <c r="N209" s="548"/>
      <c r="O209" s="548"/>
      <c r="P209" s="119"/>
      <c r="Q209" s="119"/>
      <c r="R209" s="119"/>
      <c r="S209" s="119"/>
      <c r="T209" s="119"/>
      <c r="U209" s="119"/>
      <c r="V209" s="119"/>
      <c r="W209" s="119"/>
    </row>
    <row r="210" spans="2:23" ht="15" customHeight="1" x14ac:dyDescent="0.25">
      <c r="B210" s="609" t="s">
        <v>416</v>
      </c>
      <c r="C210" s="609"/>
      <c r="D210" s="609"/>
      <c r="E210" s="609"/>
      <c r="F210" s="609"/>
      <c r="G210" s="609"/>
      <c r="H210" s="609"/>
      <c r="I210" s="609"/>
      <c r="J210" s="609"/>
      <c r="K210" s="609"/>
      <c r="N210" s="548"/>
      <c r="O210" s="548"/>
      <c r="P210" s="119"/>
      <c r="Q210" s="119"/>
      <c r="R210" s="119"/>
      <c r="S210" s="119"/>
      <c r="T210" s="119"/>
      <c r="U210" s="119"/>
      <c r="V210" s="119"/>
      <c r="W210" s="119"/>
    </row>
    <row r="211" spans="2:23" ht="15" customHeight="1" x14ac:dyDescent="0.25">
      <c r="B211" s="602" t="s">
        <v>174</v>
      </c>
      <c r="C211" s="602"/>
      <c r="D211" s="602"/>
      <c r="E211" s="602"/>
      <c r="F211" s="602"/>
      <c r="G211" s="45" t="s">
        <v>128</v>
      </c>
      <c r="H211" s="45" t="s">
        <v>129</v>
      </c>
      <c r="I211" s="602" t="s">
        <v>226</v>
      </c>
      <c r="J211" s="602"/>
      <c r="K211" s="45" t="s">
        <v>227</v>
      </c>
      <c r="M211" s="534"/>
      <c r="N211" s="548"/>
      <c r="O211" s="548"/>
      <c r="P211" s="119"/>
      <c r="Q211" s="119"/>
      <c r="R211" s="119"/>
      <c r="S211" s="119"/>
      <c r="T211" s="119"/>
      <c r="U211" s="119"/>
      <c r="V211" s="119"/>
      <c r="W211" s="119"/>
    </row>
    <row r="212" spans="2:23" ht="15" customHeight="1" x14ac:dyDescent="0.25">
      <c r="B212" s="615" t="s">
        <v>417</v>
      </c>
      <c r="C212" s="615"/>
      <c r="D212" s="615"/>
      <c r="E212" s="615"/>
      <c r="F212" s="615"/>
      <c r="G212" s="8">
        <v>2</v>
      </c>
      <c r="H212" s="8" t="s">
        <v>229</v>
      </c>
      <c r="I212" s="617">
        <f>I197</f>
        <v>327262</v>
      </c>
      <c r="J212" s="617"/>
      <c r="K212" s="30">
        <f>I212*G212</f>
        <v>654524</v>
      </c>
      <c r="M212" s="717"/>
      <c r="N212" s="548"/>
      <c r="O212" s="548"/>
      <c r="P212" s="119"/>
      <c r="Q212" s="119"/>
      <c r="R212" s="119"/>
      <c r="S212" s="119"/>
      <c r="T212" s="119"/>
      <c r="U212" s="119"/>
      <c r="V212" s="119"/>
      <c r="W212" s="119"/>
    </row>
    <row r="213" spans="2:23" ht="15" customHeight="1" x14ac:dyDescent="0.25">
      <c r="B213" s="615" t="s">
        <v>239</v>
      </c>
      <c r="C213" s="615"/>
      <c r="D213" s="615"/>
      <c r="E213" s="615"/>
      <c r="F213" s="615"/>
      <c r="G213" s="556">
        <v>13.75</v>
      </c>
      <c r="H213" s="8" t="s">
        <v>89</v>
      </c>
      <c r="I213" s="616"/>
      <c r="J213" s="616"/>
      <c r="K213" s="30"/>
      <c r="M213" s="717"/>
      <c r="N213" s="548"/>
      <c r="O213" s="548"/>
      <c r="P213" s="119"/>
      <c r="Q213" s="119"/>
      <c r="R213" s="119"/>
      <c r="S213" s="119"/>
      <c r="T213" s="119"/>
      <c r="U213" s="119"/>
      <c r="V213" s="119"/>
      <c r="W213" s="119"/>
    </row>
    <row r="214" spans="2:23" ht="15" customHeight="1" x14ac:dyDescent="0.25">
      <c r="B214" s="615" t="s">
        <v>240</v>
      </c>
      <c r="C214" s="615"/>
      <c r="D214" s="615"/>
      <c r="E214" s="615"/>
      <c r="F214" s="615"/>
      <c r="G214" s="8"/>
      <c r="H214" s="8"/>
      <c r="I214" s="617">
        <f>IFERROR(IF(G199&lt;=G198,I197-(G200/(100*G198)*G199)*I197,I197-K200),0)</f>
        <v>102853.77142857143</v>
      </c>
      <c r="J214" s="617"/>
      <c r="K214" s="30"/>
      <c r="M214" s="717"/>
      <c r="N214" s="548"/>
      <c r="O214" s="548"/>
      <c r="P214" s="119"/>
      <c r="Q214" s="119"/>
      <c r="R214" s="119"/>
      <c r="S214" s="119"/>
      <c r="T214" s="119"/>
      <c r="U214" s="119"/>
      <c r="V214" s="119"/>
      <c r="W214" s="119"/>
    </row>
    <row r="215" spans="2:23" ht="15" customHeight="1" x14ac:dyDescent="0.25">
      <c r="B215" s="615" t="s">
        <v>418</v>
      </c>
      <c r="C215" s="615"/>
      <c r="D215" s="615"/>
      <c r="E215" s="615"/>
      <c r="F215" s="615"/>
      <c r="G215" s="8"/>
      <c r="H215" s="8"/>
      <c r="I215" s="617">
        <f>IFERROR(IF(G199&gt;=G198,I214,((((I214)-(I197-K200))*(((G198-G199)+1)/(2*(G198-G199))))+(I197-K200))),0)</f>
        <v>102853.77142857143</v>
      </c>
      <c r="J215" s="617"/>
      <c r="K215" s="30"/>
      <c r="M215" s="717"/>
      <c r="N215" s="548"/>
      <c r="O215" s="548"/>
      <c r="P215" s="119"/>
      <c r="Q215" s="119"/>
      <c r="R215" s="119"/>
      <c r="S215" s="119"/>
      <c r="T215" s="119"/>
      <c r="U215" s="119"/>
      <c r="V215" s="119"/>
      <c r="W215" s="119"/>
    </row>
    <row r="216" spans="2:23" ht="15" customHeight="1" x14ac:dyDescent="0.25">
      <c r="B216" s="618" t="s">
        <v>419</v>
      </c>
      <c r="C216" s="618"/>
      <c r="D216" s="618"/>
      <c r="E216" s="618"/>
      <c r="F216" s="618"/>
      <c r="G216" s="147"/>
      <c r="H216" s="147"/>
      <c r="I216" s="619">
        <f>G213*I215/12/100</f>
        <v>1178.5327976190479</v>
      </c>
      <c r="J216" s="619"/>
      <c r="K216" s="148">
        <f>I216</f>
        <v>1178.5327976190479</v>
      </c>
      <c r="M216" s="717"/>
      <c r="N216" s="548"/>
      <c r="O216" s="548"/>
      <c r="P216" s="119"/>
      <c r="Q216" s="119"/>
      <c r="R216" s="119"/>
      <c r="S216" s="119"/>
      <c r="T216" s="119"/>
      <c r="U216" s="119"/>
      <c r="V216" s="119"/>
      <c r="W216" s="119"/>
    </row>
    <row r="217" spans="2:23" ht="15" customHeight="1" x14ac:dyDescent="0.25">
      <c r="B217" s="637" t="s">
        <v>420</v>
      </c>
      <c r="C217" s="637"/>
      <c r="D217" s="637"/>
      <c r="E217" s="637"/>
      <c r="F217" s="637"/>
      <c r="G217" s="125">
        <v>2</v>
      </c>
      <c r="H217" s="125" t="s">
        <v>229</v>
      </c>
      <c r="I217" s="621">
        <f>I202</f>
        <v>153287.21786914411</v>
      </c>
      <c r="J217" s="621"/>
      <c r="K217" s="224">
        <f>I217*G217</f>
        <v>306574.43573828822</v>
      </c>
      <c r="M217" s="717"/>
      <c r="N217" s="548"/>
      <c r="O217" s="548"/>
      <c r="P217" s="119"/>
      <c r="Q217" s="119"/>
      <c r="R217" s="119"/>
      <c r="S217" s="119"/>
      <c r="T217" s="119"/>
      <c r="U217" s="119"/>
      <c r="V217" s="119"/>
      <c r="W217" s="119"/>
    </row>
    <row r="218" spans="2:23" ht="15" customHeight="1" x14ac:dyDescent="0.25">
      <c r="B218" s="615" t="s">
        <v>239</v>
      </c>
      <c r="C218" s="615"/>
      <c r="D218" s="615"/>
      <c r="E218" s="615"/>
      <c r="F218" s="615"/>
      <c r="G218" s="556">
        <v>13.75</v>
      </c>
      <c r="H218" s="8" t="s">
        <v>89</v>
      </c>
      <c r="I218" s="616"/>
      <c r="J218" s="616"/>
      <c r="K218" s="30"/>
      <c r="M218" s="717"/>
      <c r="N218" s="548"/>
      <c r="O218" s="548"/>
      <c r="P218" s="119"/>
      <c r="Q218" s="119"/>
      <c r="R218" s="119"/>
      <c r="S218" s="119"/>
      <c r="T218" s="119"/>
      <c r="U218" s="119"/>
      <c r="V218" s="119"/>
      <c r="W218" s="119"/>
    </row>
    <row r="219" spans="2:23" ht="15.75" customHeight="1" x14ac:dyDescent="0.25">
      <c r="B219" s="615" t="s">
        <v>240</v>
      </c>
      <c r="C219" s="615"/>
      <c r="D219" s="615"/>
      <c r="E219" s="615"/>
      <c r="F219" s="615"/>
      <c r="G219" s="8"/>
      <c r="H219" s="8"/>
      <c r="I219" s="617">
        <f>IFERROR(IF(G204&lt;=G203,I202-(G205/(100*G203)*G204)*I202,I202-K205),0)</f>
        <v>48175.982758873855</v>
      </c>
      <c r="J219" s="617"/>
      <c r="K219" s="30"/>
      <c r="M219" s="717"/>
      <c r="N219" s="548"/>
      <c r="O219" s="548"/>
      <c r="P219" s="119"/>
      <c r="Q219" s="119"/>
      <c r="R219" s="119"/>
      <c r="S219" s="119"/>
      <c r="T219" s="119"/>
      <c r="U219" s="119"/>
      <c r="V219" s="119"/>
      <c r="W219" s="119"/>
    </row>
    <row r="220" spans="2:23" ht="15" customHeight="1" x14ac:dyDescent="0.25">
      <c r="B220" s="615" t="s">
        <v>421</v>
      </c>
      <c r="C220" s="615"/>
      <c r="D220" s="615"/>
      <c r="E220" s="615"/>
      <c r="F220" s="615"/>
      <c r="G220" s="8"/>
      <c r="H220" s="8"/>
      <c r="I220" s="617">
        <f>IFERROR(IF(G204&gt;=G203,I219,((((I219)-(I202-K205))*(((G203-G204)+1)/(2*(G203-G204))))+(I202-K205))),0)</f>
        <v>48175.982758873855</v>
      </c>
      <c r="J220" s="617"/>
      <c r="K220" s="30"/>
      <c r="M220" s="717"/>
      <c r="N220" s="548"/>
      <c r="O220" s="548"/>
      <c r="P220" s="119"/>
      <c r="Q220" s="119"/>
      <c r="R220" s="119"/>
      <c r="S220" s="119"/>
      <c r="T220" s="119"/>
      <c r="U220" s="119"/>
      <c r="V220" s="119"/>
      <c r="W220" s="119"/>
    </row>
    <row r="221" spans="2:23" ht="15" customHeight="1" x14ac:dyDescent="0.25">
      <c r="B221" s="618" t="s">
        <v>422</v>
      </c>
      <c r="C221" s="618"/>
      <c r="D221" s="618"/>
      <c r="E221" s="618"/>
      <c r="F221" s="618"/>
      <c r="G221" s="147"/>
      <c r="H221" s="147"/>
      <c r="I221" s="619">
        <f>G218*I220/12/100</f>
        <v>552.01646911209627</v>
      </c>
      <c r="J221" s="619"/>
      <c r="K221" s="148">
        <f>I221</f>
        <v>552.01646911209627</v>
      </c>
      <c r="M221" s="717"/>
      <c r="N221" s="548"/>
      <c r="O221" s="548"/>
      <c r="P221" s="119"/>
      <c r="Q221" s="119"/>
      <c r="R221" s="119"/>
      <c r="S221" s="119"/>
      <c r="T221" s="119"/>
      <c r="U221" s="119"/>
      <c r="V221" s="119"/>
      <c r="W221" s="119"/>
    </row>
    <row r="222" spans="2:23" ht="15" customHeight="1" x14ac:dyDescent="0.25">
      <c r="B222" s="635" t="s">
        <v>423</v>
      </c>
      <c r="C222" s="635"/>
      <c r="D222" s="635"/>
      <c r="E222" s="635"/>
      <c r="F222" s="635"/>
      <c r="G222" s="180"/>
      <c r="H222" s="180"/>
      <c r="I222" s="636"/>
      <c r="J222" s="636"/>
      <c r="K222" s="227">
        <f>SUM(K216+K221)</f>
        <v>1730.5492667311441</v>
      </c>
      <c r="M222" s="717"/>
      <c r="N222" s="548"/>
      <c r="O222" s="548"/>
      <c r="P222" s="119"/>
      <c r="Q222" s="119"/>
      <c r="R222" s="119"/>
      <c r="S222" s="119"/>
      <c r="T222" s="119"/>
      <c r="U222" s="119"/>
      <c r="V222" s="119"/>
      <c r="W222" s="119"/>
    </row>
    <row r="223" spans="2:23" ht="15" customHeight="1" x14ac:dyDescent="0.25">
      <c r="B223" s="612" t="s">
        <v>243</v>
      </c>
      <c r="C223" s="612"/>
      <c r="D223" s="612"/>
      <c r="E223" s="612"/>
      <c r="F223" s="612"/>
      <c r="G223" s="45">
        <v>2</v>
      </c>
      <c r="H223" s="45" t="s">
        <v>229</v>
      </c>
      <c r="I223" s="613">
        <f>K222</f>
        <v>1730.5492667311441</v>
      </c>
      <c r="J223" s="613"/>
      <c r="K223" s="159">
        <f>I223*G223</f>
        <v>3461.0985334622883</v>
      </c>
      <c r="M223" s="717"/>
      <c r="N223" s="548"/>
      <c r="O223" s="548"/>
      <c r="P223" s="119"/>
      <c r="Q223" s="119"/>
      <c r="R223" s="119"/>
      <c r="S223" s="119"/>
      <c r="T223" s="119"/>
      <c r="U223" s="119"/>
      <c r="V223" s="119"/>
      <c r="W223" s="119"/>
    </row>
    <row r="224" spans="2:23" ht="15" customHeight="1" x14ac:dyDescent="0.25">
      <c r="B224" s="644" t="s">
        <v>424</v>
      </c>
      <c r="C224" s="644"/>
      <c r="D224" s="644"/>
      <c r="E224" s="644"/>
      <c r="F224" s="644"/>
      <c r="G224" s="644"/>
      <c r="H224" s="644"/>
      <c r="I224" s="644"/>
      <c r="J224" s="644"/>
      <c r="K224" s="644"/>
      <c r="M224" s="717"/>
      <c r="N224" s="548"/>
      <c r="O224" s="548"/>
      <c r="P224" s="119"/>
      <c r="Q224" s="119"/>
      <c r="R224" s="119"/>
      <c r="S224" s="119"/>
      <c r="T224" s="119"/>
      <c r="U224" s="119"/>
      <c r="V224" s="119"/>
      <c r="W224" s="119"/>
    </row>
    <row r="225" spans="2:23" ht="15" customHeight="1" x14ac:dyDescent="0.25">
      <c r="B225" s="644"/>
      <c r="C225" s="644"/>
      <c r="D225" s="644"/>
      <c r="E225" s="644"/>
      <c r="F225" s="644"/>
      <c r="G225" s="644"/>
      <c r="H225" s="644"/>
      <c r="I225" s="644"/>
      <c r="J225" s="644"/>
      <c r="K225" s="644"/>
      <c r="M225" s="717"/>
      <c r="N225" s="548"/>
      <c r="O225" s="548"/>
      <c r="P225" s="119"/>
      <c r="Q225" s="119"/>
      <c r="R225" s="119"/>
      <c r="S225" s="119"/>
      <c r="T225" s="119"/>
      <c r="U225" s="119"/>
      <c r="V225" s="119"/>
      <c r="W225" s="119"/>
    </row>
    <row r="226" spans="2:23" ht="15" customHeight="1" x14ac:dyDescent="0.25">
      <c r="B226" s="644"/>
      <c r="C226" s="644"/>
      <c r="D226" s="644"/>
      <c r="E226" s="644"/>
      <c r="F226" s="644"/>
      <c r="G226" s="644"/>
      <c r="H226" s="644"/>
      <c r="I226" s="644"/>
      <c r="J226" s="644"/>
      <c r="K226" s="644"/>
      <c r="M226" s="717"/>
      <c r="N226" s="548"/>
      <c r="O226" s="548"/>
      <c r="P226" s="119"/>
      <c r="Q226" s="119"/>
      <c r="R226" s="119"/>
      <c r="S226" s="119"/>
      <c r="T226" s="119"/>
      <c r="U226" s="119"/>
      <c r="V226" s="119"/>
      <c r="W226" s="119"/>
    </row>
    <row r="227" spans="2:23" ht="15" customHeight="1" x14ac:dyDescent="0.25">
      <c r="B227" s="131"/>
      <c r="C227" s="131"/>
      <c r="D227" s="131"/>
      <c r="E227" s="131"/>
      <c r="F227" s="131"/>
      <c r="G227" s="18"/>
      <c r="H227" s="18"/>
      <c r="I227" s="18"/>
      <c r="J227" s="18"/>
      <c r="K227" s="132"/>
      <c r="M227" s="550"/>
      <c r="N227" s="548"/>
      <c r="O227" s="548"/>
      <c r="P227" s="119"/>
      <c r="Q227" s="119"/>
      <c r="R227" s="119"/>
      <c r="S227" s="119"/>
      <c r="T227" s="119"/>
      <c r="U227" s="119"/>
      <c r="V227" s="119"/>
      <c r="W227" s="119"/>
    </row>
    <row r="228" spans="2:23" ht="15" customHeight="1" x14ac:dyDescent="0.25">
      <c r="B228" s="609" t="s">
        <v>425</v>
      </c>
      <c r="C228" s="609"/>
      <c r="D228" s="609"/>
      <c r="E228" s="609"/>
      <c r="F228" s="609"/>
      <c r="G228" s="609"/>
      <c r="H228" s="609"/>
      <c r="I228" s="609"/>
      <c r="J228" s="609"/>
      <c r="K228" s="609"/>
      <c r="M228" s="732"/>
      <c r="N228" s="548"/>
      <c r="O228" s="548"/>
      <c r="P228" s="119"/>
      <c r="Q228" s="119"/>
      <c r="R228" s="119"/>
      <c r="S228" s="119"/>
      <c r="T228" s="119"/>
      <c r="U228" s="119"/>
      <c r="V228" s="119"/>
      <c r="W228" s="119"/>
    </row>
    <row r="229" spans="2:23" ht="15" customHeight="1" x14ac:dyDescent="0.25">
      <c r="B229" s="602" t="s">
        <v>174</v>
      </c>
      <c r="C229" s="602"/>
      <c r="D229" s="602"/>
      <c r="E229" s="602"/>
      <c r="F229" s="602"/>
      <c r="G229" s="45" t="s">
        <v>128</v>
      </c>
      <c r="H229" s="45" t="s">
        <v>129</v>
      </c>
      <c r="I229" s="602" t="s">
        <v>226</v>
      </c>
      <c r="J229" s="602"/>
      <c r="K229" s="45" t="s">
        <v>246</v>
      </c>
      <c r="M229" s="732"/>
      <c r="N229" s="548"/>
      <c r="O229" s="548"/>
      <c r="P229" s="119"/>
      <c r="Q229" s="119"/>
      <c r="R229" s="119"/>
      <c r="S229" s="119"/>
      <c r="T229" s="119"/>
      <c r="U229" s="119"/>
      <c r="V229" s="119"/>
      <c r="W229" s="119"/>
    </row>
    <row r="230" spans="2:23" ht="15" customHeight="1" x14ac:dyDescent="0.25">
      <c r="B230" s="622" t="s">
        <v>426</v>
      </c>
      <c r="C230" s="622"/>
      <c r="D230" s="622"/>
      <c r="E230" s="622"/>
      <c r="F230" s="622"/>
      <c r="G230" s="8">
        <v>2</v>
      </c>
      <c r="H230" s="8" t="s">
        <v>229</v>
      </c>
      <c r="I230" s="617">
        <f>I197*0.01</f>
        <v>3272.62</v>
      </c>
      <c r="J230" s="617"/>
      <c r="K230" s="30">
        <f>(I230*G230)/12</f>
        <v>545.43666666666661</v>
      </c>
      <c r="M230" s="732"/>
      <c r="N230" s="548"/>
      <c r="O230" s="548"/>
      <c r="P230" s="119"/>
      <c r="Q230" s="119"/>
      <c r="R230" s="119"/>
      <c r="S230" s="119"/>
      <c r="T230" s="119"/>
      <c r="U230" s="119"/>
      <c r="V230" s="119"/>
      <c r="W230" s="119"/>
    </row>
    <row r="231" spans="2:23" ht="15" customHeight="1" x14ac:dyDescent="0.25">
      <c r="B231" s="622" t="s">
        <v>427</v>
      </c>
      <c r="C231" s="622"/>
      <c r="D231" s="622"/>
      <c r="E231" s="622"/>
      <c r="F231" s="622"/>
      <c r="G231" s="8">
        <v>2</v>
      </c>
      <c r="H231" s="8" t="s">
        <v>229</v>
      </c>
      <c r="I231" s="617">
        <v>109.27</v>
      </c>
      <c r="J231" s="617"/>
      <c r="K231" s="30">
        <f>(I231*G231)/12</f>
        <v>18.211666666666666</v>
      </c>
      <c r="M231" s="732"/>
      <c r="N231" s="548"/>
      <c r="O231" s="548"/>
      <c r="P231" s="119"/>
      <c r="Q231" s="119"/>
      <c r="R231" s="119"/>
      <c r="S231" s="119"/>
      <c r="T231" s="119"/>
      <c r="U231" s="119"/>
      <c r="V231" s="119"/>
      <c r="W231" s="119"/>
    </row>
    <row r="232" spans="2:23" x14ac:dyDescent="0.25">
      <c r="B232" s="622" t="s">
        <v>428</v>
      </c>
      <c r="C232" s="622"/>
      <c r="D232" s="622"/>
      <c r="E232" s="622"/>
      <c r="F232" s="622"/>
      <c r="G232" s="8">
        <v>2</v>
      </c>
      <c r="H232" s="8" t="s">
        <v>229</v>
      </c>
      <c r="I232" s="617">
        <v>2536.9899999999998</v>
      </c>
      <c r="J232" s="617"/>
      <c r="K232" s="30">
        <f>(I232/12)*G232</f>
        <v>422.83166666666665</v>
      </c>
      <c r="M232" s="732"/>
      <c r="N232" s="548"/>
      <c r="O232" s="548"/>
      <c r="P232" s="119"/>
      <c r="Q232" s="119"/>
      <c r="R232" s="119"/>
      <c r="S232" s="119"/>
      <c r="T232" s="119"/>
      <c r="U232" s="119"/>
      <c r="V232" s="119"/>
      <c r="W232" s="119"/>
    </row>
    <row r="233" spans="2:23" x14ac:dyDescent="0.25">
      <c r="B233" s="622" t="s">
        <v>429</v>
      </c>
      <c r="C233" s="622"/>
      <c r="D233" s="622"/>
      <c r="E233" s="622"/>
      <c r="F233" s="622"/>
      <c r="G233" s="8">
        <v>2</v>
      </c>
      <c r="H233" s="8" t="s">
        <v>229</v>
      </c>
      <c r="I233" s="617">
        <f>'10 - CUSTOS UN'!$J$233</f>
        <v>57.093333333333334</v>
      </c>
      <c r="J233" s="617"/>
      <c r="K233" s="30">
        <f>I233*G233</f>
        <v>114.18666666666667</v>
      </c>
      <c r="M233" s="732"/>
    </row>
    <row r="234" spans="2:23" x14ac:dyDescent="0.25">
      <c r="B234" s="624" t="s">
        <v>249</v>
      </c>
      <c r="C234" s="624"/>
      <c r="D234" s="624"/>
      <c r="E234" s="624"/>
      <c r="F234" s="624"/>
      <c r="G234" s="161">
        <v>2</v>
      </c>
      <c r="H234" s="161" t="s">
        <v>129</v>
      </c>
      <c r="I234" s="625">
        <f>SUM(K230:K233)/G234</f>
        <v>550.33333333333337</v>
      </c>
      <c r="J234" s="625"/>
      <c r="K234" s="150">
        <f>I234*G234</f>
        <v>1100.6666666666667</v>
      </c>
      <c r="M234" s="732"/>
      <c r="N234" s="548"/>
      <c r="O234" s="548"/>
      <c r="P234" s="119"/>
      <c r="Q234" s="119"/>
      <c r="R234" s="119"/>
      <c r="S234" s="119"/>
      <c r="T234" s="119"/>
      <c r="U234" s="119"/>
      <c r="V234" s="119"/>
      <c r="W234" s="119"/>
    </row>
    <row r="235" spans="2:23" x14ac:dyDescent="0.25">
      <c r="M235" s="550"/>
      <c r="N235" s="548"/>
      <c r="O235" s="548"/>
      <c r="P235" s="119"/>
      <c r="Q235" s="119"/>
      <c r="R235" s="119"/>
      <c r="S235" s="119"/>
      <c r="T235" s="119"/>
      <c r="U235" s="119"/>
      <c r="V235" s="119"/>
      <c r="W235" s="119"/>
    </row>
    <row r="236" spans="2:23" x14ac:dyDescent="0.25">
      <c r="B236" s="609" t="s">
        <v>430</v>
      </c>
      <c r="C236" s="609"/>
      <c r="D236" s="609"/>
      <c r="E236" s="609"/>
      <c r="F236" s="609"/>
      <c r="G236" s="609"/>
      <c r="H236" s="609"/>
      <c r="I236" s="609"/>
      <c r="J236" s="609"/>
      <c r="K236" s="609"/>
      <c r="M236" s="717"/>
      <c r="N236" s="550"/>
      <c r="O236" s="550"/>
      <c r="P236" s="36"/>
      <c r="Q236" s="36"/>
      <c r="R236" s="119"/>
      <c r="S236" s="119"/>
      <c r="T236" s="119"/>
      <c r="U236" s="119"/>
      <c r="V236" s="119"/>
      <c r="W236" s="119"/>
    </row>
    <row r="237" spans="2:23" x14ac:dyDescent="0.25">
      <c r="B237" s="605" t="s">
        <v>174</v>
      </c>
      <c r="C237" s="605"/>
      <c r="D237" s="605"/>
      <c r="E237" s="605"/>
      <c r="F237" s="605"/>
      <c r="G237" s="223" t="s">
        <v>128</v>
      </c>
      <c r="H237" s="138" t="s">
        <v>129</v>
      </c>
      <c r="I237" s="605" t="s">
        <v>226</v>
      </c>
      <c r="J237" s="605"/>
      <c r="K237" s="138" t="s">
        <v>209</v>
      </c>
      <c r="M237" s="717"/>
      <c r="N237" s="549"/>
      <c r="O237" s="549"/>
      <c r="P237" s="120"/>
      <c r="Q237" s="120"/>
      <c r="R237" s="120"/>
      <c r="S237" s="120"/>
      <c r="T237" s="120"/>
      <c r="U237" s="120"/>
      <c r="V237" s="120"/>
      <c r="W237" s="120"/>
    </row>
    <row r="238" spans="2:23" x14ac:dyDescent="0.25">
      <c r="B238" s="620" t="s">
        <v>252</v>
      </c>
      <c r="C238" s="620"/>
      <c r="D238" s="620"/>
      <c r="E238" s="620"/>
      <c r="F238" s="620"/>
      <c r="G238" s="557">
        <v>4000</v>
      </c>
      <c r="H238" s="8" t="s">
        <v>253</v>
      </c>
      <c r="I238" s="641"/>
      <c r="J238" s="641"/>
      <c r="K238" s="11"/>
      <c r="M238" s="717"/>
    </row>
    <row r="239" spans="2:23" x14ac:dyDescent="0.25">
      <c r="B239" s="622" t="s">
        <v>431</v>
      </c>
      <c r="C239" s="622"/>
      <c r="D239" s="622"/>
      <c r="E239" s="622"/>
      <c r="F239" s="622"/>
      <c r="G239" s="8">
        <v>1.5</v>
      </c>
      <c r="H239" s="8" t="s">
        <v>432</v>
      </c>
      <c r="I239" s="642"/>
      <c r="J239" s="642"/>
      <c r="K239" s="176"/>
      <c r="M239" s="717"/>
      <c r="T239" s="120"/>
      <c r="U239" s="120"/>
      <c r="V239" s="120"/>
      <c r="W239" s="120"/>
    </row>
    <row r="240" spans="2:23" x14ac:dyDescent="0.25">
      <c r="B240" s="622" t="s">
        <v>433</v>
      </c>
      <c r="C240" s="622"/>
      <c r="D240" s="622"/>
      <c r="E240" s="622"/>
      <c r="F240" s="622"/>
      <c r="G240" s="8">
        <v>1</v>
      </c>
      <c r="H240" s="8" t="s">
        <v>258</v>
      </c>
      <c r="I240" s="765">
        <v>7.24</v>
      </c>
      <c r="J240" s="765"/>
      <c r="K240" s="11"/>
      <c r="M240" s="717"/>
    </row>
    <row r="241" spans="2:23" x14ac:dyDescent="0.25">
      <c r="B241" s="627" t="s">
        <v>434</v>
      </c>
      <c r="C241" s="627"/>
      <c r="D241" s="627"/>
      <c r="E241" s="627"/>
      <c r="F241" s="627"/>
      <c r="G241" s="228">
        <f>G238/G239</f>
        <v>2666.6666666666665</v>
      </c>
      <c r="H241" s="226" t="s">
        <v>435</v>
      </c>
      <c r="I241" s="619">
        <f>I240</f>
        <v>7.24</v>
      </c>
      <c r="J241" s="619"/>
      <c r="K241" s="148">
        <f>I241*G241</f>
        <v>19306.666666666668</v>
      </c>
      <c r="M241" s="717"/>
      <c r="N241" s="549"/>
      <c r="O241" s="549"/>
      <c r="P241" s="120"/>
      <c r="Q241" s="120"/>
      <c r="R241" s="120"/>
      <c r="S241" s="120"/>
      <c r="T241" s="120"/>
      <c r="U241" s="120"/>
      <c r="V241" s="120"/>
      <c r="W241" s="120"/>
    </row>
    <row r="242" spans="2:23" x14ac:dyDescent="0.25">
      <c r="B242" s="624" t="s">
        <v>436</v>
      </c>
      <c r="C242" s="624"/>
      <c r="D242" s="624"/>
      <c r="E242" s="624"/>
      <c r="F242" s="624"/>
      <c r="G242" s="161">
        <v>1</v>
      </c>
      <c r="H242" s="161" t="s">
        <v>129</v>
      </c>
      <c r="I242" s="625">
        <f>K241</f>
        <v>19306.666666666668</v>
      </c>
      <c r="J242" s="625"/>
      <c r="K242" s="150">
        <f>I242*G242</f>
        <v>19306.666666666668</v>
      </c>
      <c r="N242" s="549"/>
      <c r="O242" s="549"/>
      <c r="P242" s="120"/>
      <c r="Q242" s="120"/>
      <c r="R242" s="120"/>
      <c r="S242" s="120"/>
      <c r="T242" s="120"/>
      <c r="U242" s="120"/>
      <c r="V242" s="120"/>
      <c r="W242" s="120"/>
    </row>
    <row r="243" spans="2:23" ht="15" customHeight="1" x14ac:dyDescent="0.25">
      <c r="B243" s="640" t="s">
        <v>437</v>
      </c>
      <c r="C243" s="640"/>
      <c r="D243" s="640"/>
      <c r="E243" s="640"/>
      <c r="F243" s="640"/>
      <c r="G243" s="640"/>
      <c r="H243" s="640"/>
      <c r="I243" s="640"/>
      <c r="J243" s="640"/>
      <c r="K243" s="640"/>
      <c r="M243" s="534"/>
    </row>
    <row r="244" spans="2:23" x14ac:dyDescent="0.25">
      <c r="B244" s="120"/>
      <c r="C244" s="120"/>
      <c r="D244" s="120"/>
      <c r="E244" s="120"/>
      <c r="F244" s="120"/>
      <c r="G244" s="1"/>
      <c r="H244" s="1"/>
      <c r="I244" s="124"/>
      <c r="J244" s="124"/>
      <c r="K244" s="129"/>
    </row>
    <row r="245" spans="2:23" x14ac:dyDescent="0.25">
      <c r="B245" s="609" t="s">
        <v>438</v>
      </c>
      <c r="C245" s="609"/>
      <c r="D245" s="609"/>
      <c r="E245" s="609"/>
      <c r="F245" s="609"/>
      <c r="G245" s="609"/>
      <c r="H245" s="609"/>
      <c r="I245" s="609"/>
      <c r="J245" s="609"/>
      <c r="K245" s="609"/>
      <c r="M245" s="717"/>
      <c r="N245" s="549"/>
      <c r="O245" s="549"/>
      <c r="P245" s="120"/>
      <c r="Q245" s="120"/>
      <c r="R245" s="120"/>
      <c r="S245" s="120"/>
      <c r="T245" s="120"/>
      <c r="U245" s="120"/>
      <c r="V245" s="120"/>
      <c r="W245" s="120"/>
    </row>
    <row r="246" spans="2:23" x14ac:dyDescent="0.25">
      <c r="B246" s="605" t="s">
        <v>174</v>
      </c>
      <c r="C246" s="605"/>
      <c r="D246" s="605"/>
      <c r="E246" s="605"/>
      <c r="F246" s="605"/>
      <c r="G246" s="223" t="s">
        <v>128</v>
      </c>
      <c r="H246" s="138" t="s">
        <v>129</v>
      </c>
      <c r="I246" s="605" t="s">
        <v>226</v>
      </c>
      <c r="J246" s="605"/>
      <c r="K246" s="138" t="s">
        <v>227</v>
      </c>
      <c r="M246" s="717"/>
      <c r="N246" s="549"/>
      <c r="O246" s="549"/>
      <c r="P246" s="120"/>
      <c r="Q246" s="120"/>
      <c r="R246" s="120"/>
      <c r="S246" s="120"/>
      <c r="T246" s="120"/>
      <c r="U246" s="120"/>
      <c r="V246" s="120"/>
      <c r="W246" s="120"/>
    </row>
    <row r="247" spans="2:23" x14ac:dyDescent="0.25">
      <c r="B247" s="620" t="s">
        <v>439</v>
      </c>
      <c r="C247" s="620"/>
      <c r="D247" s="620"/>
      <c r="E247" s="620"/>
      <c r="F247" s="620"/>
      <c r="G247" s="8">
        <v>2</v>
      </c>
      <c r="H247" s="8" t="s">
        <v>440</v>
      </c>
      <c r="I247" s="621">
        <f>'10 - CUSTOS UN'!$J$216</f>
        <v>20.973333333333333</v>
      </c>
      <c r="J247" s="621"/>
      <c r="K247" s="30">
        <f>I247*G247</f>
        <v>41.946666666666665</v>
      </c>
      <c r="M247" s="717"/>
      <c r="N247" s="549"/>
      <c r="O247" s="549"/>
      <c r="P247" s="120"/>
      <c r="Q247" s="120"/>
      <c r="R247" s="120"/>
      <c r="S247" s="120"/>
      <c r="T247" s="120"/>
      <c r="U247" s="120"/>
      <c r="V247" s="120"/>
      <c r="W247" s="120"/>
    </row>
    <row r="248" spans="2:23" x14ac:dyDescent="0.25">
      <c r="B248" s="630" t="s">
        <v>441</v>
      </c>
      <c r="C248" s="630"/>
      <c r="D248" s="630"/>
      <c r="E248" s="630"/>
      <c r="F248" s="630"/>
      <c r="G248" s="229">
        <f>G238</f>
        <v>4000</v>
      </c>
      <c r="H248" s="25" t="s">
        <v>253</v>
      </c>
      <c r="I248" s="631">
        <f>K247/1000</f>
        <v>4.1946666666666667E-2</v>
      </c>
      <c r="J248" s="631"/>
      <c r="K248" s="127">
        <f>I248*G248</f>
        <v>167.78666666666666</v>
      </c>
      <c r="M248" s="717"/>
      <c r="N248" s="549"/>
      <c r="O248" s="549"/>
      <c r="P248" s="120"/>
      <c r="Q248" s="120"/>
      <c r="R248" s="120"/>
      <c r="S248" s="120"/>
      <c r="T248" s="120"/>
      <c r="U248" s="120"/>
      <c r="V248" s="120"/>
      <c r="W248" s="120"/>
    </row>
    <row r="249" spans="2:23" x14ac:dyDescent="0.25">
      <c r="B249" s="622" t="s">
        <v>442</v>
      </c>
      <c r="C249" s="622"/>
      <c r="D249" s="622"/>
      <c r="E249" s="622"/>
      <c r="F249" s="622"/>
      <c r="G249" s="125">
        <v>0.5</v>
      </c>
      <c r="H249" s="8" t="s">
        <v>440</v>
      </c>
      <c r="I249" s="617">
        <f>'10 - CUSTOS UN'!$J$219</f>
        <v>34.336666666666666</v>
      </c>
      <c r="J249" s="617"/>
      <c r="K249" s="30">
        <f>G249*I249</f>
        <v>17.168333333333333</v>
      </c>
      <c r="M249" s="717"/>
      <c r="N249" s="549"/>
      <c r="O249" s="549"/>
      <c r="P249" s="120"/>
      <c r="Q249" s="120"/>
      <c r="R249" s="120"/>
      <c r="S249" s="120"/>
      <c r="T249" s="120"/>
      <c r="U249" s="120"/>
      <c r="V249" s="120"/>
      <c r="W249" s="120"/>
    </row>
    <row r="250" spans="2:23" x14ac:dyDescent="0.25">
      <c r="B250" s="630" t="s">
        <v>443</v>
      </c>
      <c r="C250" s="630"/>
      <c r="D250" s="630"/>
      <c r="E250" s="630"/>
      <c r="F250" s="630"/>
      <c r="G250" s="229">
        <f>G238</f>
        <v>4000</v>
      </c>
      <c r="H250" s="25" t="s">
        <v>253</v>
      </c>
      <c r="I250" s="631">
        <f>K249/1000</f>
        <v>1.7168333333333334E-2</v>
      </c>
      <c r="J250" s="631"/>
      <c r="K250" s="127">
        <f>I250*G250</f>
        <v>68.673333333333332</v>
      </c>
      <c r="M250" s="717"/>
      <c r="N250" s="549"/>
      <c r="O250" s="549"/>
      <c r="P250" s="120"/>
      <c r="Q250" s="120"/>
      <c r="R250" s="120"/>
      <c r="S250" s="120"/>
      <c r="T250" s="120"/>
      <c r="U250" s="120"/>
      <c r="V250" s="120"/>
      <c r="W250" s="120"/>
    </row>
    <row r="251" spans="2:23" x14ac:dyDescent="0.25">
      <c r="B251" s="622" t="s">
        <v>444</v>
      </c>
      <c r="C251" s="622"/>
      <c r="D251" s="622"/>
      <c r="E251" s="622"/>
      <c r="F251" s="622"/>
      <c r="G251" s="230">
        <f>I252/I251*1000</f>
        <v>8.3333333333333339</v>
      </c>
      <c r="H251" s="8" t="s">
        <v>440</v>
      </c>
      <c r="I251" s="617">
        <f>'10 - CUSTOS UN'!$J$225</f>
        <v>25.786666666666665</v>
      </c>
      <c r="J251" s="617"/>
      <c r="K251" s="30">
        <f>I251*G251</f>
        <v>214.88888888888889</v>
      </c>
      <c r="M251" s="717"/>
      <c r="N251" s="549"/>
      <c r="O251" s="549"/>
      <c r="P251" s="120"/>
      <c r="Q251" s="120"/>
      <c r="R251" s="120"/>
      <c r="S251" s="120"/>
      <c r="T251" s="120"/>
      <c r="U251" s="120"/>
      <c r="V251" s="120"/>
      <c r="W251" s="120"/>
    </row>
    <row r="252" spans="2:23" x14ac:dyDescent="0.25">
      <c r="B252" s="630" t="s">
        <v>445</v>
      </c>
      <c r="C252" s="630"/>
      <c r="D252" s="630"/>
      <c r="E252" s="630"/>
      <c r="F252" s="630"/>
      <c r="G252" s="229">
        <f>G238</f>
        <v>4000</v>
      </c>
      <c r="H252" s="25" t="s">
        <v>253</v>
      </c>
      <c r="I252" s="631">
        <f>K252/G252</f>
        <v>0.21488888888888888</v>
      </c>
      <c r="J252" s="631"/>
      <c r="K252" s="127">
        <f>200/6*I251</f>
        <v>859.55555555555554</v>
      </c>
      <c r="M252" s="717"/>
    </row>
    <row r="253" spans="2:23" x14ac:dyDescent="0.25">
      <c r="B253" s="622" t="s">
        <v>446</v>
      </c>
      <c r="C253" s="622"/>
      <c r="D253" s="622"/>
      <c r="E253" s="622"/>
      <c r="F253" s="622"/>
      <c r="G253" s="8">
        <v>2</v>
      </c>
      <c r="H253" s="8" t="s">
        <v>447</v>
      </c>
      <c r="I253" s="617">
        <f>'10 - CUSTOS UN'!$J$228</f>
        <v>43.276666666666664</v>
      </c>
      <c r="J253" s="617"/>
      <c r="K253" s="30">
        <f>I253*G253</f>
        <v>86.553333333333327</v>
      </c>
      <c r="M253" s="717"/>
      <c r="T253" s="120"/>
      <c r="U253" s="120"/>
      <c r="V253" s="120"/>
      <c r="W253" s="120"/>
    </row>
    <row r="254" spans="2:23" x14ac:dyDescent="0.25">
      <c r="B254" s="627" t="s">
        <v>448</v>
      </c>
      <c r="C254" s="627"/>
      <c r="D254" s="627"/>
      <c r="E254" s="627"/>
      <c r="F254" s="627"/>
      <c r="G254" s="228">
        <f>G238</f>
        <v>4000</v>
      </c>
      <c r="H254" s="226" t="s">
        <v>253</v>
      </c>
      <c r="I254" s="619">
        <f>K253/1000</f>
        <v>8.6553333333333329E-2</v>
      </c>
      <c r="J254" s="619"/>
      <c r="K254" s="148">
        <f>I254*G254</f>
        <v>346.21333333333331</v>
      </c>
      <c r="M254" s="717"/>
    </row>
    <row r="255" spans="2:23" x14ac:dyDescent="0.25">
      <c r="B255" s="624" t="s">
        <v>449</v>
      </c>
      <c r="C255" s="624"/>
      <c r="D255" s="624"/>
      <c r="E255" s="624"/>
      <c r="F255" s="624"/>
      <c r="G255" s="231">
        <v>1</v>
      </c>
      <c r="H255" s="161" t="s">
        <v>129</v>
      </c>
      <c r="I255" s="625">
        <f>SUM(K248,K250,K252,K254)</f>
        <v>1442.2288888888888</v>
      </c>
      <c r="J255" s="625"/>
      <c r="K255" s="150">
        <f>I255*G255</f>
        <v>1442.2288888888888</v>
      </c>
      <c r="N255" s="549"/>
      <c r="O255" s="549"/>
      <c r="P255" s="120"/>
      <c r="Q255" s="120"/>
      <c r="R255" s="120"/>
      <c r="S255" s="120"/>
      <c r="T255" s="120"/>
      <c r="U255" s="120"/>
      <c r="V255" s="120"/>
      <c r="W255" s="120"/>
    </row>
    <row r="256" spans="2:23" x14ac:dyDescent="0.25">
      <c r="B256" s="119"/>
      <c r="C256" s="119"/>
      <c r="D256" s="119"/>
      <c r="E256" s="119"/>
      <c r="F256" s="119"/>
      <c r="G256" s="119"/>
      <c r="H256" s="119"/>
      <c r="I256" s="119"/>
      <c r="J256" s="119"/>
      <c r="K256" s="119"/>
      <c r="N256" s="549"/>
      <c r="O256" s="549"/>
      <c r="P256" s="120"/>
      <c r="Q256" s="120"/>
      <c r="R256" s="120"/>
      <c r="S256" s="120"/>
      <c r="T256" s="120"/>
      <c r="U256" s="120"/>
      <c r="V256" s="120"/>
      <c r="W256" s="120"/>
    </row>
    <row r="257" spans="2:23" x14ac:dyDescent="0.25">
      <c r="B257" s="609" t="s">
        <v>450</v>
      </c>
      <c r="C257" s="609"/>
      <c r="D257" s="609"/>
      <c r="E257" s="609"/>
      <c r="F257" s="609"/>
      <c r="G257" s="609"/>
      <c r="H257" s="609"/>
      <c r="I257" s="609"/>
      <c r="J257" s="609"/>
      <c r="K257" s="609"/>
      <c r="M257" s="717"/>
      <c r="N257" s="549"/>
      <c r="O257" s="549"/>
      <c r="P257" s="120"/>
      <c r="Q257" s="120"/>
      <c r="R257" s="120"/>
      <c r="S257" s="120"/>
      <c r="T257" s="120"/>
      <c r="U257" s="120"/>
      <c r="V257" s="120"/>
      <c r="W257" s="120"/>
    </row>
    <row r="258" spans="2:23" x14ac:dyDescent="0.25">
      <c r="B258" s="605" t="s">
        <v>174</v>
      </c>
      <c r="C258" s="605"/>
      <c r="D258" s="605"/>
      <c r="E258" s="605"/>
      <c r="F258" s="605"/>
      <c r="G258" s="223" t="s">
        <v>128</v>
      </c>
      <c r="H258" s="138" t="s">
        <v>129</v>
      </c>
      <c r="I258" s="605" t="s">
        <v>226</v>
      </c>
      <c r="J258" s="605"/>
      <c r="K258" s="138" t="s">
        <v>227</v>
      </c>
      <c r="M258" s="717"/>
      <c r="N258" s="549"/>
      <c r="O258" s="549"/>
      <c r="P258" s="120"/>
      <c r="Q258" s="120"/>
      <c r="R258" s="120"/>
      <c r="S258" s="120"/>
      <c r="T258" s="120"/>
      <c r="U258" s="120"/>
      <c r="V258" s="120"/>
      <c r="W258" s="120"/>
    </row>
    <row r="259" spans="2:23" x14ac:dyDescent="0.25">
      <c r="B259" s="620" t="s">
        <v>451</v>
      </c>
      <c r="C259" s="620"/>
      <c r="D259" s="620"/>
      <c r="E259" s="620"/>
      <c r="F259" s="620"/>
      <c r="G259" s="8">
        <v>10</v>
      </c>
      <c r="H259" s="8" t="s">
        <v>229</v>
      </c>
      <c r="I259" s="629">
        <f>'10 - CUSTOS UN'!$J$207</f>
        <v>2090.67</v>
      </c>
      <c r="J259" s="629"/>
      <c r="K259" s="47">
        <f>I259*G259</f>
        <v>20906.7</v>
      </c>
      <c r="M259" s="717"/>
      <c r="N259" s="548"/>
      <c r="O259" s="548"/>
      <c r="P259" s="119"/>
      <c r="Q259" s="119"/>
      <c r="R259" s="119"/>
      <c r="S259" s="119"/>
      <c r="T259" s="119"/>
      <c r="U259" s="119"/>
      <c r="V259" s="119"/>
      <c r="W259" s="119"/>
    </row>
    <row r="260" spans="2:23" x14ac:dyDescent="0.25">
      <c r="B260" s="622" t="s">
        <v>452</v>
      </c>
      <c r="C260" s="622"/>
      <c r="D260" s="622"/>
      <c r="E260" s="622"/>
      <c r="F260" s="622"/>
      <c r="G260" s="8">
        <v>3</v>
      </c>
      <c r="H260" s="8" t="s">
        <v>229</v>
      </c>
      <c r="I260" s="616"/>
      <c r="J260" s="616"/>
      <c r="K260" s="158"/>
      <c r="M260" s="717"/>
      <c r="N260" s="550"/>
      <c r="O260" s="550"/>
      <c r="P260" s="36"/>
      <c r="Q260" s="36"/>
      <c r="R260" s="119"/>
      <c r="S260" s="119"/>
      <c r="T260" s="119"/>
      <c r="U260" s="119"/>
      <c r="V260" s="119"/>
      <c r="W260" s="119"/>
    </row>
    <row r="261" spans="2:23" x14ac:dyDescent="0.25">
      <c r="B261" s="622" t="s">
        <v>453</v>
      </c>
      <c r="C261" s="622"/>
      <c r="D261" s="622"/>
      <c r="E261" s="622"/>
      <c r="F261" s="622"/>
      <c r="G261" s="8">
        <f>G260*G259</f>
        <v>30</v>
      </c>
      <c r="H261" s="8" t="s">
        <v>229</v>
      </c>
      <c r="I261" s="634">
        <f>'10 - CUSTOS UN'!J258</f>
        <v>550.83750000000009</v>
      </c>
      <c r="J261" s="634"/>
      <c r="K261" s="30">
        <f>I261*G261</f>
        <v>16525.125000000004</v>
      </c>
      <c r="M261" s="717"/>
      <c r="N261" s="549"/>
      <c r="O261" s="549"/>
      <c r="P261" s="120"/>
      <c r="Q261" s="120"/>
      <c r="R261" s="120"/>
      <c r="S261" s="120"/>
      <c r="T261" s="120"/>
      <c r="U261" s="120"/>
      <c r="V261" s="120"/>
      <c r="W261" s="120"/>
    </row>
    <row r="262" spans="2:23" x14ac:dyDescent="0.25">
      <c r="B262" s="622" t="s">
        <v>272</v>
      </c>
      <c r="C262" s="622"/>
      <c r="D262" s="622"/>
      <c r="E262" s="622"/>
      <c r="F262" s="622"/>
      <c r="G262" s="10">
        <v>20000</v>
      </c>
      <c r="H262" s="8" t="s">
        <v>260</v>
      </c>
      <c r="I262" s="616"/>
      <c r="J262" s="616"/>
      <c r="K262" s="158"/>
      <c r="M262" s="717"/>
    </row>
    <row r="263" spans="2:23" x14ac:dyDescent="0.25">
      <c r="B263" s="622" t="s">
        <v>454</v>
      </c>
      <c r="C263" s="622"/>
      <c r="D263" s="622"/>
      <c r="E263" s="622"/>
      <c r="F263" s="622"/>
      <c r="G263" s="10">
        <v>15000</v>
      </c>
      <c r="H263" s="8" t="s">
        <v>260</v>
      </c>
      <c r="I263" s="616"/>
      <c r="J263" s="616"/>
      <c r="K263" s="158"/>
      <c r="M263" s="717"/>
      <c r="N263" s="549"/>
      <c r="O263" s="549"/>
      <c r="P263" s="120"/>
      <c r="Q263" s="120"/>
      <c r="R263" s="120"/>
      <c r="S263" s="120"/>
      <c r="T263" s="120"/>
      <c r="U263" s="120"/>
      <c r="V263" s="120"/>
      <c r="W263" s="120"/>
    </row>
    <row r="264" spans="2:23" x14ac:dyDescent="0.25">
      <c r="B264" s="622" t="s">
        <v>455</v>
      </c>
      <c r="C264" s="622"/>
      <c r="D264" s="622"/>
      <c r="E264" s="622"/>
      <c r="F264" s="622"/>
      <c r="G264" s="10">
        <f>G262+G263*G260</f>
        <v>65000</v>
      </c>
      <c r="H264" s="8" t="s">
        <v>274</v>
      </c>
      <c r="I264" s="617">
        <f>K261+K259</f>
        <v>37431.825000000004</v>
      </c>
      <c r="J264" s="617"/>
      <c r="K264" s="30">
        <f>I264/G264</f>
        <v>0.57587423076923083</v>
      </c>
      <c r="M264" s="717"/>
    </row>
    <row r="265" spans="2:23" x14ac:dyDescent="0.25">
      <c r="B265" s="627" t="s">
        <v>275</v>
      </c>
      <c r="C265" s="627"/>
      <c r="D265" s="627"/>
      <c r="E265" s="627"/>
      <c r="F265" s="627"/>
      <c r="G265" s="228">
        <f>G238</f>
        <v>4000</v>
      </c>
      <c r="H265" s="226" t="s">
        <v>260</v>
      </c>
      <c r="I265" s="619">
        <f>K264</f>
        <v>0.57587423076923083</v>
      </c>
      <c r="J265" s="619"/>
      <c r="K265" s="148">
        <f>I265*G265</f>
        <v>2303.4969230769234</v>
      </c>
      <c r="M265" s="717"/>
      <c r="N265" s="549"/>
      <c r="O265" s="549"/>
      <c r="P265" s="120"/>
      <c r="Q265" s="120"/>
      <c r="R265" s="120"/>
      <c r="S265" s="120"/>
      <c r="T265" s="120"/>
      <c r="U265" s="120"/>
      <c r="V265" s="120"/>
      <c r="W265" s="120"/>
    </row>
    <row r="266" spans="2:23" x14ac:dyDescent="0.25">
      <c r="B266" s="624" t="s">
        <v>276</v>
      </c>
      <c r="C266" s="624"/>
      <c r="D266" s="624"/>
      <c r="E266" s="624"/>
      <c r="F266" s="624"/>
      <c r="G266" s="161">
        <v>1</v>
      </c>
      <c r="H266" s="161" t="s">
        <v>129</v>
      </c>
      <c r="I266" s="625">
        <f>K265</f>
        <v>2303.4969230769234</v>
      </c>
      <c r="J266" s="625"/>
      <c r="K266" s="150">
        <f>I266*G266</f>
        <v>2303.4969230769234</v>
      </c>
      <c r="R266" s="120"/>
      <c r="T266" s="120"/>
      <c r="U266" s="120"/>
      <c r="V266" s="120"/>
      <c r="W266" s="120"/>
    </row>
    <row r="267" spans="2:23" x14ac:dyDescent="0.25">
      <c r="B267" s="120"/>
      <c r="C267" s="120"/>
      <c r="D267" s="120"/>
      <c r="E267" s="120"/>
      <c r="F267" s="120"/>
      <c r="G267" s="1"/>
      <c r="H267" s="1"/>
      <c r="I267" s="124"/>
      <c r="J267" s="124"/>
      <c r="K267" s="129"/>
      <c r="N267" s="549"/>
      <c r="O267" s="549"/>
      <c r="P267" s="120"/>
      <c r="Q267" s="120"/>
      <c r="S267" s="120"/>
    </row>
    <row r="268" spans="2:23" x14ac:dyDescent="0.25">
      <c r="B268" s="609" t="s">
        <v>456</v>
      </c>
      <c r="C268" s="609"/>
      <c r="D268" s="609"/>
      <c r="E268" s="609"/>
      <c r="F268" s="609"/>
      <c r="G268" s="609"/>
      <c r="H268" s="609"/>
      <c r="I268" s="609"/>
      <c r="J268" s="609"/>
      <c r="K268" s="609"/>
    </row>
    <row r="269" spans="2:23" x14ac:dyDescent="0.25">
      <c r="B269" s="605" t="s">
        <v>174</v>
      </c>
      <c r="C269" s="605"/>
      <c r="D269" s="605"/>
      <c r="E269" s="605"/>
      <c r="F269" s="605"/>
      <c r="G269" s="223" t="s">
        <v>128</v>
      </c>
      <c r="H269" s="138" t="s">
        <v>129</v>
      </c>
      <c r="I269" s="605" t="s">
        <v>226</v>
      </c>
      <c r="J269" s="605"/>
      <c r="K269" s="138" t="s">
        <v>209</v>
      </c>
      <c r="N269" s="549"/>
      <c r="O269" s="549"/>
      <c r="P269" s="120"/>
      <c r="Q269" s="120"/>
      <c r="S269" s="120"/>
    </row>
    <row r="270" spans="2:23" x14ac:dyDescent="0.25">
      <c r="B270" s="610" t="s">
        <v>457</v>
      </c>
      <c r="C270" s="610"/>
      <c r="D270" s="610"/>
      <c r="E270" s="610"/>
      <c r="F270" s="610"/>
      <c r="G270" s="232">
        <f>G238</f>
        <v>4000</v>
      </c>
      <c r="H270" s="233" t="s">
        <v>253</v>
      </c>
      <c r="I270" s="623">
        <v>1.18</v>
      </c>
      <c r="J270" s="623"/>
      <c r="K270" s="234">
        <f>I270*G270</f>
        <v>4720</v>
      </c>
      <c r="N270" s="549"/>
      <c r="O270" s="549"/>
      <c r="P270" s="120"/>
      <c r="Q270" s="120"/>
      <c r="R270" s="120"/>
      <c r="S270" s="120"/>
      <c r="T270" s="120"/>
      <c r="U270" s="120"/>
      <c r="V270" s="120"/>
      <c r="W270" s="120"/>
    </row>
    <row r="271" spans="2:23" x14ac:dyDescent="0.25">
      <c r="B271" s="624" t="s">
        <v>458</v>
      </c>
      <c r="C271" s="624"/>
      <c r="D271" s="624"/>
      <c r="E271" s="624"/>
      <c r="F271" s="624"/>
      <c r="G271" s="161">
        <v>1</v>
      </c>
      <c r="H271" s="161" t="s">
        <v>229</v>
      </c>
      <c r="I271" s="625">
        <f>K270</f>
        <v>4720</v>
      </c>
      <c r="J271" s="625"/>
      <c r="K271" s="150">
        <f>I271*G271</f>
        <v>4720</v>
      </c>
    </row>
    <row r="272" spans="2:23" ht="15" customHeight="1" x14ac:dyDescent="0.25">
      <c r="B272" s="764" t="s">
        <v>459</v>
      </c>
      <c r="C272" s="764"/>
      <c r="D272" s="764"/>
      <c r="E272" s="764"/>
      <c r="F272" s="764"/>
      <c r="G272" s="764"/>
      <c r="H272" s="764"/>
      <c r="I272" s="764"/>
      <c r="J272" s="764"/>
      <c r="K272" s="764"/>
      <c r="N272" s="549"/>
      <c r="O272" s="549"/>
      <c r="P272" s="120"/>
      <c r="Q272" s="120"/>
      <c r="R272" s="120"/>
      <c r="S272" s="120"/>
      <c r="T272" s="120"/>
      <c r="U272" s="120"/>
      <c r="V272" s="120"/>
      <c r="W272" s="120"/>
    </row>
    <row r="273" spans="2:23" x14ac:dyDescent="0.25">
      <c r="B273" s="764"/>
      <c r="C273" s="764"/>
      <c r="D273" s="764"/>
      <c r="E273" s="764"/>
      <c r="F273" s="764"/>
      <c r="G273" s="764"/>
      <c r="H273" s="764"/>
      <c r="I273" s="764"/>
      <c r="J273" s="764"/>
      <c r="K273" s="764"/>
    </row>
    <row r="274" spans="2:23" x14ac:dyDescent="0.25">
      <c r="B274" s="764"/>
      <c r="C274" s="764"/>
      <c r="D274" s="764"/>
      <c r="E274" s="764"/>
      <c r="F274" s="764"/>
      <c r="G274" s="764"/>
      <c r="H274" s="764"/>
      <c r="I274" s="764"/>
      <c r="J274" s="764"/>
      <c r="K274" s="764"/>
      <c r="N274" s="549"/>
      <c r="O274" s="549"/>
      <c r="P274" s="120"/>
      <c r="Q274" s="120"/>
      <c r="R274" s="120"/>
      <c r="S274" s="120"/>
      <c r="T274" s="120"/>
      <c r="U274" s="120"/>
      <c r="V274" s="120"/>
      <c r="W274" s="120"/>
    </row>
    <row r="275" spans="2:23" x14ac:dyDescent="0.25">
      <c r="B275" s="764"/>
      <c r="C275" s="764"/>
      <c r="D275" s="764"/>
      <c r="E275" s="764"/>
      <c r="F275" s="764"/>
      <c r="G275" s="764"/>
      <c r="H275" s="764"/>
      <c r="I275" s="764"/>
      <c r="J275" s="764"/>
      <c r="K275" s="764"/>
      <c r="R275" s="120"/>
      <c r="T275" s="120"/>
      <c r="U275" s="120"/>
      <c r="V275" s="120"/>
      <c r="W275" s="120"/>
    </row>
    <row r="276" spans="2:23" x14ac:dyDescent="0.25">
      <c r="B276" s="119"/>
      <c r="C276" s="119"/>
      <c r="D276" s="119"/>
      <c r="E276" s="119"/>
      <c r="F276" s="119"/>
      <c r="G276" s="119"/>
      <c r="H276" s="119"/>
      <c r="I276" s="119"/>
      <c r="J276" s="119"/>
      <c r="K276" s="119"/>
      <c r="N276" s="549"/>
      <c r="O276" s="549"/>
      <c r="P276" s="120"/>
      <c r="Q276" s="120"/>
      <c r="S276" s="120"/>
    </row>
    <row r="277" spans="2:23" x14ac:dyDescent="0.25">
      <c r="B277" s="614" t="s">
        <v>460</v>
      </c>
      <c r="C277" s="614"/>
      <c r="D277" s="614"/>
      <c r="E277" s="614"/>
      <c r="F277" s="614"/>
      <c r="G277" s="614"/>
      <c r="H277" s="614"/>
      <c r="I277" s="614"/>
      <c r="J277" s="614"/>
      <c r="K277" s="182">
        <f>SUM(K270,K265,I255,I242,I234,K222,K207)</f>
        <v>34629.93429649833</v>
      </c>
    </row>
    <row r="278" spans="2:23" x14ac:dyDescent="0.25">
      <c r="B278" s="614" t="s">
        <v>289</v>
      </c>
      <c r="C278" s="614"/>
      <c r="D278" s="614"/>
      <c r="E278" s="614"/>
      <c r="F278" s="614"/>
      <c r="G278" s="614"/>
      <c r="H278" s="614"/>
      <c r="I278" s="614"/>
      <c r="J278" s="614"/>
      <c r="K278" s="182">
        <f>SUM(K271,K266,K255,K242,K234,K223,K208)</f>
        <v>41487.476114364181</v>
      </c>
      <c r="N278" s="549"/>
      <c r="O278" s="549"/>
      <c r="P278" s="120"/>
      <c r="Q278" s="120"/>
      <c r="S278" s="120"/>
    </row>
    <row r="279" spans="2:23" x14ac:dyDescent="0.25">
      <c r="B279" s="119"/>
      <c r="C279" s="119"/>
      <c r="D279" s="119"/>
      <c r="E279" s="119"/>
      <c r="F279" s="119"/>
      <c r="G279" s="119"/>
      <c r="H279" s="119"/>
      <c r="I279" s="119"/>
      <c r="J279" s="119"/>
      <c r="K279" s="119"/>
      <c r="N279" s="549"/>
      <c r="O279" s="549"/>
      <c r="P279" s="120"/>
      <c r="Q279" s="120"/>
      <c r="S279" s="120"/>
    </row>
    <row r="280" spans="2:23" x14ac:dyDescent="0.25">
      <c r="B280" s="626" t="s">
        <v>461</v>
      </c>
      <c r="C280" s="626"/>
      <c r="D280" s="626"/>
      <c r="E280" s="626"/>
      <c r="F280" s="626"/>
      <c r="G280" s="626"/>
      <c r="H280" s="626"/>
      <c r="I280" s="626"/>
      <c r="J280" s="626"/>
      <c r="K280" s="626"/>
      <c r="N280" s="549"/>
      <c r="O280" s="549"/>
      <c r="P280" s="120"/>
      <c r="Q280" s="120"/>
      <c r="S280" s="120"/>
    </row>
    <row r="281" spans="2:23" x14ac:dyDescent="0.25">
      <c r="N281" s="549"/>
      <c r="O281" s="549"/>
      <c r="P281" s="120"/>
      <c r="Q281" s="120"/>
      <c r="S281" s="120"/>
    </row>
    <row r="282" spans="2:23" x14ac:dyDescent="0.25">
      <c r="B282" s="609" t="s">
        <v>462</v>
      </c>
      <c r="C282" s="609"/>
      <c r="D282" s="609"/>
      <c r="E282" s="609"/>
      <c r="F282" s="609"/>
      <c r="G282" s="609"/>
      <c r="H282" s="609"/>
      <c r="I282" s="609"/>
      <c r="J282" s="609"/>
      <c r="K282" s="609"/>
      <c r="N282" s="549"/>
      <c r="O282" s="549"/>
      <c r="P282" s="120"/>
      <c r="Q282" s="120"/>
      <c r="S282" s="120"/>
    </row>
    <row r="283" spans="2:23" x14ac:dyDescent="0.25">
      <c r="B283" s="223" t="s">
        <v>174</v>
      </c>
      <c r="C283" s="235"/>
      <c r="D283" s="235"/>
      <c r="E283" s="235"/>
      <c r="F283" s="236"/>
      <c r="G283" s="223" t="s">
        <v>128</v>
      </c>
      <c r="H283" s="138" t="s">
        <v>129</v>
      </c>
      <c r="I283" s="605" t="s">
        <v>226</v>
      </c>
      <c r="J283" s="605"/>
      <c r="K283" s="138" t="s">
        <v>227</v>
      </c>
      <c r="M283" s="534"/>
      <c r="N283" s="549"/>
      <c r="O283" s="549"/>
      <c r="P283" s="120"/>
      <c r="Q283" s="120"/>
      <c r="S283" s="120"/>
    </row>
    <row r="284" spans="2:23" x14ac:dyDescent="0.25">
      <c r="B284" s="620" t="s">
        <v>463</v>
      </c>
      <c r="C284" s="620"/>
      <c r="D284" s="620"/>
      <c r="E284" s="620"/>
      <c r="F284" s="620"/>
      <c r="G284" s="125">
        <f>H16</f>
        <v>9</v>
      </c>
      <c r="H284" s="125" t="s">
        <v>129</v>
      </c>
      <c r="I284" s="621">
        <f>292725+30000</f>
        <v>322725</v>
      </c>
      <c r="J284" s="621"/>
      <c r="K284" s="224">
        <f>I284*G284</f>
        <v>2904525</v>
      </c>
      <c r="M284" s="717"/>
      <c r="N284" s="549"/>
      <c r="O284" s="549"/>
      <c r="P284" s="120"/>
      <c r="Q284" s="120"/>
      <c r="S284" s="120"/>
    </row>
    <row r="285" spans="2:23" x14ac:dyDescent="0.25">
      <c r="B285" s="622" t="s">
        <v>406</v>
      </c>
      <c r="C285" s="622"/>
      <c r="D285" s="622"/>
      <c r="E285" s="622"/>
      <c r="F285" s="622"/>
      <c r="G285" s="8">
        <v>7</v>
      </c>
      <c r="H285" s="8" t="s">
        <v>231</v>
      </c>
      <c r="I285" s="616"/>
      <c r="J285" s="616"/>
      <c r="K285" s="158"/>
      <c r="M285" s="717"/>
      <c r="N285" s="549"/>
      <c r="O285" s="549"/>
      <c r="P285" s="120"/>
      <c r="Q285" s="120"/>
      <c r="S285" s="120"/>
    </row>
    <row r="286" spans="2:23" x14ac:dyDescent="0.25">
      <c r="B286" s="622" t="s">
        <v>232</v>
      </c>
      <c r="C286" s="622"/>
      <c r="D286" s="622"/>
      <c r="E286" s="622"/>
      <c r="F286" s="622"/>
      <c r="G286" s="8">
        <v>6</v>
      </c>
      <c r="H286" s="8" t="s">
        <v>231</v>
      </c>
      <c r="I286" s="616"/>
      <c r="J286" s="616"/>
      <c r="K286" s="158"/>
      <c r="M286" s="717"/>
      <c r="N286" s="549"/>
      <c r="O286" s="549"/>
      <c r="P286" s="120"/>
      <c r="Q286" s="120"/>
      <c r="S286" s="120"/>
    </row>
    <row r="287" spans="2:23" x14ac:dyDescent="0.25">
      <c r="B287" s="615" t="s">
        <v>407</v>
      </c>
      <c r="C287" s="615"/>
      <c r="D287" s="615"/>
      <c r="E287" s="615"/>
      <c r="F287" s="615"/>
      <c r="G287" s="225">
        <v>80</v>
      </c>
      <c r="H287" s="8" t="s">
        <v>89</v>
      </c>
      <c r="I287" s="617">
        <f>I284</f>
        <v>322725</v>
      </c>
      <c r="J287" s="617"/>
      <c r="K287" s="30">
        <f>I287*G287/100</f>
        <v>258180</v>
      </c>
      <c r="M287" s="717"/>
      <c r="N287" s="549"/>
      <c r="O287" s="549"/>
      <c r="P287" s="120"/>
      <c r="Q287" s="120"/>
      <c r="S287" s="120"/>
    </row>
    <row r="288" spans="2:23" x14ac:dyDescent="0.25">
      <c r="B288" s="618" t="s">
        <v>408</v>
      </c>
      <c r="C288" s="618"/>
      <c r="D288" s="618"/>
      <c r="E288" s="618"/>
      <c r="F288" s="618"/>
      <c r="G288" s="226">
        <f>G285*12</f>
        <v>84</v>
      </c>
      <c r="H288" s="226" t="s">
        <v>235</v>
      </c>
      <c r="I288" s="619">
        <f>K287</f>
        <v>258180</v>
      </c>
      <c r="J288" s="619"/>
      <c r="K288" s="148">
        <f>I288/G288</f>
        <v>3073.5714285714284</v>
      </c>
      <c r="M288" s="717"/>
      <c r="N288" s="549"/>
      <c r="O288" s="549"/>
      <c r="P288" s="120"/>
      <c r="Q288" s="120"/>
      <c r="R288" s="120"/>
      <c r="S288" s="120"/>
      <c r="T288" s="120"/>
      <c r="U288" s="120"/>
      <c r="V288" s="120"/>
      <c r="W288" s="120"/>
    </row>
    <row r="289" spans="2:30" x14ac:dyDescent="0.25">
      <c r="B289" s="620" t="s">
        <v>464</v>
      </c>
      <c r="C289" s="620"/>
      <c r="D289" s="620"/>
      <c r="E289" s="620"/>
      <c r="F289" s="620"/>
      <c r="G289" s="125">
        <f>G284</f>
        <v>9</v>
      </c>
      <c r="H289" s="125" t="s">
        <v>129</v>
      </c>
      <c r="I289" s="621">
        <f>I284/(550000+50000)*266200</f>
        <v>143182.32500000001</v>
      </c>
      <c r="J289" s="621"/>
      <c r="K289" s="224">
        <f>I289*G289</f>
        <v>1288640.925</v>
      </c>
      <c r="M289" s="717"/>
    </row>
    <row r="290" spans="2:30" x14ac:dyDescent="0.25">
      <c r="B290" s="622" t="s">
        <v>410</v>
      </c>
      <c r="C290" s="622"/>
      <c r="D290" s="622"/>
      <c r="E290" s="622"/>
      <c r="F290" s="622"/>
      <c r="G290" s="8">
        <v>7</v>
      </c>
      <c r="H290" s="8" t="s">
        <v>231</v>
      </c>
      <c r="I290" s="616"/>
      <c r="J290" s="616"/>
      <c r="K290" s="158"/>
      <c r="M290" s="717"/>
      <c r="N290" s="549"/>
      <c r="O290" s="549"/>
      <c r="P290" s="120"/>
      <c r="Q290" s="120"/>
      <c r="R290" s="120"/>
      <c r="S290" s="120"/>
      <c r="T290" s="120"/>
      <c r="U290" s="120"/>
      <c r="V290" s="120"/>
      <c r="W290" s="120"/>
    </row>
    <row r="291" spans="2:30" x14ac:dyDescent="0.25">
      <c r="B291" s="622" t="s">
        <v>411</v>
      </c>
      <c r="C291" s="622"/>
      <c r="D291" s="622"/>
      <c r="E291" s="622"/>
      <c r="F291" s="622"/>
      <c r="G291" s="8">
        <v>6</v>
      </c>
      <c r="H291" s="8" t="s">
        <v>231</v>
      </c>
      <c r="I291" s="616"/>
      <c r="J291" s="616"/>
      <c r="K291" s="158"/>
      <c r="M291" s="717"/>
    </row>
    <row r="292" spans="2:30" x14ac:dyDescent="0.25">
      <c r="B292" s="615" t="s">
        <v>412</v>
      </c>
      <c r="C292" s="615"/>
      <c r="D292" s="615"/>
      <c r="E292" s="615"/>
      <c r="F292" s="615"/>
      <c r="G292" s="225">
        <v>80</v>
      </c>
      <c r="H292" s="8" t="s">
        <v>89</v>
      </c>
      <c r="I292" s="617">
        <f>I289</f>
        <v>143182.32500000001</v>
      </c>
      <c r="J292" s="617"/>
      <c r="K292" s="30">
        <f>I292*G292/100</f>
        <v>114545.86</v>
      </c>
      <c r="M292" s="717"/>
      <c r="N292" s="549"/>
      <c r="O292" s="549"/>
      <c r="P292" s="120"/>
      <c r="Q292" s="120"/>
      <c r="R292" s="120"/>
      <c r="S292" s="120"/>
      <c r="T292" s="120"/>
      <c r="U292" s="120"/>
      <c r="V292" s="120"/>
      <c r="W292" s="120"/>
    </row>
    <row r="293" spans="2:30" x14ac:dyDescent="0.25">
      <c r="B293" s="618" t="s">
        <v>413</v>
      </c>
      <c r="C293" s="618"/>
      <c r="D293" s="618"/>
      <c r="E293" s="618"/>
      <c r="F293" s="618"/>
      <c r="G293" s="226">
        <f>G290*12</f>
        <v>84</v>
      </c>
      <c r="H293" s="226" t="s">
        <v>235</v>
      </c>
      <c r="I293" s="619">
        <f>K292</f>
        <v>114545.86</v>
      </c>
      <c r="J293" s="619"/>
      <c r="K293" s="148">
        <f>I293/G293</f>
        <v>1363.6411904761906</v>
      </c>
      <c r="M293" s="717"/>
    </row>
    <row r="294" spans="2:30" x14ac:dyDescent="0.25">
      <c r="B294" s="635" t="s">
        <v>414</v>
      </c>
      <c r="C294" s="635"/>
      <c r="D294" s="635"/>
      <c r="E294" s="635"/>
      <c r="F294" s="635"/>
      <c r="G294" s="180"/>
      <c r="H294" s="180"/>
      <c r="I294" s="636"/>
      <c r="J294" s="636"/>
      <c r="K294" s="227">
        <f>SUM(K288+K293)</f>
        <v>4437.2126190476192</v>
      </c>
      <c r="M294" s="717"/>
      <c r="N294" s="549"/>
      <c r="O294" s="549"/>
      <c r="P294" s="120"/>
      <c r="Q294" s="120"/>
      <c r="S294" s="120"/>
    </row>
    <row r="295" spans="2:30" x14ac:dyDescent="0.25">
      <c r="B295" s="612" t="s">
        <v>415</v>
      </c>
      <c r="C295" s="612"/>
      <c r="D295" s="612"/>
      <c r="E295" s="612"/>
      <c r="F295" s="612"/>
      <c r="G295" s="45">
        <f>G289</f>
        <v>9</v>
      </c>
      <c r="H295" s="45" t="s">
        <v>229</v>
      </c>
      <c r="I295" s="613">
        <f>K294</f>
        <v>4437.2126190476192</v>
      </c>
      <c r="J295" s="613"/>
      <c r="K295" s="159">
        <f>I295*G295</f>
        <v>39934.913571428573</v>
      </c>
      <c r="M295" s="717"/>
      <c r="N295" s="549"/>
      <c r="O295" s="549"/>
      <c r="P295" s="120"/>
      <c r="Q295" s="120"/>
      <c r="R295" s="120"/>
      <c r="S295" s="120"/>
      <c r="T295" s="120"/>
      <c r="U295" s="120"/>
      <c r="V295" s="120"/>
      <c r="W295" s="120"/>
    </row>
    <row r="296" spans="2:30" x14ac:dyDescent="0.25">
      <c r="N296" s="549"/>
      <c r="O296" s="549"/>
      <c r="P296" s="120"/>
      <c r="Q296" s="120"/>
      <c r="R296" s="120"/>
      <c r="S296" s="120"/>
      <c r="T296" s="120"/>
      <c r="U296" s="120"/>
      <c r="V296" s="120"/>
      <c r="W296" s="120"/>
    </row>
    <row r="297" spans="2:30" x14ac:dyDescent="0.25">
      <c r="B297" s="609" t="s">
        <v>465</v>
      </c>
      <c r="C297" s="609"/>
      <c r="D297" s="609"/>
      <c r="E297" s="609"/>
      <c r="F297" s="609"/>
      <c r="G297" s="609"/>
      <c r="H297" s="609"/>
      <c r="I297" s="609"/>
      <c r="J297" s="609"/>
      <c r="K297" s="609"/>
      <c r="N297" s="548"/>
      <c r="O297" s="548"/>
      <c r="P297" s="119"/>
      <c r="Q297" s="119"/>
      <c r="R297" s="119"/>
      <c r="S297" s="119"/>
      <c r="T297" s="119"/>
      <c r="U297" s="119"/>
      <c r="V297" s="119"/>
      <c r="W297" s="119"/>
    </row>
    <row r="298" spans="2:30" x14ac:dyDescent="0.25">
      <c r="B298" s="602" t="s">
        <v>174</v>
      </c>
      <c r="C298" s="602"/>
      <c r="D298" s="602"/>
      <c r="E298" s="602"/>
      <c r="F298" s="602"/>
      <c r="G298" s="45" t="s">
        <v>128</v>
      </c>
      <c r="H298" s="45" t="s">
        <v>129</v>
      </c>
      <c r="I298" s="602" t="s">
        <v>226</v>
      </c>
      <c r="J298" s="602"/>
      <c r="K298" s="45" t="s">
        <v>227</v>
      </c>
      <c r="M298" s="534"/>
      <c r="N298" s="548"/>
      <c r="O298" s="548"/>
      <c r="P298" s="119"/>
      <c r="Q298" s="119"/>
      <c r="R298" s="119"/>
      <c r="S298" s="119"/>
      <c r="T298" s="119"/>
      <c r="U298" s="119"/>
      <c r="V298" s="119"/>
      <c r="W298" s="119"/>
    </row>
    <row r="299" spans="2:30" x14ac:dyDescent="0.25">
      <c r="B299" s="615" t="s">
        <v>466</v>
      </c>
      <c r="C299" s="615"/>
      <c r="D299" s="615"/>
      <c r="E299" s="615"/>
      <c r="F299" s="615"/>
      <c r="G299" s="8">
        <f>G284</f>
        <v>9</v>
      </c>
      <c r="H299" s="8" t="s">
        <v>229</v>
      </c>
      <c r="I299" s="617">
        <f>I284</f>
        <v>322725</v>
      </c>
      <c r="J299" s="617"/>
      <c r="K299" s="30">
        <f>I299*G299</f>
        <v>2904525</v>
      </c>
      <c r="M299" s="717"/>
      <c r="N299" s="549"/>
      <c r="O299" s="549"/>
      <c r="P299" s="120"/>
      <c r="Q299" s="120"/>
      <c r="R299" s="120"/>
      <c r="S299" s="120"/>
      <c r="T299" s="120"/>
      <c r="U299" s="120"/>
      <c r="V299" s="120"/>
      <c r="W299" s="120"/>
    </row>
    <row r="300" spans="2:30" x14ac:dyDescent="0.25">
      <c r="B300" s="615" t="s">
        <v>239</v>
      </c>
      <c r="C300" s="615"/>
      <c r="D300" s="615"/>
      <c r="E300" s="615"/>
      <c r="F300" s="615"/>
      <c r="G300" s="556">
        <v>13.75</v>
      </c>
      <c r="H300" s="8" t="s">
        <v>89</v>
      </c>
      <c r="I300" s="616"/>
      <c r="J300" s="616"/>
      <c r="K300" s="30"/>
      <c r="M300" s="717"/>
    </row>
    <row r="301" spans="2:30" ht="18" x14ac:dyDescent="0.25">
      <c r="B301" s="615" t="s">
        <v>240</v>
      </c>
      <c r="C301" s="615"/>
      <c r="D301" s="615"/>
      <c r="E301" s="615"/>
      <c r="F301" s="615"/>
      <c r="G301" s="8"/>
      <c r="H301" s="8"/>
      <c r="I301" s="617">
        <f>IFERROR(IF(G286&lt;=G285,I284-(G287/(100*G285)*G286)*I284,I284-K287),0)</f>
        <v>101427.85714285713</v>
      </c>
      <c r="J301" s="617"/>
      <c r="K301" s="30"/>
      <c r="M301" s="717"/>
      <c r="N301" s="549"/>
      <c r="O301" s="549"/>
      <c r="P301" s="120"/>
      <c r="Q301" s="120"/>
      <c r="R301" s="120"/>
      <c r="S301" s="120"/>
      <c r="T301" s="120"/>
      <c r="U301" s="120"/>
      <c r="V301" s="120"/>
      <c r="W301" s="120"/>
      <c r="AD301" s="14"/>
    </row>
    <row r="302" spans="2:30" x14ac:dyDescent="0.25">
      <c r="B302" s="615" t="s">
        <v>418</v>
      </c>
      <c r="C302" s="615"/>
      <c r="D302" s="615"/>
      <c r="E302" s="615"/>
      <c r="F302" s="615"/>
      <c r="G302" s="8"/>
      <c r="H302" s="8"/>
      <c r="I302" s="617">
        <f>IFERROR(IF(G286&gt;=G285,I301,((((I301)-(I284-K287))*(((G285-G286)+1)/(2*(G285-G286))))+(I284-K287))),0)</f>
        <v>101427.85714285713</v>
      </c>
      <c r="J302" s="617"/>
      <c r="K302" s="30"/>
      <c r="M302" s="717"/>
      <c r="AD302" s="14"/>
    </row>
    <row r="303" spans="2:30" x14ac:dyDescent="0.25">
      <c r="B303" s="618" t="s">
        <v>419</v>
      </c>
      <c r="C303" s="618"/>
      <c r="D303" s="618"/>
      <c r="E303" s="618"/>
      <c r="F303" s="618"/>
      <c r="G303" s="147"/>
      <c r="H303" s="147"/>
      <c r="I303" s="619">
        <f>G300*I302/12/100</f>
        <v>1162.1941964285711</v>
      </c>
      <c r="J303" s="619"/>
      <c r="K303" s="148">
        <f>I303</f>
        <v>1162.1941964285711</v>
      </c>
      <c r="M303" s="717"/>
      <c r="N303" s="549"/>
      <c r="O303" s="549"/>
      <c r="P303" s="120"/>
      <c r="Q303" s="120"/>
      <c r="R303" s="120"/>
      <c r="S303" s="120"/>
      <c r="T303" s="120"/>
      <c r="U303" s="120"/>
      <c r="V303" s="120"/>
      <c r="W303" s="120"/>
      <c r="AD303" s="14"/>
    </row>
    <row r="304" spans="2:30" x14ac:dyDescent="0.25">
      <c r="B304" s="637" t="s">
        <v>467</v>
      </c>
      <c r="C304" s="637"/>
      <c r="D304" s="637"/>
      <c r="E304" s="637"/>
      <c r="F304" s="637"/>
      <c r="G304" s="125">
        <f>G289</f>
        <v>9</v>
      </c>
      <c r="H304" s="125" t="s">
        <v>229</v>
      </c>
      <c r="I304" s="621">
        <f>I289</f>
        <v>143182.32500000001</v>
      </c>
      <c r="J304" s="621"/>
      <c r="K304" s="224">
        <f>I304*G304</f>
        <v>1288640.925</v>
      </c>
      <c r="M304" s="717"/>
      <c r="AD304" s="14"/>
    </row>
    <row r="305" spans="2:30" x14ac:dyDescent="0.25">
      <c r="B305" s="615" t="s">
        <v>239</v>
      </c>
      <c r="C305" s="615"/>
      <c r="D305" s="615"/>
      <c r="E305" s="615"/>
      <c r="F305" s="615"/>
      <c r="G305" s="556">
        <v>13.75</v>
      </c>
      <c r="H305" s="8" t="s">
        <v>89</v>
      </c>
      <c r="I305" s="616"/>
      <c r="J305" s="616"/>
      <c r="K305" s="30"/>
      <c r="M305" s="717"/>
      <c r="N305" s="549"/>
      <c r="O305" s="549"/>
      <c r="P305" s="120"/>
      <c r="Q305" s="120"/>
      <c r="R305" s="120"/>
      <c r="S305" s="120"/>
      <c r="T305" s="120"/>
      <c r="U305" s="120"/>
      <c r="V305" s="120"/>
      <c r="W305" s="120"/>
      <c r="AD305" s="14"/>
    </row>
    <row r="306" spans="2:30" ht="18" x14ac:dyDescent="0.25">
      <c r="B306" s="615" t="s">
        <v>240</v>
      </c>
      <c r="C306" s="615"/>
      <c r="D306" s="615"/>
      <c r="E306" s="615"/>
      <c r="F306" s="615"/>
      <c r="G306" s="8"/>
      <c r="H306" s="8"/>
      <c r="I306" s="617">
        <f>IFERROR(IF(G291&lt;=G290,I289-(G292/(100*G290)*G291)*I289,I289-K292),0)</f>
        <v>45000.159285714282</v>
      </c>
      <c r="J306" s="617"/>
      <c r="K306" s="30"/>
      <c r="M306" s="717"/>
      <c r="R306" s="120"/>
      <c r="T306" s="120"/>
      <c r="U306" s="120"/>
      <c r="V306" s="120"/>
      <c r="W306" s="120"/>
      <c r="AD306" s="14"/>
    </row>
    <row r="307" spans="2:30" x14ac:dyDescent="0.25">
      <c r="B307" s="615" t="s">
        <v>421</v>
      </c>
      <c r="C307" s="615"/>
      <c r="D307" s="615"/>
      <c r="E307" s="615"/>
      <c r="F307" s="615"/>
      <c r="G307" s="8"/>
      <c r="H307" s="8"/>
      <c r="I307" s="617">
        <f>IFERROR(IF(G291&gt;=G290,I306,((((I306)-(I289-K292))*(((G290-G291)+1)/(2*(G290-G291))))+(I289-K292))),0)</f>
        <v>45000.159285714282</v>
      </c>
      <c r="J307" s="617"/>
      <c r="K307" s="30"/>
      <c r="M307" s="717"/>
      <c r="N307" s="549"/>
      <c r="O307" s="549"/>
      <c r="P307" s="120"/>
      <c r="Q307" s="120"/>
      <c r="R307" s="120"/>
      <c r="S307" s="120"/>
      <c r="T307" s="120"/>
      <c r="U307" s="120"/>
      <c r="V307" s="120"/>
      <c r="W307" s="120"/>
      <c r="AD307" s="14"/>
    </row>
    <row r="308" spans="2:30" x14ac:dyDescent="0.25">
      <c r="B308" s="618" t="s">
        <v>422</v>
      </c>
      <c r="C308" s="618"/>
      <c r="D308" s="618"/>
      <c r="E308" s="618"/>
      <c r="F308" s="618"/>
      <c r="G308" s="147"/>
      <c r="H308" s="147"/>
      <c r="I308" s="619">
        <f>G305*I307/12/100</f>
        <v>515.62682514880953</v>
      </c>
      <c r="J308" s="619"/>
      <c r="K308" s="148">
        <f>I308</f>
        <v>515.62682514880953</v>
      </c>
      <c r="M308" s="717"/>
      <c r="AD308" s="14"/>
    </row>
    <row r="309" spans="2:30" x14ac:dyDescent="0.25">
      <c r="B309" s="635" t="s">
        <v>423</v>
      </c>
      <c r="C309" s="635"/>
      <c r="D309" s="635"/>
      <c r="E309" s="635"/>
      <c r="F309" s="635"/>
      <c r="G309" s="180"/>
      <c r="H309" s="180"/>
      <c r="I309" s="636"/>
      <c r="J309" s="636"/>
      <c r="K309" s="227">
        <f>SUM(K303+K308)</f>
        <v>1677.8210215773806</v>
      </c>
      <c r="M309" s="717"/>
      <c r="N309" s="549"/>
      <c r="O309" s="549"/>
      <c r="P309" s="120"/>
      <c r="Q309" s="120"/>
      <c r="R309" s="120"/>
      <c r="S309" s="120"/>
      <c r="T309" s="120"/>
      <c r="U309" s="120"/>
      <c r="V309" s="120"/>
      <c r="W309" s="120"/>
      <c r="AD309" s="14"/>
    </row>
    <row r="310" spans="2:30" x14ac:dyDescent="0.25">
      <c r="B310" s="612" t="s">
        <v>243</v>
      </c>
      <c r="C310" s="612"/>
      <c r="D310" s="612"/>
      <c r="E310" s="612"/>
      <c r="F310" s="612"/>
      <c r="G310" s="45">
        <f>G295</f>
        <v>9</v>
      </c>
      <c r="H310" s="45" t="s">
        <v>229</v>
      </c>
      <c r="I310" s="613">
        <f>K309</f>
        <v>1677.8210215773806</v>
      </c>
      <c r="J310" s="613"/>
      <c r="K310" s="159">
        <f>I310*G310</f>
        <v>15100.389194196425</v>
      </c>
      <c r="M310" s="717"/>
      <c r="AD310" s="14"/>
    </row>
    <row r="311" spans="2:30" x14ac:dyDescent="0.25">
      <c r="B311" s="131"/>
      <c r="C311" s="131"/>
      <c r="D311" s="131"/>
      <c r="E311" s="131"/>
      <c r="F311" s="131"/>
      <c r="G311" s="18"/>
      <c r="H311" s="18"/>
      <c r="I311" s="18"/>
      <c r="J311" s="18"/>
      <c r="K311" s="132"/>
      <c r="N311" s="549"/>
      <c r="O311" s="549"/>
      <c r="P311" s="120"/>
      <c r="Q311" s="120"/>
      <c r="R311" s="120"/>
      <c r="S311" s="120"/>
      <c r="T311" s="120"/>
      <c r="U311" s="120"/>
      <c r="V311" s="120"/>
      <c r="W311" s="120"/>
      <c r="AD311" s="14"/>
    </row>
    <row r="312" spans="2:30" x14ac:dyDescent="0.25">
      <c r="B312" s="609" t="s">
        <v>468</v>
      </c>
      <c r="C312" s="609"/>
      <c r="D312" s="609"/>
      <c r="E312" s="609"/>
      <c r="F312" s="609"/>
      <c r="G312" s="609"/>
      <c r="H312" s="609"/>
      <c r="I312" s="609"/>
      <c r="J312" s="609"/>
      <c r="K312" s="609"/>
      <c r="M312" s="732"/>
      <c r="AD312" s="14"/>
    </row>
    <row r="313" spans="2:30" x14ac:dyDescent="0.25">
      <c r="B313" s="602" t="s">
        <v>174</v>
      </c>
      <c r="C313" s="602"/>
      <c r="D313" s="602"/>
      <c r="E313" s="602"/>
      <c r="F313" s="602"/>
      <c r="G313" s="45" t="s">
        <v>128</v>
      </c>
      <c r="H313" s="45" t="s">
        <v>129</v>
      </c>
      <c r="I313" s="602" t="s">
        <v>226</v>
      </c>
      <c r="J313" s="602"/>
      <c r="K313" s="45" t="s">
        <v>246</v>
      </c>
      <c r="M313" s="732"/>
      <c r="N313" s="549"/>
      <c r="O313" s="549"/>
      <c r="P313" s="120"/>
      <c r="Q313" s="120"/>
      <c r="R313" s="120"/>
      <c r="S313" s="120"/>
      <c r="T313" s="120"/>
      <c r="U313" s="120"/>
      <c r="V313" s="120"/>
      <c r="W313" s="120"/>
      <c r="AD313" s="14"/>
    </row>
    <row r="314" spans="2:30" x14ac:dyDescent="0.25">
      <c r="B314" s="622" t="s">
        <v>426</v>
      </c>
      <c r="C314" s="622"/>
      <c r="D314" s="622"/>
      <c r="E314" s="622"/>
      <c r="F314" s="622"/>
      <c r="G314" s="8">
        <f>G310</f>
        <v>9</v>
      </c>
      <c r="H314" s="8" t="s">
        <v>229</v>
      </c>
      <c r="I314" s="617">
        <f>I284*0.01</f>
        <v>3227.25</v>
      </c>
      <c r="J314" s="617"/>
      <c r="K314" s="30">
        <f>(I314*G314)/12</f>
        <v>2420.4375</v>
      </c>
      <c r="M314" s="732"/>
      <c r="R314" s="120"/>
      <c r="T314" s="120"/>
      <c r="U314" s="120"/>
      <c r="V314" s="120"/>
      <c r="W314" s="120"/>
    </row>
    <row r="315" spans="2:30" x14ac:dyDescent="0.25">
      <c r="B315" s="622" t="s">
        <v>427</v>
      </c>
      <c r="C315" s="622"/>
      <c r="D315" s="622"/>
      <c r="E315" s="622"/>
      <c r="F315" s="622"/>
      <c r="G315" s="8">
        <f>G314</f>
        <v>9</v>
      </c>
      <c r="H315" s="8" t="s">
        <v>229</v>
      </c>
      <c r="I315" s="617">
        <v>109.27</v>
      </c>
      <c r="J315" s="617"/>
      <c r="K315" s="30">
        <f>(I315*G315)/12</f>
        <v>81.952500000000001</v>
      </c>
      <c r="M315" s="732"/>
      <c r="N315" s="549"/>
      <c r="O315" s="549"/>
      <c r="P315" s="120"/>
      <c r="Q315" s="120"/>
      <c r="S315" s="120"/>
    </row>
    <row r="316" spans="2:30" x14ac:dyDescent="0.25">
      <c r="B316" s="622" t="s">
        <v>428</v>
      </c>
      <c r="C316" s="622"/>
      <c r="D316" s="622"/>
      <c r="E316" s="622"/>
      <c r="F316" s="622"/>
      <c r="G316" s="8">
        <f>G315</f>
        <v>9</v>
      </c>
      <c r="H316" s="8" t="s">
        <v>229</v>
      </c>
      <c r="I316" s="617">
        <f>'10 - CUSTOS UN'!$J$255</f>
        <v>2750.0266666666666</v>
      </c>
      <c r="J316" s="617"/>
      <c r="K316" s="30">
        <f>(I316/12)*G316</f>
        <v>2062.52</v>
      </c>
      <c r="M316" s="732"/>
      <c r="N316" s="549"/>
      <c r="O316" s="549"/>
      <c r="P316" s="120"/>
      <c r="Q316" s="120"/>
      <c r="S316" s="120"/>
    </row>
    <row r="317" spans="2:30" x14ac:dyDescent="0.25">
      <c r="B317" s="622" t="s">
        <v>429</v>
      </c>
      <c r="C317" s="622"/>
      <c r="D317" s="622"/>
      <c r="E317" s="622"/>
      <c r="F317" s="622"/>
      <c r="G317" s="8">
        <f>G316</f>
        <v>9</v>
      </c>
      <c r="H317" s="8" t="s">
        <v>229</v>
      </c>
      <c r="I317" s="617">
        <f>'10 - CUSTOS UN'!$J$233</f>
        <v>57.093333333333334</v>
      </c>
      <c r="J317" s="617"/>
      <c r="K317" s="30">
        <f>I317*G317</f>
        <v>513.84</v>
      </c>
      <c r="M317" s="732"/>
      <c r="N317" s="549"/>
      <c r="O317" s="549"/>
      <c r="P317" s="120"/>
      <c r="Q317" s="120"/>
      <c r="S317" s="120"/>
    </row>
    <row r="318" spans="2:30" x14ac:dyDescent="0.25">
      <c r="B318" s="624" t="s">
        <v>249</v>
      </c>
      <c r="C318" s="624"/>
      <c r="D318" s="624"/>
      <c r="E318" s="624"/>
      <c r="F318" s="624"/>
      <c r="G318" s="161">
        <f>G317</f>
        <v>9</v>
      </c>
      <c r="H318" s="161" t="s">
        <v>129</v>
      </c>
      <c r="I318" s="625">
        <f>SUM(K314:K317)/G318</f>
        <v>564.30555555555554</v>
      </c>
      <c r="J318" s="625"/>
      <c r="K318" s="150">
        <f>I318*G318</f>
        <v>5078.75</v>
      </c>
      <c r="M318" s="732"/>
      <c r="N318" s="549"/>
      <c r="O318" s="549"/>
      <c r="P318" s="120"/>
      <c r="Q318" s="120"/>
      <c r="S318" s="120"/>
    </row>
    <row r="319" spans="2:30" x14ac:dyDescent="0.25">
      <c r="N319" s="549"/>
      <c r="O319" s="549"/>
      <c r="P319" s="120"/>
      <c r="Q319" s="120"/>
      <c r="S319" s="120"/>
    </row>
    <row r="320" spans="2:30" x14ac:dyDescent="0.25">
      <c r="B320" s="609" t="s">
        <v>469</v>
      </c>
      <c r="C320" s="609"/>
      <c r="D320" s="609"/>
      <c r="E320" s="609"/>
      <c r="F320" s="609"/>
      <c r="G320" s="609"/>
      <c r="H320" s="609"/>
      <c r="I320" s="609"/>
      <c r="J320" s="609"/>
      <c r="K320" s="609"/>
      <c r="M320" s="576"/>
      <c r="N320" s="549"/>
      <c r="O320" s="549"/>
      <c r="P320" s="120"/>
      <c r="Q320" s="120"/>
      <c r="S320" s="120"/>
    </row>
    <row r="321" spans="2:23" x14ac:dyDescent="0.25">
      <c r="B321" s="605" t="s">
        <v>174</v>
      </c>
      <c r="C321" s="605"/>
      <c r="D321" s="605"/>
      <c r="E321" s="605"/>
      <c r="F321" s="605"/>
      <c r="G321" s="223" t="s">
        <v>128</v>
      </c>
      <c r="H321" s="138" t="s">
        <v>129</v>
      </c>
      <c r="I321" s="605" t="s">
        <v>226</v>
      </c>
      <c r="J321" s="605"/>
      <c r="K321" s="138" t="s">
        <v>209</v>
      </c>
      <c r="M321" s="576"/>
      <c r="N321" s="549"/>
      <c r="O321" s="549"/>
      <c r="P321" s="120"/>
      <c r="Q321" s="120"/>
      <c r="S321" s="120"/>
    </row>
    <row r="322" spans="2:23" x14ac:dyDescent="0.25">
      <c r="B322" s="620" t="s">
        <v>252</v>
      </c>
      <c r="C322" s="620"/>
      <c r="D322" s="620"/>
      <c r="E322" s="620"/>
      <c r="F322" s="620"/>
      <c r="G322" s="583">
        <v>4000</v>
      </c>
      <c r="H322" s="8" t="s">
        <v>253</v>
      </c>
      <c r="I322" s="641"/>
      <c r="J322" s="641"/>
      <c r="K322" s="11"/>
      <c r="M322" s="576"/>
      <c r="N322" s="549"/>
      <c r="O322" s="549"/>
      <c r="P322" s="120"/>
      <c r="Q322" s="120"/>
      <c r="S322" s="120"/>
    </row>
    <row r="323" spans="2:23" x14ac:dyDescent="0.25">
      <c r="B323" s="622" t="s">
        <v>431</v>
      </c>
      <c r="C323" s="622"/>
      <c r="D323" s="622"/>
      <c r="E323" s="622"/>
      <c r="F323" s="622"/>
      <c r="G323" s="8">
        <v>1.6</v>
      </c>
      <c r="H323" s="8" t="s">
        <v>432</v>
      </c>
      <c r="I323" s="642"/>
      <c r="J323" s="642"/>
      <c r="K323" s="176"/>
      <c r="M323" s="576"/>
      <c r="N323" s="549"/>
      <c r="O323" s="549"/>
      <c r="P323" s="120"/>
      <c r="Q323" s="120"/>
      <c r="R323" s="120"/>
      <c r="S323" s="120"/>
      <c r="T323" s="120"/>
      <c r="U323" s="120"/>
      <c r="V323" s="120"/>
      <c r="W323" s="120"/>
    </row>
    <row r="324" spans="2:23" x14ac:dyDescent="0.25">
      <c r="B324" s="622" t="s">
        <v>433</v>
      </c>
      <c r="C324" s="622"/>
      <c r="D324" s="622"/>
      <c r="E324" s="622"/>
      <c r="F324" s="622"/>
      <c r="G324" s="8">
        <v>1</v>
      </c>
      <c r="H324" s="8" t="s">
        <v>258</v>
      </c>
      <c r="I324" s="633">
        <v>7.24</v>
      </c>
      <c r="J324" s="633"/>
      <c r="K324" s="11"/>
      <c r="M324" s="576"/>
    </row>
    <row r="325" spans="2:23" x14ac:dyDescent="0.25">
      <c r="B325" s="627" t="s">
        <v>434</v>
      </c>
      <c r="C325" s="627"/>
      <c r="D325" s="627"/>
      <c r="E325" s="627"/>
      <c r="F325" s="627"/>
      <c r="G325" s="228">
        <f>G322/G323</f>
        <v>2500</v>
      </c>
      <c r="H325" s="226" t="s">
        <v>435</v>
      </c>
      <c r="I325" s="619">
        <f>I324</f>
        <v>7.24</v>
      </c>
      <c r="J325" s="619"/>
      <c r="K325" s="148">
        <f>I325*G325</f>
        <v>18100</v>
      </c>
      <c r="M325" s="576"/>
      <c r="N325" s="549"/>
      <c r="O325" s="549"/>
      <c r="P325" s="120"/>
      <c r="Q325" s="120"/>
      <c r="R325" s="120"/>
      <c r="S325" s="120"/>
      <c r="T325" s="120"/>
      <c r="U325" s="120"/>
      <c r="V325" s="120"/>
      <c r="W325" s="120"/>
    </row>
    <row r="326" spans="2:23" x14ac:dyDescent="0.25">
      <c r="B326" s="624" t="s">
        <v>436</v>
      </c>
      <c r="C326" s="624"/>
      <c r="D326" s="624"/>
      <c r="E326" s="624"/>
      <c r="F326" s="624"/>
      <c r="G326" s="161">
        <v>8</v>
      </c>
      <c r="H326" s="161" t="s">
        <v>129</v>
      </c>
      <c r="I326" s="625">
        <f>K325</f>
        <v>18100</v>
      </c>
      <c r="J326" s="625"/>
      <c r="K326" s="150">
        <f>I326*G326</f>
        <v>144800</v>
      </c>
      <c r="M326" s="576"/>
      <c r="N326" s="549"/>
      <c r="O326" s="549"/>
      <c r="P326" s="120"/>
      <c r="Q326" s="120"/>
      <c r="R326" s="120"/>
      <c r="S326" s="120"/>
      <c r="T326" s="120"/>
      <c r="U326" s="120"/>
      <c r="V326" s="120"/>
      <c r="W326" s="120"/>
    </row>
    <row r="327" spans="2:23" x14ac:dyDescent="0.25">
      <c r="B327" s="120"/>
      <c r="C327" s="120"/>
      <c r="D327" s="120"/>
      <c r="E327" s="120"/>
      <c r="F327" s="120"/>
      <c r="G327" s="1"/>
      <c r="H327" s="1"/>
      <c r="I327" s="124"/>
      <c r="J327" s="124"/>
      <c r="K327" s="129"/>
      <c r="R327" s="120"/>
      <c r="T327" s="120"/>
      <c r="U327" s="120"/>
      <c r="V327" s="120"/>
      <c r="W327" s="120"/>
    </row>
    <row r="328" spans="2:23" x14ac:dyDescent="0.25">
      <c r="B328" s="609" t="s">
        <v>470</v>
      </c>
      <c r="C328" s="609"/>
      <c r="D328" s="609"/>
      <c r="E328" s="609"/>
      <c r="F328" s="609"/>
      <c r="G328" s="609"/>
      <c r="H328" s="609"/>
      <c r="I328" s="609"/>
      <c r="J328" s="609"/>
      <c r="K328" s="609"/>
      <c r="M328" s="576"/>
      <c r="N328" s="549"/>
      <c r="O328" s="549"/>
      <c r="P328" s="120"/>
      <c r="Q328" s="120"/>
      <c r="R328" s="120"/>
      <c r="S328" s="120"/>
      <c r="T328" s="120"/>
      <c r="U328" s="120"/>
      <c r="V328" s="120"/>
      <c r="W328" s="120"/>
    </row>
    <row r="329" spans="2:23" ht="15" customHeight="1" x14ac:dyDescent="0.25">
      <c r="B329" s="605" t="s">
        <v>174</v>
      </c>
      <c r="C329" s="605"/>
      <c r="D329" s="605"/>
      <c r="E329" s="605"/>
      <c r="F329" s="605"/>
      <c r="G329" s="223" t="s">
        <v>128</v>
      </c>
      <c r="H329" s="138" t="s">
        <v>129</v>
      </c>
      <c r="I329" s="605" t="s">
        <v>226</v>
      </c>
      <c r="J329" s="605"/>
      <c r="K329" s="138" t="s">
        <v>227</v>
      </c>
      <c r="M329" s="576"/>
    </row>
    <row r="330" spans="2:23" x14ac:dyDescent="0.25">
      <c r="B330" s="620" t="s">
        <v>439</v>
      </c>
      <c r="C330" s="620"/>
      <c r="D330" s="620"/>
      <c r="E330" s="620"/>
      <c r="F330" s="620"/>
      <c r="G330" s="8">
        <v>2</v>
      </c>
      <c r="H330" s="8" t="s">
        <v>440</v>
      </c>
      <c r="I330" s="621">
        <f>'10 - CUSTOS UN'!$J$216</f>
        <v>20.973333333333333</v>
      </c>
      <c r="J330" s="621"/>
      <c r="K330" s="30">
        <f>I330*G330</f>
        <v>41.946666666666665</v>
      </c>
      <c r="M330" s="534"/>
      <c r="N330" s="548"/>
      <c r="O330" s="548"/>
      <c r="P330" s="119"/>
      <c r="Q330" s="119"/>
      <c r="R330" s="119"/>
      <c r="S330" s="119"/>
      <c r="T330" s="119"/>
      <c r="U330" s="119"/>
      <c r="V330" s="119"/>
      <c r="W330" s="119"/>
    </row>
    <row r="331" spans="2:23" x14ac:dyDescent="0.25">
      <c r="B331" s="630" t="s">
        <v>441</v>
      </c>
      <c r="C331" s="630"/>
      <c r="D331" s="630"/>
      <c r="E331" s="630"/>
      <c r="F331" s="630"/>
      <c r="G331" s="229">
        <f>G322</f>
        <v>4000</v>
      </c>
      <c r="H331" s="25" t="s">
        <v>253</v>
      </c>
      <c r="I331" s="631">
        <f>K330/1000</f>
        <v>4.1946666666666667E-2</v>
      </c>
      <c r="J331" s="631"/>
      <c r="K331" s="127">
        <f>I331*G331</f>
        <v>167.78666666666666</v>
      </c>
      <c r="M331" s="534"/>
      <c r="N331" s="548"/>
      <c r="O331" s="548"/>
      <c r="P331" s="119"/>
      <c r="Q331" s="119"/>
      <c r="R331" s="119"/>
      <c r="S331" s="119"/>
      <c r="T331" s="119"/>
      <c r="U331" s="119"/>
      <c r="V331" s="119"/>
      <c r="W331" s="119"/>
    </row>
    <row r="332" spans="2:23" x14ac:dyDescent="0.25">
      <c r="B332" s="622" t="s">
        <v>442</v>
      </c>
      <c r="C332" s="622"/>
      <c r="D332" s="622"/>
      <c r="E332" s="622"/>
      <c r="F332" s="622"/>
      <c r="G332" s="125">
        <v>0.5</v>
      </c>
      <c r="H332" s="8" t="s">
        <v>440</v>
      </c>
      <c r="I332" s="617">
        <f>'10 - CUSTOS UN'!$J$219</f>
        <v>34.336666666666666</v>
      </c>
      <c r="J332" s="617"/>
      <c r="K332" s="30">
        <f>G332*I332</f>
        <v>17.168333333333333</v>
      </c>
      <c r="M332" s="576"/>
      <c r="T332" s="237"/>
      <c r="U332" s="237"/>
    </row>
    <row r="333" spans="2:23" x14ac:dyDescent="0.25">
      <c r="B333" s="630" t="s">
        <v>443</v>
      </c>
      <c r="C333" s="630"/>
      <c r="D333" s="630"/>
      <c r="E333" s="630"/>
      <c r="F333" s="630"/>
      <c r="G333" s="229">
        <f>G322</f>
        <v>4000</v>
      </c>
      <c r="H333" s="25" t="s">
        <v>253</v>
      </c>
      <c r="I333" s="631">
        <f>K332/1000</f>
        <v>1.7168333333333334E-2</v>
      </c>
      <c r="J333" s="631"/>
      <c r="K333" s="127">
        <f>I333*G333</f>
        <v>68.673333333333332</v>
      </c>
      <c r="M333" s="576"/>
      <c r="T333" s="237"/>
      <c r="U333" s="237"/>
    </row>
    <row r="334" spans="2:23" x14ac:dyDescent="0.25">
      <c r="B334" s="622" t="s">
        <v>444</v>
      </c>
      <c r="C334" s="622"/>
      <c r="D334" s="622"/>
      <c r="E334" s="622"/>
      <c r="F334" s="622"/>
      <c r="G334" s="230">
        <f>I335/I334*1000</f>
        <v>8.3333333333333339</v>
      </c>
      <c r="H334" s="8" t="s">
        <v>440</v>
      </c>
      <c r="I334" s="617">
        <f>'10 - CUSTOS UN'!$J$225</f>
        <v>25.786666666666665</v>
      </c>
      <c r="J334" s="617"/>
      <c r="K334" s="30">
        <f>I334*G334</f>
        <v>214.88888888888889</v>
      </c>
      <c r="M334" s="576"/>
      <c r="T334" s="237"/>
      <c r="U334" s="237"/>
    </row>
    <row r="335" spans="2:23" x14ac:dyDescent="0.25">
      <c r="B335" s="630" t="s">
        <v>445</v>
      </c>
      <c r="C335" s="630"/>
      <c r="D335" s="630"/>
      <c r="E335" s="630"/>
      <c r="F335" s="630"/>
      <c r="G335" s="229">
        <f>G322</f>
        <v>4000</v>
      </c>
      <c r="H335" s="25" t="s">
        <v>253</v>
      </c>
      <c r="I335" s="631">
        <f>K335/G335</f>
        <v>0.21488888888888888</v>
      </c>
      <c r="J335" s="631"/>
      <c r="K335" s="127">
        <f>200/6*I334</f>
        <v>859.55555555555554</v>
      </c>
      <c r="M335" s="576"/>
      <c r="T335" s="237"/>
      <c r="U335" s="237"/>
    </row>
    <row r="336" spans="2:23" x14ac:dyDescent="0.25">
      <c r="B336" s="622" t="s">
        <v>446</v>
      </c>
      <c r="C336" s="622"/>
      <c r="D336" s="622"/>
      <c r="E336" s="622"/>
      <c r="F336" s="622"/>
      <c r="G336" s="8">
        <v>2</v>
      </c>
      <c r="H336" s="8" t="s">
        <v>447</v>
      </c>
      <c r="I336" s="617">
        <f>'10 - CUSTOS UN'!$J$228</f>
        <v>43.276666666666664</v>
      </c>
      <c r="J336" s="617"/>
      <c r="K336" s="30">
        <f>I336*G336</f>
        <v>86.553333333333327</v>
      </c>
      <c r="M336" s="576"/>
      <c r="N336" s="549"/>
      <c r="O336" s="549"/>
      <c r="P336" s="120"/>
      <c r="Q336" s="120"/>
      <c r="R336" s="120"/>
      <c r="S336" s="120"/>
      <c r="T336" s="120"/>
      <c r="U336" s="120"/>
      <c r="V336" s="120"/>
      <c r="W336" s="120"/>
    </row>
    <row r="337" spans="2:23" x14ac:dyDescent="0.25">
      <c r="B337" s="627" t="s">
        <v>448</v>
      </c>
      <c r="C337" s="627"/>
      <c r="D337" s="627"/>
      <c r="E337" s="627"/>
      <c r="F337" s="627"/>
      <c r="G337" s="228">
        <f>G322</f>
        <v>4000</v>
      </c>
      <c r="H337" s="226" t="s">
        <v>253</v>
      </c>
      <c r="I337" s="619">
        <f>K336/1000</f>
        <v>8.6553333333333329E-2</v>
      </c>
      <c r="J337" s="619"/>
      <c r="K337" s="148">
        <f>I337*G337</f>
        <v>346.21333333333331</v>
      </c>
      <c r="M337" s="576"/>
      <c r="N337" s="549"/>
      <c r="O337" s="549"/>
      <c r="P337" s="120"/>
      <c r="Q337" s="120"/>
      <c r="R337" s="120"/>
      <c r="S337" s="120"/>
      <c r="T337" s="120"/>
      <c r="U337" s="120"/>
      <c r="V337" s="120"/>
      <c r="W337" s="120"/>
    </row>
    <row r="338" spans="2:23" x14ac:dyDescent="0.25">
      <c r="B338" s="624" t="s">
        <v>449</v>
      </c>
      <c r="C338" s="624"/>
      <c r="D338" s="624"/>
      <c r="E338" s="624"/>
      <c r="F338" s="624"/>
      <c r="G338" s="161">
        <f>G326</f>
        <v>8</v>
      </c>
      <c r="H338" s="161" t="s">
        <v>129</v>
      </c>
      <c r="I338" s="625">
        <f>SUM(K331,K333,K335,K337)</f>
        <v>1442.2288888888888</v>
      </c>
      <c r="J338" s="625"/>
      <c r="K338" s="150">
        <f>I338*G338</f>
        <v>11537.831111111111</v>
      </c>
      <c r="M338" s="576"/>
    </row>
    <row r="339" spans="2:23" x14ac:dyDescent="0.25">
      <c r="B339" s="119"/>
      <c r="C339" s="119"/>
      <c r="D339" s="119"/>
      <c r="E339" s="119"/>
      <c r="F339" s="119"/>
      <c r="G339" s="119"/>
      <c r="H339" s="119"/>
      <c r="I339" s="119"/>
      <c r="J339" s="119"/>
      <c r="K339" s="119"/>
    </row>
    <row r="340" spans="2:23" x14ac:dyDescent="0.25">
      <c r="B340" s="609" t="s">
        <v>471</v>
      </c>
      <c r="C340" s="609"/>
      <c r="D340" s="609"/>
      <c r="E340" s="609"/>
      <c r="F340" s="609"/>
      <c r="G340" s="609"/>
      <c r="H340" s="609"/>
      <c r="I340" s="609"/>
      <c r="J340" s="609"/>
      <c r="K340" s="609"/>
      <c r="M340" s="576"/>
      <c r="N340" s="549"/>
      <c r="O340" s="549"/>
      <c r="P340" s="120"/>
      <c r="Q340" s="120"/>
      <c r="R340" s="120"/>
      <c r="S340" s="120"/>
      <c r="T340" s="120"/>
      <c r="U340" s="120"/>
      <c r="V340" s="120"/>
      <c r="W340" s="120"/>
    </row>
    <row r="341" spans="2:23" x14ac:dyDescent="0.25">
      <c r="B341" s="605" t="s">
        <v>174</v>
      </c>
      <c r="C341" s="605"/>
      <c r="D341" s="605"/>
      <c r="E341" s="605"/>
      <c r="F341" s="605"/>
      <c r="G341" s="223" t="s">
        <v>128</v>
      </c>
      <c r="H341" s="138" t="s">
        <v>129</v>
      </c>
      <c r="I341" s="605" t="s">
        <v>226</v>
      </c>
      <c r="J341" s="605"/>
      <c r="K341" s="138" t="s">
        <v>227</v>
      </c>
      <c r="M341" s="576"/>
      <c r="N341" s="549"/>
      <c r="O341" s="549"/>
      <c r="P341" s="120"/>
      <c r="Q341" s="120"/>
      <c r="R341" s="120"/>
      <c r="S341" s="120"/>
      <c r="T341" s="120"/>
      <c r="U341" s="120"/>
      <c r="V341" s="120"/>
      <c r="W341" s="120"/>
    </row>
    <row r="342" spans="2:23" x14ac:dyDescent="0.25">
      <c r="B342" s="620" t="s">
        <v>451</v>
      </c>
      <c r="C342" s="620"/>
      <c r="D342" s="620"/>
      <c r="E342" s="620"/>
      <c r="F342" s="620"/>
      <c r="G342" s="8">
        <v>6</v>
      </c>
      <c r="H342" s="8" t="s">
        <v>229</v>
      </c>
      <c r="I342" s="629">
        <f>'10 - CUSTOS UN'!$J$207</f>
        <v>2090.67</v>
      </c>
      <c r="J342" s="629"/>
      <c r="K342" s="47">
        <f>I342*G342</f>
        <v>12544.02</v>
      </c>
      <c r="L342" s="551"/>
      <c r="M342" s="581"/>
      <c r="N342" s="553"/>
      <c r="O342" s="554"/>
      <c r="P342" s="120"/>
      <c r="Q342" s="120"/>
      <c r="R342" s="120"/>
      <c r="S342" s="120"/>
      <c r="T342" s="120"/>
      <c r="U342" s="120"/>
      <c r="V342" s="120"/>
      <c r="W342" s="120"/>
    </row>
    <row r="343" spans="2:23" x14ac:dyDescent="0.25">
      <c r="B343" s="622" t="s">
        <v>452</v>
      </c>
      <c r="C343" s="622"/>
      <c r="D343" s="622"/>
      <c r="E343" s="622"/>
      <c r="F343" s="622"/>
      <c r="G343" s="8">
        <v>3</v>
      </c>
      <c r="H343" s="8" t="s">
        <v>229</v>
      </c>
      <c r="I343" s="616"/>
      <c r="J343" s="616"/>
      <c r="K343" s="158"/>
      <c r="M343" s="576"/>
      <c r="N343" s="549"/>
      <c r="O343" s="549"/>
      <c r="P343" s="120"/>
      <c r="Q343" s="120"/>
      <c r="R343" s="120"/>
      <c r="S343" s="120"/>
      <c r="T343" s="120"/>
      <c r="U343" s="120"/>
      <c r="V343" s="120"/>
      <c r="W343" s="120"/>
    </row>
    <row r="344" spans="2:23" x14ac:dyDescent="0.25">
      <c r="B344" s="622" t="s">
        <v>453</v>
      </c>
      <c r="C344" s="622"/>
      <c r="D344" s="622"/>
      <c r="E344" s="622"/>
      <c r="F344" s="622"/>
      <c r="G344" s="8">
        <f>G343*G342</f>
        <v>18</v>
      </c>
      <c r="H344" s="8" t="s">
        <v>229</v>
      </c>
      <c r="I344" s="634">
        <f>'10 - CUSTOS UN'!$J$258</f>
        <v>550.83750000000009</v>
      </c>
      <c r="J344" s="634"/>
      <c r="K344" s="30">
        <f>I344*G344</f>
        <v>9915.0750000000007</v>
      </c>
      <c r="M344" s="576"/>
      <c r="N344" s="549"/>
      <c r="O344" s="549"/>
      <c r="P344" s="120"/>
      <c r="Q344" s="120"/>
      <c r="R344" s="120"/>
      <c r="S344" s="120"/>
      <c r="T344" s="120"/>
      <c r="U344" s="120"/>
      <c r="V344" s="120"/>
      <c r="W344" s="120"/>
    </row>
    <row r="345" spans="2:23" x14ac:dyDescent="0.25">
      <c r="B345" s="622" t="s">
        <v>272</v>
      </c>
      <c r="C345" s="622"/>
      <c r="D345" s="622"/>
      <c r="E345" s="622"/>
      <c r="F345" s="622"/>
      <c r="G345" s="10">
        <v>20000</v>
      </c>
      <c r="H345" s="8" t="s">
        <v>260</v>
      </c>
      <c r="I345" s="616"/>
      <c r="J345" s="616"/>
      <c r="K345" s="158"/>
      <c r="M345" s="576"/>
      <c r="N345" s="549"/>
      <c r="O345" s="549"/>
      <c r="P345" s="120"/>
      <c r="Q345" s="120"/>
      <c r="R345" s="120"/>
      <c r="S345" s="120"/>
      <c r="T345" s="120"/>
      <c r="U345" s="120"/>
      <c r="V345" s="120"/>
      <c r="W345" s="120"/>
    </row>
    <row r="346" spans="2:23" x14ac:dyDescent="0.25">
      <c r="B346" s="622" t="s">
        <v>454</v>
      </c>
      <c r="C346" s="622"/>
      <c r="D346" s="622"/>
      <c r="E346" s="622"/>
      <c r="F346" s="622"/>
      <c r="G346" s="10">
        <v>15000</v>
      </c>
      <c r="H346" s="8" t="s">
        <v>260</v>
      </c>
      <c r="I346" s="616"/>
      <c r="J346" s="616"/>
      <c r="K346" s="158"/>
      <c r="M346" s="576"/>
      <c r="N346" s="549"/>
      <c r="O346" s="549"/>
      <c r="P346" s="120"/>
      <c r="Q346" s="120"/>
      <c r="R346" s="120"/>
      <c r="S346" s="120"/>
      <c r="T346" s="120"/>
      <c r="U346" s="120"/>
      <c r="V346" s="120"/>
      <c r="W346" s="120"/>
    </row>
    <row r="347" spans="2:23" x14ac:dyDescent="0.25">
      <c r="B347" s="622" t="s">
        <v>455</v>
      </c>
      <c r="C347" s="622"/>
      <c r="D347" s="622"/>
      <c r="E347" s="622"/>
      <c r="F347" s="622"/>
      <c r="G347" s="10">
        <f>G345+G346*G343</f>
        <v>65000</v>
      </c>
      <c r="H347" s="8" t="s">
        <v>274</v>
      </c>
      <c r="I347" s="617">
        <f>K344+K342</f>
        <v>22459.095000000001</v>
      </c>
      <c r="J347" s="617"/>
      <c r="K347" s="30">
        <f>I347/G347</f>
        <v>0.34552453846153847</v>
      </c>
      <c r="M347" s="576"/>
      <c r="R347" s="120"/>
      <c r="T347" s="120"/>
      <c r="U347" s="120"/>
      <c r="V347" s="120"/>
      <c r="W347" s="120"/>
    </row>
    <row r="348" spans="2:23" x14ac:dyDescent="0.25">
      <c r="B348" s="627" t="s">
        <v>275</v>
      </c>
      <c r="C348" s="627"/>
      <c r="D348" s="627"/>
      <c r="E348" s="627"/>
      <c r="F348" s="627"/>
      <c r="G348" s="228">
        <f>G322</f>
        <v>4000</v>
      </c>
      <c r="H348" s="226" t="s">
        <v>260</v>
      </c>
      <c r="I348" s="619">
        <f>K347</f>
        <v>0.34552453846153847</v>
      </c>
      <c r="J348" s="619"/>
      <c r="K348" s="148">
        <f>I348*G348</f>
        <v>1382.0981538461538</v>
      </c>
      <c r="M348" s="576"/>
      <c r="N348" s="549"/>
      <c r="O348" s="549"/>
      <c r="P348" s="120"/>
      <c r="Q348" s="120"/>
      <c r="S348" s="120"/>
    </row>
    <row r="349" spans="2:23" x14ac:dyDescent="0.25">
      <c r="B349" s="624" t="s">
        <v>276</v>
      </c>
      <c r="C349" s="624"/>
      <c r="D349" s="624"/>
      <c r="E349" s="624"/>
      <c r="F349" s="624"/>
      <c r="G349" s="161">
        <f>G338</f>
        <v>8</v>
      </c>
      <c r="H349" s="161" t="s">
        <v>129</v>
      </c>
      <c r="I349" s="625">
        <f>K348</f>
        <v>1382.0981538461538</v>
      </c>
      <c r="J349" s="625"/>
      <c r="K349" s="150">
        <f>I349*G349</f>
        <v>11056.78523076923</v>
      </c>
      <c r="M349" s="576"/>
      <c r="N349" s="549"/>
      <c r="O349" s="549"/>
      <c r="P349" s="120"/>
      <c r="Q349" s="120"/>
      <c r="R349" s="120"/>
      <c r="S349" s="120"/>
      <c r="T349" s="120"/>
      <c r="U349" s="120"/>
      <c r="V349" s="120"/>
      <c r="W349" s="120"/>
    </row>
    <row r="350" spans="2:23" x14ac:dyDescent="0.25">
      <c r="B350" s="120"/>
      <c r="C350" s="120"/>
      <c r="D350" s="120"/>
      <c r="E350" s="120"/>
      <c r="F350" s="120"/>
      <c r="G350" s="1"/>
      <c r="H350" s="1"/>
      <c r="I350" s="124"/>
      <c r="J350" s="124"/>
      <c r="K350" s="129"/>
    </row>
    <row r="351" spans="2:23" ht="15" customHeight="1" x14ac:dyDescent="0.25">
      <c r="B351" s="609" t="s">
        <v>472</v>
      </c>
      <c r="C351" s="609"/>
      <c r="D351" s="609"/>
      <c r="E351" s="609"/>
      <c r="F351" s="609"/>
      <c r="G351" s="609"/>
      <c r="H351" s="609"/>
      <c r="I351" s="609"/>
      <c r="J351" s="609"/>
      <c r="K351" s="609"/>
    </row>
    <row r="352" spans="2:23" x14ac:dyDescent="0.25">
      <c r="B352" s="605" t="s">
        <v>174</v>
      </c>
      <c r="C352" s="605"/>
      <c r="D352" s="605"/>
      <c r="E352" s="605"/>
      <c r="F352" s="605"/>
      <c r="G352" s="223" t="s">
        <v>128</v>
      </c>
      <c r="H352" s="138" t="s">
        <v>129</v>
      </c>
      <c r="I352" s="605" t="s">
        <v>226</v>
      </c>
      <c r="J352" s="605"/>
      <c r="K352" s="138" t="s">
        <v>209</v>
      </c>
    </row>
    <row r="353" spans="2:13" x14ac:dyDescent="0.25">
      <c r="B353" s="610" t="s">
        <v>457</v>
      </c>
      <c r="C353" s="610"/>
      <c r="D353" s="610"/>
      <c r="E353" s="610"/>
      <c r="F353" s="610"/>
      <c r="G353" s="232">
        <f>G322</f>
        <v>4000</v>
      </c>
      <c r="H353" s="233" t="s">
        <v>253</v>
      </c>
      <c r="I353" s="623">
        <v>1.18</v>
      </c>
      <c r="J353" s="623"/>
      <c r="K353" s="234">
        <f>I353*G353</f>
        <v>4720</v>
      </c>
    </row>
    <row r="354" spans="2:13" x14ac:dyDescent="0.25">
      <c r="B354" s="624" t="s">
        <v>458</v>
      </c>
      <c r="C354" s="624"/>
      <c r="D354" s="624"/>
      <c r="E354" s="624"/>
      <c r="F354" s="624"/>
      <c r="G354" s="161">
        <f>G349</f>
        <v>8</v>
      </c>
      <c r="H354" s="161" t="s">
        <v>229</v>
      </c>
      <c r="I354" s="625">
        <f>K353</f>
        <v>4720</v>
      </c>
      <c r="J354" s="625"/>
      <c r="K354" s="150">
        <f>I354*G354</f>
        <v>37760</v>
      </c>
      <c r="M354" s="576"/>
    </row>
    <row r="355" spans="2:13" ht="60" customHeight="1" x14ac:dyDescent="0.25">
      <c r="B355" s="763" t="s">
        <v>459</v>
      </c>
      <c r="C355" s="763"/>
      <c r="D355" s="763"/>
      <c r="E355" s="763"/>
      <c r="F355" s="763"/>
      <c r="G355" s="763"/>
      <c r="H355" s="763"/>
      <c r="I355" s="763"/>
      <c r="J355" s="763"/>
      <c r="K355" s="763"/>
    </row>
    <row r="356" spans="2:13" x14ac:dyDescent="0.25">
      <c r="B356" s="119"/>
      <c r="C356" s="119"/>
      <c r="D356" s="119"/>
      <c r="E356" s="119"/>
      <c r="F356" s="119"/>
      <c r="G356" s="119"/>
      <c r="H356" s="119"/>
      <c r="I356" s="119"/>
      <c r="J356" s="119"/>
      <c r="K356" s="119"/>
    </row>
    <row r="357" spans="2:13" x14ac:dyDescent="0.25">
      <c r="B357" s="614" t="s">
        <v>473</v>
      </c>
      <c r="C357" s="614"/>
      <c r="D357" s="614"/>
      <c r="E357" s="614"/>
      <c r="F357" s="614"/>
      <c r="G357" s="614"/>
      <c r="H357" s="614"/>
      <c r="I357" s="614"/>
      <c r="J357" s="614"/>
      <c r="K357" s="182">
        <f>SUM(K353,K348,I338,I326,I318,K309,K294)</f>
        <v>32323.666238915597</v>
      </c>
    </row>
    <row r="358" spans="2:13" x14ac:dyDescent="0.25">
      <c r="B358" s="614" t="s">
        <v>289</v>
      </c>
      <c r="C358" s="614"/>
      <c r="D358" s="614"/>
      <c r="E358" s="614"/>
      <c r="F358" s="614"/>
      <c r="G358" s="614"/>
      <c r="H358" s="614"/>
      <c r="I358" s="614"/>
      <c r="J358" s="614"/>
      <c r="K358" s="182">
        <f>SUM(K354,K349,K338,K326,K318,K310,K295)</f>
        <v>265268.66910750535</v>
      </c>
    </row>
    <row r="359" spans="2:13" x14ac:dyDescent="0.25"/>
    <row r="360" spans="2:13" x14ac:dyDescent="0.25">
      <c r="B360" s="626" t="s">
        <v>474</v>
      </c>
      <c r="C360" s="626"/>
      <c r="D360" s="626"/>
      <c r="E360" s="626"/>
      <c r="F360" s="626"/>
      <c r="G360" s="626"/>
      <c r="H360" s="626"/>
      <c r="I360" s="626"/>
      <c r="J360" s="626"/>
      <c r="K360" s="626"/>
    </row>
    <row r="361" spans="2:13" x14ac:dyDescent="0.25"/>
    <row r="362" spans="2:13" x14ac:dyDescent="0.25">
      <c r="B362" s="609" t="s">
        <v>475</v>
      </c>
      <c r="C362" s="609"/>
      <c r="D362" s="609"/>
      <c r="E362" s="609"/>
      <c r="F362" s="609"/>
      <c r="G362" s="609"/>
      <c r="H362" s="609"/>
      <c r="I362" s="609"/>
      <c r="J362" s="609"/>
      <c r="K362" s="609"/>
      <c r="M362" s="576"/>
    </row>
    <row r="363" spans="2:13" x14ac:dyDescent="0.25">
      <c r="B363" s="223" t="s">
        <v>174</v>
      </c>
      <c r="C363" s="235"/>
      <c r="D363" s="235"/>
      <c r="E363" s="235"/>
      <c r="F363" s="236"/>
      <c r="G363" s="223" t="s">
        <v>128</v>
      </c>
      <c r="H363" s="138" t="s">
        <v>129</v>
      </c>
      <c r="I363" s="605" t="s">
        <v>226</v>
      </c>
      <c r="J363" s="605"/>
      <c r="K363" s="138" t="s">
        <v>227</v>
      </c>
      <c r="M363" s="576"/>
    </row>
    <row r="364" spans="2:13" x14ac:dyDescent="0.25">
      <c r="B364" s="620" t="s">
        <v>228</v>
      </c>
      <c r="C364" s="620"/>
      <c r="D364" s="620"/>
      <c r="E364" s="620"/>
      <c r="F364" s="620"/>
      <c r="G364" s="125">
        <v>1</v>
      </c>
      <c r="H364" s="125" t="s">
        <v>129</v>
      </c>
      <c r="I364" s="621">
        <v>53861</v>
      </c>
      <c r="J364" s="621"/>
      <c r="K364" s="224">
        <f>I364*G364</f>
        <v>53861</v>
      </c>
      <c r="M364" s="576"/>
    </row>
    <row r="365" spans="2:13" x14ac:dyDescent="0.25">
      <c r="B365" s="622" t="s">
        <v>230</v>
      </c>
      <c r="C365" s="622"/>
      <c r="D365" s="622"/>
      <c r="E365" s="622"/>
      <c r="F365" s="622"/>
      <c r="G365" s="8">
        <v>7</v>
      </c>
      <c r="H365" s="8" t="s">
        <v>231</v>
      </c>
      <c r="I365" s="616"/>
      <c r="J365" s="616"/>
      <c r="K365" s="158"/>
      <c r="M365" s="576"/>
    </row>
    <row r="366" spans="2:13" x14ac:dyDescent="0.25">
      <c r="B366" s="622" t="s">
        <v>232</v>
      </c>
      <c r="C366" s="622"/>
      <c r="D366" s="622"/>
      <c r="E366" s="622"/>
      <c r="F366" s="622"/>
      <c r="G366" s="8">
        <v>6</v>
      </c>
      <c r="H366" s="8" t="s">
        <v>231</v>
      </c>
      <c r="I366" s="616"/>
      <c r="J366" s="616"/>
      <c r="K366" s="158"/>
      <c r="M366" s="576"/>
    </row>
    <row r="367" spans="2:13" x14ac:dyDescent="0.25">
      <c r="B367" s="615" t="s">
        <v>233</v>
      </c>
      <c r="C367" s="615"/>
      <c r="D367" s="615"/>
      <c r="E367" s="615"/>
      <c r="F367" s="615"/>
      <c r="G367" s="225">
        <v>80</v>
      </c>
      <c r="H367" s="8" t="s">
        <v>89</v>
      </c>
      <c r="I367" s="617">
        <f>I364</f>
        <v>53861</v>
      </c>
      <c r="J367" s="617"/>
      <c r="K367" s="30">
        <f>I367*G367/100</f>
        <v>43088.800000000003</v>
      </c>
      <c r="M367" s="576"/>
    </row>
    <row r="368" spans="2:13" x14ac:dyDescent="0.25">
      <c r="B368" s="618" t="s">
        <v>234</v>
      </c>
      <c r="C368" s="618"/>
      <c r="D368" s="618"/>
      <c r="E368" s="618"/>
      <c r="F368" s="618"/>
      <c r="G368" s="226">
        <f>G365*12</f>
        <v>84</v>
      </c>
      <c r="H368" s="226" t="s">
        <v>235</v>
      </c>
      <c r="I368" s="619">
        <f>K367</f>
        <v>43088.800000000003</v>
      </c>
      <c r="J368" s="619"/>
      <c r="K368" s="148">
        <f>I368/G368</f>
        <v>512.96190476190475</v>
      </c>
      <c r="M368" s="576"/>
    </row>
    <row r="369" spans="2:13" ht="15" customHeight="1" x14ac:dyDescent="0.25">
      <c r="B369" s="612" t="s">
        <v>415</v>
      </c>
      <c r="C369" s="612"/>
      <c r="D369" s="612"/>
      <c r="E369" s="612"/>
      <c r="F369" s="612"/>
      <c r="G369" s="240">
        <v>1</v>
      </c>
      <c r="H369" s="240" t="s">
        <v>229</v>
      </c>
      <c r="I369" s="613">
        <f>K368</f>
        <v>512.96190476190475</v>
      </c>
      <c r="J369" s="613"/>
      <c r="K369" s="159">
        <f>I369*G369</f>
        <v>512.96190476190475</v>
      </c>
      <c r="M369" s="576"/>
    </row>
    <row r="370" spans="2:13" x14ac:dyDescent="0.25"/>
    <row r="371" spans="2:13" x14ac:dyDescent="0.25">
      <c r="B371" s="609" t="s">
        <v>476</v>
      </c>
      <c r="C371" s="609"/>
      <c r="D371" s="609"/>
      <c r="E371" s="609"/>
      <c r="F371" s="609"/>
      <c r="G371" s="609"/>
      <c r="H371" s="609"/>
      <c r="I371" s="609"/>
      <c r="J371" s="609"/>
      <c r="K371" s="609"/>
      <c r="M371" s="576"/>
    </row>
    <row r="372" spans="2:13" x14ac:dyDescent="0.25">
      <c r="B372" s="602" t="s">
        <v>174</v>
      </c>
      <c r="C372" s="602"/>
      <c r="D372" s="602"/>
      <c r="E372" s="602"/>
      <c r="F372" s="602"/>
      <c r="G372" s="45" t="s">
        <v>128</v>
      </c>
      <c r="H372" s="45" t="s">
        <v>129</v>
      </c>
      <c r="I372" s="602" t="s">
        <v>226</v>
      </c>
      <c r="J372" s="602"/>
      <c r="K372" s="45" t="s">
        <v>227</v>
      </c>
      <c r="M372" s="576"/>
    </row>
    <row r="373" spans="2:13" x14ac:dyDescent="0.25">
      <c r="B373" s="615" t="s">
        <v>238</v>
      </c>
      <c r="C373" s="615"/>
      <c r="D373" s="615"/>
      <c r="E373" s="615"/>
      <c r="F373" s="615"/>
      <c r="G373" s="8">
        <v>1</v>
      </c>
      <c r="H373" s="8" t="s">
        <v>229</v>
      </c>
      <c r="I373" s="617">
        <f>I364</f>
        <v>53861</v>
      </c>
      <c r="J373" s="617"/>
      <c r="K373" s="30">
        <f>I373*G373</f>
        <v>53861</v>
      </c>
      <c r="M373" s="576"/>
    </row>
    <row r="374" spans="2:13" x14ac:dyDescent="0.25">
      <c r="B374" s="615" t="s">
        <v>239</v>
      </c>
      <c r="C374" s="615"/>
      <c r="D374" s="615"/>
      <c r="E374" s="615"/>
      <c r="F374" s="615"/>
      <c r="G374" s="556">
        <v>13.75</v>
      </c>
      <c r="H374" s="8" t="s">
        <v>89</v>
      </c>
      <c r="I374" s="616"/>
      <c r="J374" s="616"/>
      <c r="K374" s="30"/>
      <c r="M374" s="576"/>
    </row>
    <row r="375" spans="2:13" ht="18" x14ac:dyDescent="0.25">
      <c r="B375" s="615" t="s">
        <v>240</v>
      </c>
      <c r="C375" s="615"/>
      <c r="D375" s="615"/>
      <c r="E375" s="615"/>
      <c r="F375" s="615"/>
      <c r="G375" s="8"/>
      <c r="H375" s="8"/>
      <c r="I375" s="617">
        <f>IFERROR(IF(G366&lt;=G365,I364-(G367/(100*G365)*G366)*I364,I364-K367),0)</f>
        <v>16927.742857142854</v>
      </c>
      <c r="J375" s="617"/>
      <c r="K375" s="30"/>
      <c r="M375" s="576"/>
    </row>
    <row r="376" spans="2:13" x14ac:dyDescent="0.25">
      <c r="B376" s="615" t="s">
        <v>241</v>
      </c>
      <c r="C376" s="615"/>
      <c r="D376" s="615"/>
      <c r="E376" s="615"/>
      <c r="F376" s="615"/>
      <c r="G376" s="8"/>
      <c r="H376" s="8"/>
      <c r="I376" s="617">
        <f>IFERROR(IF(G366&gt;=G365,I375,((((I375)-(I364-K367))*(((G365-G366)+1)/(2*(G365-G366))))+(I364-K367))),0)</f>
        <v>16927.742857142854</v>
      </c>
      <c r="J376" s="617"/>
      <c r="K376" s="30"/>
      <c r="M376" s="576"/>
    </row>
    <row r="377" spans="2:13" x14ac:dyDescent="0.25">
      <c r="B377" s="618" t="s">
        <v>242</v>
      </c>
      <c r="C377" s="618"/>
      <c r="D377" s="618"/>
      <c r="E377" s="618"/>
      <c r="F377" s="618"/>
      <c r="G377" s="147"/>
      <c r="H377" s="147"/>
      <c r="I377" s="619">
        <f>G374*I376/12/100</f>
        <v>193.96372023809519</v>
      </c>
      <c r="J377" s="619"/>
      <c r="K377" s="148">
        <f>I377</f>
        <v>193.96372023809519</v>
      </c>
      <c r="M377" s="576"/>
    </row>
    <row r="378" spans="2:13" x14ac:dyDescent="0.25">
      <c r="B378" s="612" t="s">
        <v>243</v>
      </c>
      <c r="C378" s="612"/>
      <c r="D378" s="612"/>
      <c r="E378" s="612"/>
      <c r="F378" s="612"/>
      <c r="G378" s="240">
        <v>1</v>
      </c>
      <c r="H378" s="240" t="s">
        <v>229</v>
      </c>
      <c r="I378" s="613">
        <f>K377</f>
        <v>193.96372023809519</v>
      </c>
      <c r="J378" s="613"/>
      <c r="K378" s="159">
        <f>I378*G378</f>
        <v>193.96372023809519</v>
      </c>
      <c r="M378" s="576"/>
    </row>
    <row r="379" spans="2:13" x14ac:dyDescent="0.25">
      <c r="B379" s="131"/>
      <c r="C379" s="131"/>
      <c r="D379" s="131"/>
      <c r="E379" s="131"/>
      <c r="F379" s="131"/>
      <c r="G379" s="18"/>
      <c r="H379" s="18"/>
      <c r="I379" s="18"/>
      <c r="J379" s="18"/>
      <c r="K379" s="132"/>
    </row>
    <row r="380" spans="2:13" ht="15" customHeight="1" x14ac:dyDescent="0.25">
      <c r="B380" s="609" t="s">
        <v>477</v>
      </c>
      <c r="C380" s="609"/>
      <c r="D380" s="609"/>
      <c r="E380" s="609"/>
      <c r="F380" s="609"/>
      <c r="G380" s="609"/>
      <c r="H380" s="609"/>
      <c r="I380" s="609"/>
      <c r="J380" s="609"/>
      <c r="K380" s="609"/>
      <c r="M380" s="576"/>
    </row>
    <row r="381" spans="2:13" x14ac:dyDescent="0.25">
      <c r="B381" s="602" t="s">
        <v>174</v>
      </c>
      <c r="C381" s="602"/>
      <c r="D381" s="602"/>
      <c r="E381" s="602"/>
      <c r="F381" s="602"/>
      <c r="G381" s="45" t="s">
        <v>128</v>
      </c>
      <c r="H381" s="45" t="s">
        <v>129</v>
      </c>
      <c r="I381" s="602" t="s">
        <v>226</v>
      </c>
      <c r="J381" s="602"/>
      <c r="K381" s="45" t="s">
        <v>246</v>
      </c>
      <c r="M381" s="576"/>
    </row>
    <row r="382" spans="2:13" x14ac:dyDescent="0.25">
      <c r="B382" s="622" t="s">
        <v>426</v>
      </c>
      <c r="C382" s="622"/>
      <c r="D382" s="622"/>
      <c r="E382" s="622"/>
      <c r="F382" s="622"/>
      <c r="G382" s="8">
        <v>1</v>
      </c>
      <c r="H382" s="8" t="s">
        <v>229</v>
      </c>
      <c r="I382" s="617">
        <f>I364*0.03</f>
        <v>1615.83</v>
      </c>
      <c r="J382" s="617"/>
      <c r="K382" s="30">
        <f>(I382*G382)/12</f>
        <v>134.6525</v>
      </c>
      <c r="M382" s="576"/>
    </row>
    <row r="383" spans="2:13" x14ac:dyDescent="0.25">
      <c r="B383" s="622" t="s">
        <v>427</v>
      </c>
      <c r="C383" s="622"/>
      <c r="D383" s="622"/>
      <c r="E383" s="622"/>
      <c r="F383" s="622"/>
      <c r="G383" s="8">
        <v>1</v>
      </c>
      <c r="H383" s="8" t="s">
        <v>229</v>
      </c>
      <c r="I383" s="617">
        <v>109.27</v>
      </c>
      <c r="J383" s="617"/>
      <c r="K383" s="30">
        <f>(I383*G383)/12</f>
        <v>9.105833333333333</v>
      </c>
      <c r="M383" s="576"/>
    </row>
    <row r="384" spans="2:13" x14ac:dyDescent="0.25">
      <c r="B384" s="622" t="s">
        <v>428</v>
      </c>
      <c r="C384" s="622"/>
      <c r="D384" s="622"/>
      <c r="E384" s="622"/>
      <c r="F384" s="622"/>
      <c r="G384" s="8">
        <v>1</v>
      </c>
      <c r="H384" s="8" t="s">
        <v>229</v>
      </c>
      <c r="I384" s="617">
        <f>'10 - CUSTOS UN'!J252</f>
        <v>858.83333333333337</v>
      </c>
      <c r="J384" s="617"/>
      <c r="K384" s="30">
        <f>(I384/12)*G384</f>
        <v>71.569444444444443</v>
      </c>
      <c r="M384" s="576"/>
    </row>
    <row r="385" spans="2:13" x14ac:dyDescent="0.25">
      <c r="B385" s="622" t="s">
        <v>429</v>
      </c>
      <c r="C385" s="622"/>
      <c r="D385" s="622"/>
      <c r="E385" s="622"/>
      <c r="F385" s="622"/>
      <c r="G385" s="8">
        <v>1</v>
      </c>
      <c r="H385" s="8" t="s">
        <v>229</v>
      </c>
      <c r="I385" s="617">
        <f>'10 - CUSTOS UN'!$J$233</f>
        <v>57.093333333333334</v>
      </c>
      <c r="J385" s="617"/>
      <c r="K385" s="30">
        <f>I385</f>
        <v>57.093333333333334</v>
      </c>
      <c r="M385" s="576"/>
    </row>
    <row r="386" spans="2:13" x14ac:dyDescent="0.25">
      <c r="B386" s="624" t="s">
        <v>249</v>
      </c>
      <c r="C386" s="624"/>
      <c r="D386" s="624"/>
      <c r="E386" s="624"/>
      <c r="F386" s="624"/>
      <c r="G386" s="161">
        <v>1</v>
      </c>
      <c r="H386" s="161" t="s">
        <v>129</v>
      </c>
      <c r="I386" s="625">
        <f>SUM(K382:K385)/G386</f>
        <v>272.42111111111114</v>
      </c>
      <c r="J386" s="625"/>
      <c r="K386" s="150">
        <f>I386*G386</f>
        <v>272.42111111111114</v>
      </c>
      <c r="M386" s="576"/>
    </row>
    <row r="388" spans="2:13" ht="15" customHeight="1" x14ac:dyDescent="0.25">
      <c r="B388" s="609" t="s">
        <v>478</v>
      </c>
      <c r="C388" s="609"/>
      <c r="D388" s="609"/>
      <c r="E388" s="609"/>
      <c r="F388" s="609"/>
      <c r="G388" s="609"/>
      <c r="H388" s="609"/>
      <c r="I388" s="609"/>
      <c r="J388" s="609"/>
      <c r="K388" s="609"/>
      <c r="M388" s="576"/>
    </row>
    <row r="389" spans="2:13" ht="15" customHeight="1" x14ac:dyDescent="0.25">
      <c r="B389" s="605" t="s">
        <v>174</v>
      </c>
      <c r="C389" s="605"/>
      <c r="D389" s="605"/>
      <c r="E389" s="605"/>
      <c r="F389" s="605"/>
      <c r="G389" s="223" t="s">
        <v>128</v>
      </c>
      <c r="H389" s="138" t="s">
        <v>129</v>
      </c>
      <c r="I389" s="605" t="s">
        <v>226</v>
      </c>
      <c r="J389" s="605"/>
      <c r="K389" s="138" t="s">
        <v>209</v>
      </c>
      <c r="M389" s="576"/>
    </row>
    <row r="390" spans="2:13" ht="15" customHeight="1" x14ac:dyDescent="0.25">
      <c r="B390" s="620" t="s">
        <v>252</v>
      </c>
      <c r="C390" s="620"/>
      <c r="D390" s="620"/>
      <c r="E390" s="620"/>
      <c r="F390" s="620"/>
      <c r="G390" s="557">
        <v>1500</v>
      </c>
      <c r="H390" s="8" t="s">
        <v>253</v>
      </c>
      <c r="I390" s="621"/>
      <c r="J390" s="621"/>
      <c r="K390" s="30"/>
      <c r="M390" s="576"/>
    </row>
    <row r="391" spans="2:13" ht="15" customHeight="1" x14ac:dyDescent="0.25">
      <c r="B391" s="622" t="s">
        <v>479</v>
      </c>
      <c r="C391" s="622"/>
      <c r="D391" s="622"/>
      <c r="E391" s="622"/>
      <c r="F391" s="622"/>
      <c r="G391" s="8">
        <v>9</v>
      </c>
      <c r="H391" s="8" t="s">
        <v>432</v>
      </c>
      <c r="I391" s="631"/>
      <c r="J391" s="631"/>
      <c r="K391" s="127"/>
      <c r="M391" s="576"/>
    </row>
    <row r="392" spans="2:13" ht="15" customHeight="1" x14ac:dyDescent="0.25">
      <c r="B392" s="622" t="s">
        <v>480</v>
      </c>
      <c r="C392" s="622"/>
      <c r="D392" s="622"/>
      <c r="E392" s="622"/>
      <c r="F392" s="622"/>
      <c r="G392" s="8">
        <v>1</v>
      </c>
      <c r="H392" s="8" t="s">
        <v>258</v>
      </c>
      <c r="I392" s="633">
        <v>6.62</v>
      </c>
      <c r="J392" s="633"/>
      <c r="K392" s="30"/>
      <c r="M392" s="576"/>
    </row>
    <row r="393" spans="2:13" ht="15" customHeight="1" x14ac:dyDescent="0.25">
      <c r="B393" s="627" t="s">
        <v>434</v>
      </c>
      <c r="C393" s="627"/>
      <c r="D393" s="627"/>
      <c r="E393" s="627"/>
      <c r="F393" s="627"/>
      <c r="G393" s="228">
        <f>G390/G391</f>
        <v>166.66666666666666</v>
      </c>
      <c r="H393" s="226" t="s">
        <v>435</v>
      </c>
      <c r="I393" s="619">
        <f>I392</f>
        <v>6.62</v>
      </c>
      <c r="J393" s="619"/>
      <c r="K393" s="148">
        <f>I393*G393</f>
        <v>1103.3333333333333</v>
      </c>
      <c r="M393" s="576"/>
    </row>
    <row r="394" spans="2:13" ht="15" customHeight="1" x14ac:dyDescent="0.25">
      <c r="B394" s="624" t="s">
        <v>436</v>
      </c>
      <c r="C394" s="624"/>
      <c r="D394" s="624"/>
      <c r="E394" s="624"/>
      <c r="F394" s="624"/>
      <c r="G394" s="161">
        <v>1</v>
      </c>
      <c r="H394" s="161" t="s">
        <v>129</v>
      </c>
      <c r="I394" s="625">
        <f>K393</f>
        <v>1103.3333333333333</v>
      </c>
      <c r="J394" s="625"/>
      <c r="K394" s="150">
        <f>I394*G394</f>
        <v>1103.3333333333333</v>
      </c>
      <c r="M394" s="576"/>
    </row>
    <row r="395" spans="2:13" ht="15" customHeight="1" x14ac:dyDescent="0.25">
      <c r="B395" s="120"/>
      <c r="C395" s="120"/>
      <c r="D395" s="120"/>
      <c r="E395" s="120"/>
      <c r="F395" s="120"/>
      <c r="G395" s="1"/>
      <c r="H395" s="1"/>
      <c r="I395" s="124"/>
      <c r="J395" s="124"/>
      <c r="K395" s="129"/>
    </row>
    <row r="396" spans="2:13" ht="15" customHeight="1" x14ac:dyDescent="0.25">
      <c r="B396" s="609" t="s">
        <v>481</v>
      </c>
      <c r="C396" s="609"/>
      <c r="D396" s="609"/>
      <c r="E396" s="609"/>
      <c r="F396" s="609"/>
      <c r="G396" s="609"/>
      <c r="H396" s="609"/>
      <c r="I396" s="609"/>
      <c r="J396" s="609"/>
      <c r="K396" s="609"/>
      <c r="M396" s="576"/>
    </row>
    <row r="397" spans="2:13" ht="15" customHeight="1" x14ac:dyDescent="0.25">
      <c r="B397" s="605" t="s">
        <v>174</v>
      </c>
      <c r="C397" s="605"/>
      <c r="D397" s="605"/>
      <c r="E397" s="605"/>
      <c r="F397" s="605"/>
      <c r="G397" s="223" t="s">
        <v>128</v>
      </c>
      <c r="H397" s="138" t="s">
        <v>129</v>
      </c>
      <c r="I397" s="605" t="s">
        <v>226</v>
      </c>
      <c r="J397" s="605"/>
      <c r="K397" s="138" t="s">
        <v>227</v>
      </c>
      <c r="M397" s="576"/>
    </row>
    <row r="398" spans="2:13" ht="15" customHeight="1" x14ac:dyDescent="0.25">
      <c r="B398" s="620" t="s">
        <v>439</v>
      </c>
      <c r="C398" s="620"/>
      <c r="D398" s="620"/>
      <c r="E398" s="620"/>
      <c r="F398" s="620"/>
      <c r="G398" s="8">
        <v>0.35</v>
      </c>
      <c r="H398" s="8" t="s">
        <v>440</v>
      </c>
      <c r="I398" s="621">
        <v>41.23</v>
      </c>
      <c r="J398" s="621"/>
      <c r="K398" s="30">
        <f>I398*G398</f>
        <v>14.430499999999999</v>
      </c>
      <c r="M398" s="576"/>
    </row>
    <row r="399" spans="2:13" ht="15" customHeight="1" x14ac:dyDescent="0.25">
      <c r="B399" s="630" t="s">
        <v>441</v>
      </c>
      <c r="C399" s="630"/>
      <c r="D399" s="630"/>
      <c r="E399" s="630"/>
      <c r="F399" s="630"/>
      <c r="G399" s="229">
        <f>G390</f>
        <v>1500</v>
      </c>
      <c r="H399" s="25" t="s">
        <v>253</v>
      </c>
      <c r="I399" s="631">
        <f>K398/1000</f>
        <v>1.4430499999999999E-2</v>
      </c>
      <c r="J399" s="631"/>
      <c r="K399" s="127">
        <f>I399*G399</f>
        <v>21.64575</v>
      </c>
      <c r="M399" s="576"/>
    </row>
    <row r="400" spans="2:13" ht="15" customHeight="1" x14ac:dyDescent="0.25">
      <c r="B400" s="622" t="s">
        <v>442</v>
      </c>
      <c r="C400" s="622"/>
      <c r="D400" s="622"/>
      <c r="E400" s="622"/>
      <c r="F400" s="622"/>
      <c r="G400" s="125">
        <v>3.3000000000000002E-2</v>
      </c>
      <c r="H400" s="8" t="s">
        <v>440</v>
      </c>
      <c r="I400" s="617">
        <v>87.12</v>
      </c>
      <c r="J400" s="617"/>
      <c r="K400" s="30">
        <f>G400*I400</f>
        <v>2.8749600000000002</v>
      </c>
      <c r="M400" s="576"/>
    </row>
    <row r="401" spans="2:13" ht="15" customHeight="1" x14ac:dyDescent="0.25">
      <c r="B401" s="630" t="s">
        <v>443</v>
      </c>
      <c r="C401" s="630"/>
      <c r="D401" s="630"/>
      <c r="E401" s="630"/>
      <c r="F401" s="630"/>
      <c r="G401" s="229">
        <f>G390</f>
        <v>1500</v>
      </c>
      <c r="H401" s="25" t="s">
        <v>253</v>
      </c>
      <c r="I401" s="632">
        <f>K400/1000</f>
        <v>2.8749600000000002E-3</v>
      </c>
      <c r="J401" s="632"/>
      <c r="K401" s="127">
        <f>I401*G401</f>
        <v>4.3124400000000005</v>
      </c>
      <c r="M401" s="576"/>
    </row>
    <row r="402" spans="2:13" ht="15" customHeight="1" x14ac:dyDescent="0.25">
      <c r="B402" s="622" t="s">
        <v>446</v>
      </c>
      <c r="C402" s="622"/>
      <c r="D402" s="622"/>
      <c r="E402" s="622"/>
      <c r="F402" s="622"/>
      <c r="G402" s="8">
        <v>0.03</v>
      </c>
      <c r="H402" s="8" t="s">
        <v>447</v>
      </c>
      <c r="I402" s="617">
        <v>41.26</v>
      </c>
      <c r="J402" s="617"/>
      <c r="K402" s="30">
        <f>I402*G402</f>
        <v>1.2377999999999998</v>
      </c>
      <c r="M402" s="576"/>
    </row>
    <row r="403" spans="2:13" ht="15" customHeight="1" x14ac:dyDescent="0.25">
      <c r="B403" s="627" t="s">
        <v>448</v>
      </c>
      <c r="C403" s="627"/>
      <c r="D403" s="627"/>
      <c r="E403" s="627"/>
      <c r="F403" s="627"/>
      <c r="G403" s="228">
        <f>G390</f>
        <v>1500</v>
      </c>
      <c r="H403" s="226" t="s">
        <v>253</v>
      </c>
      <c r="I403" s="628">
        <f>K402/1000</f>
        <v>1.2377999999999998E-3</v>
      </c>
      <c r="J403" s="628"/>
      <c r="K403" s="148">
        <f>I403*G403</f>
        <v>1.8566999999999998</v>
      </c>
      <c r="M403" s="576"/>
    </row>
    <row r="404" spans="2:13" ht="15" customHeight="1" x14ac:dyDescent="0.25">
      <c r="B404" s="624" t="s">
        <v>449</v>
      </c>
      <c r="C404" s="624"/>
      <c r="D404" s="624"/>
      <c r="E404" s="624"/>
      <c r="F404" s="624"/>
      <c r="G404" s="231">
        <v>1</v>
      </c>
      <c r="H404" s="161" t="s">
        <v>129</v>
      </c>
      <c r="I404" s="625">
        <f>SUM(K399,K401,K403)</f>
        <v>27.814890000000002</v>
      </c>
      <c r="J404" s="625"/>
      <c r="K404" s="150">
        <f>I404*G404</f>
        <v>27.814890000000002</v>
      </c>
      <c r="M404" s="576"/>
    </row>
    <row r="405" spans="2:13" ht="15" customHeight="1" x14ac:dyDescent="0.25">
      <c r="B405" s="119"/>
      <c r="C405" s="119"/>
      <c r="D405" s="119"/>
      <c r="E405" s="119"/>
      <c r="F405" s="119"/>
      <c r="G405" s="119"/>
      <c r="H405" s="119"/>
      <c r="I405" s="119"/>
      <c r="J405" s="119"/>
      <c r="K405" s="119"/>
    </row>
    <row r="406" spans="2:13" ht="15" customHeight="1" x14ac:dyDescent="0.25">
      <c r="B406" s="609" t="s">
        <v>482</v>
      </c>
      <c r="C406" s="609"/>
      <c r="D406" s="609"/>
      <c r="E406" s="609"/>
      <c r="F406" s="609"/>
      <c r="G406" s="609"/>
      <c r="H406" s="609"/>
      <c r="I406" s="609"/>
      <c r="J406" s="609"/>
      <c r="K406" s="609"/>
      <c r="M406" s="576"/>
    </row>
    <row r="407" spans="2:13" ht="15" customHeight="1" x14ac:dyDescent="0.25">
      <c r="B407" s="605" t="s">
        <v>174</v>
      </c>
      <c r="C407" s="605"/>
      <c r="D407" s="605"/>
      <c r="E407" s="605"/>
      <c r="F407" s="605"/>
      <c r="G407" s="223" t="s">
        <v>128</v>
      </c>
      <c r="H407" s="138" t="s">
        <v>129</v>
      </c>
      <c r="I407" s="605" t="s">
        <v>226</v>
      </c>
      <c r="J407" s="605"/>
      <c r="K407" s="138" t="s">
        <v>227</v>
      </c>
      <c r="M407" s="576"/>
    </row>
    <row r="408" spans="2:13" ht="15" customHeight="1" x14ac:dyDescent="0.25">
      <c r="B408" s="620" t="s">
        <v>483</v>
      </c>
      <c r="C408" s="620"/>
      <c r="D408" s="620"/>
      <c r="E408" s="620"/>
      <c r="F408" s="620"/>
      <c r="G408" s="8">
        <v>4</v>
      </c>
      <c r="H408" s="8" t="s">
        <v>229</v>
      </c>
      <c r="I408" s="629">
        <f>'10 - CUSTOS UN'!J198</f>
        <v>374.19333333333338</v>
      </c>
      <c r="J408" s="629"/>
      <c r="K408" s="47">
        <f>I408*G408</f>
        <v>1496.7733333333335</v>
      </c>
      <c r="M408" s="576"/>
    </row>
    <row r="409" spans="2:13" ht="15" customHeight="1" x14ac:dyDescent="0.25">
      <c r="B409" s="622" t="s">
        <v>272</v>
      </c>
      <c r="C409" s="622"/>
      <c r="D409" s="622"/>
      <c r="E409" s="622"/>
      <c r="F409" s="622"/>
      <c r="G409" s="10">
        <v>50000</v>
      </c>
      <c r="H409" s="8" t="s">
        <v>260</v>
      </c>
      <c r="I409" s="616"/>
      <c r="J409" s="616"/>
      <c r="K409" s="158"/>
      <c r="M409" s="576"/>
    </row>
    <row r="410" spans="2:13" ht="15" customHeight="1" x14ac:dyDescent="0.25">
      <c r="B410" s="622" t="s">
        <v>484</v>
      </c>
      <c r="C410" s="622"/>
      <c r="D410" s="622"/>
      <c r="E410" s="622"/>
      <c r="F410" s="622"/>
      <c r="G410" s="10">
        <f>G409</f>
        <v>50000</v>
      </c>
      <c r="H410" s="8" t="s">
        <v>274</v>
      </c>
      <c r="I410" s="617">
        <f>K408</f>
        <v>1496.7733333333335</v>
      </c>
      <c r="J410" s="617"/>
      <c r="K410" s="30">
        <f>I410/G410</f>
        <v>2.9935466666666671E-2</v>
      </c>
      <c r="M410" s="576"/>
    </row>
    <row r="411" spans="2:13" ht="15" customHeight="1" x14ac:dyDescent="0.25">
      <c r="B411" s="627" t="s">
        <v>275</v>
      </c>
      <c r="C411" s="627"/>
      <c r="D411" s="627"/>
      <c r="E411" s="627"/>
      <c r="F411" s="627"/>
      <c r="G411" s="228">
        <f>G390</f>
        <v>1500</v>
      </c>
      <c r="H411" s="226" t="s">
        <v>260</v>
      </c>
      <c r="I411" s="619">
        <f>K410</f>
        <v>2.9935466666666671E-2</v>
      </c>
      <c r="J411" s="619"/>
      <c r="K411" s="148">
        <f>I411*G411</f>
        <v>44.903200000000005</v>
      </c>
      <c r="M411" s="576"/>
    </row>
    <row r="412" spans="2:13" ht="15" customHeight="1" x14ac:dyDescent="0.25">
      <c r="B412" s="624" t="s">
        <v>276</v>
      </c>
      <c r="C412" s="624"/>
      <c r="D412" s="624"/>
      <c r="E412" s="624"/>
      <c r="F412" s="624"/>
      <c r="G412" s="161">
        <v>1</v>
      </c>
      <c r="H412" s="161" t="s">
        <v>129</v>
      </c>
      <c r="I412" s="625">
        <f>K411</f>
        <v>44.903200000000005</v>
      </c>
      <c r="J412" s="625"/>
      <c r="K412" s="150">
        <f>I412*G412</f>
        <v>44.903200000000005</v>
      </c>
      <c r="M412" s="576"/>
    </row>
    <row r="413" spans="2:13" ht="15" customHeight="1" x14ac:dyDescent="0.25">
      <c r="B413" s="120"/>
      <c r="C413" s="120"/>
      <c r="D413" s="120"/>
      <c r="E413" s="120"/>
      <c r="F413" s="120"/>
      <c r="G413" s="1"/>
      <c r="H413" s="1"/>
      <c r="I413" s="124"/>
      <c r="J413" s="124"/>
      <c r="K413" s="129"/>
    </row>
    <row r="414" spans="2:13" ht="15" customHeight="1" x14ac:dyDescent="0.25">
      <c r="B414" s="609" t="s">
        <v>485</v>
      </c>
      <c r="C414" s="609"/>
      <c r="D414" s="609"/>
      <c r="E414" s="609"/>
      <c r="F414" s="609"/>
      <c r="G414" s="609"/>
      <c r="H414" s="609"/>
      <c r="I414" s="609"/>
      <c r="J414" s="609"/>
      <c r="K414" s="609"/>
    </row>
    <row r="415" spans="2:13" ht="15" customHeight="1" x14ac:dyDescent="0.25">
      <c r="B415" s="605" t="s">
        <v>174</v>
      </c>
      <c r="C415" s="605"/>
      <c r="D415" s="605"/>
      <c r="E415" s="605"/>
      <c r="F415" s="605"/>
      <c r="G415" s="223" t="s">
        <v>128</v>
      </c>
      <c r="H415" s="138" t="s">
        <v>129</v>
      </c>
      <c r="I415" s="605" t="s">
        <v>226</v>
      </c>
      <c r="J415" s="605"/>
      <c r="K415" s="138" t="s">
        <v>209</v>
      </c>
    </row>
    <row r="416" spans="2:13" ht="15" customHeight="1" x14ac:dyDescent="0.25">
      <c r="B416" s="610" t="s">
        <v>457</v>
      </c>
      <c r="C416" s="610"/>
      <c r="D416" s="610"/>
      <c r="E416" s="610"/>
      <c r="F416" s="610"/>
      <c r="G416" s="232">
        <f>G390</f>
        <v>1500</v>
      </c>
      <c r="H416" s="233" t="s">
        <v>253</v>
      </c>
      <c r="I416" s="623">
        <v>1.18</v>
      </c>
      <c r="J416" s="623"/>
      <c r="K416" s="234">
        <f>I416*G416</f>
        <v>1770</v>
      </c>
    </row>
    <row r="417" spans="2:13" ht="15" customHeight="1" x14ac:dyDescent="0.25">
      <c r="B417" s="624" t="s">
        <v>458</v>
      </c>
      <c r="C417" s="624"/>
      <c r="D417" s="624"/>
      <c r="E417" s="624"/>
      <c r="F417" s="624"/>
      <c r="G417" s="161">
        <v>1</v>
      </c>
      <c r="H417" s="161" t="s">
        <v>229</v>
      </c>
      <c r="I417" s="625">
        <f>K416</f>
        <v>1770</v>
      </c>
      <c r="J417" s="625"/>
      <c r="K417" s="150">
        <f>I417*G417</f>
        <v>1770</v>
      </c>
    </row>
    <row r="418" spans="2:13" ht="66" customHeight="1" x14ac:dyDescent="0.25">
      <c r="B418" s="761" t="s">
        <v>459</v>
      </c>
      <c r="C418" s="761"/>
      <c r="D418" s="761"/>
      <c r="E418" s="761"/>
      <c r="F418" s="761"/>
      <c r="G418" s="761"/>
      <c r="H418" s="761"/>
      <c r="I418" s="761"/>
      <c r="J418" s="761"/>
      <c r="K418" s="761"/>
    </row>
    <row r="419" spans="2:13" ht="15" customHeight="1" x14ac:dyDescent="0.25">
      <c r="B419" s="119"/>
      <c r="C419" s="119"/>
      <c r="D419" s="119"/>
      <c r="E419" s="119"/>
      <c r="F419" s="119"/>
      <c r="G419" s="119"/>
      <c r="H419" s="119"/>
      <c r="I419" s="119"/>
      <c r="J419" s="119"/>
      <c r="K419" s="119"/>
    </row>
    <row r="420" spans="2:13" ht="15" customHeight="1" x14ac:dyDescent="0.25">
      <c r="B420" s="614" t="s">
        <v>486</v>
      </c>
      <c r="C420" s="614"/>
      <c r="D420" s="614"/>
      <c r="E420" s="614"/>
      <c r="F420" s="614"/>
      <c r="G420" s="614"/>
      <c r="H420" s="614"/>
      <c r="I420" s="614"/>
      <c r="J420" s="614"/>
      <c r="K420" s="182">
        <f>SUM(I417,I412,I404,I394,I386,I378,I369)</f>
        <v>3925.3981594444444</v>
      </c>
    </row>
    <row r="421" spans="2:13" ht="15" customHeight="1" x14ac:dyDescent="0.25">
      <c r="B421" s="614" t="s">
        <v>289</v>
      </c>
      <c r="C421" s="614"/>
      <c r="D421" s="614"/>
      <c r="E421" s="614"/>
      <c r="F421" s="614"/>
      <c r="G421" s="614"/>
      <c r="H421" s="614"/>
      <c r="I421" s="614"/>
      <c r="J421" s="614"/>
      <c r="K421" s="182">
        <f>SUM(K417,K412,K404,K394,K386,K378,K369)</f>
        <v>3925.3981594444444</v>
      </c>
    </row>
    <row r="423" spans="2:13" ht="15" customHeight="1" x14ac:dyDescent="0.25">
      <c r="B423" s="597" t="s">
        <v>290</v>
      </c>
      <c r="C423" s="597"/>
      <c r="D423" s="597"/>
      <c r="E423" s="597"/>
      <c r="F423" s="597"/>
      <c r="G423" s="597"/>
      <c r="H423" s="597"/>
      <c r="I423" s="597"/>
      <c r="J423" s="597"/>
      <c r="K423" s="241">
        <f>SUM(K278,K358,K421)</f>
        <v>310681.54338131397</v>
      </c>
    </row>
    <row r="425" spans="2:13" ht="15" customHeight="1" x14ac:dyDescent="0.25">
      <c r="B425" s="601" t="s">
        <v>487</v>
      </c>
      <c r="C425" s="601"/>
      <c r="D425" s="601"/>
      <c r="E425" s="601"/>
      <c r="F425" s="601"/>
      <c r="G425" s="601"/>
      <c r="H425" s="601"/>
      <c r="I425" s="601"/>
      <c r="J425" s="601"/>
      <c r="K425" s="601"/>
    </row>
    <row r="426" spans="2:13" ht="15" customHeight="1" x14ac:dyDescent="0.25">
      <c r="B426" s="108"/>
      <c r="C426" s="108"/>
      <c r="D426" s="108"/>
      <c r="E426" s="108"/>
      <c r="F426" s="108"/>
      <c r="G426" s="108"/>
      <c r="H426" s="108"/>
      <c r="I426" s="108"/>
      <c r="J426" s="108"/>
      <c r="K426" s="242"/>
    </row>
    <row r="427" spans="2:13" ht="30" x14ac:dyDescent="0.25">
      <c r="B427" s="138" t="s">
        <v>207</v>
      </c>
      <c r="C427" s="605" t="s">
        <v>174</v>
      </c>
      <c r="D427" s="605"/>
      <c r="E427" s="605"/>
      <c r="F427" s="605"/>
      <c r="G427" s="223" t="s">
        <v>128</v>
      </c>
      <c r="H427" s="139" t="s">
        <v>488</v>
      </c>
      <c r="I427" s="605" t="s">
        <v>226</v>
      </c>
      <c r="J427" s="605"/>
      <c r="K427" s="138" t="s">
        <v>246</v>
      </c>
      <c r="M427" s="541"/>
    </row>
    <row r="428" spans="2:13" ht="15" customHeight="1" x14ac:dyDescent="0.25">
      <c r="B428" s="115" t="s">
        <v>489</v>
      </c>
      <c r="C428" s="606" t="s">
        <v>490</v>
      </c>
      <c r="D428" s="606"/>
      <c r="E428" s="606"/>
      <c r="F428" s="606"/>
      <c r="G428" s="243">
        <v>72</v>
      </c>
      <c r="H428" s="166">
        <v>24</v>
      </c>
      <c r="I428" s="607">
        <f>'10 - CUSTOS UN'!J117</f>
        <v>53.346666666666664</v>
      </c>
      <c r="J428" s="607"/>
      <c r="K428" s="227">
        <f>(I428*G428)/H428</f>
        <v>160.04</v>
      </c>
      <c r="M428" s="541"/>
    </row>
    <row r="429" spans="2:13" ht="15" customHeight="1" x14ac:dyDescent="0.25">
      <c r="B429" s="5" t="s">
        <v>491</v>
      </c>
      <c r="C429" s="594" t="s">
        <v>492</v>
      </c>
      <c r="D429" s="594"/>
      <c r="E429" s="594"/>
      <c r="F429" s="594"/>
      <c r="G429" s="170">
        <v>11</v>
      </c>
      <c r="H429" s="166">
        <v>60</v>
      </c>
      <c r="I429" s="599">
        <f>'10 - CUSTOS UN'!J243</f>
        <v>1727.96</v>
      </c>
      <c r="J429" s="599"/>
      <c r="K429" s="31">
        <f>(I429*G429)/H429</f>
        <v>316.79266666666666</v>
      </c>
      <c r="M429" s="541"/>
    </row>
    <row r="430" spans="2:13" ht="15" customHeight="1" x14ac:dyDescent="0.25">
      <c r="B430" s="115" t="s">
        <v>493</v>
      </c>
      <c r="C430" s="244" t="s">
        <v>494</v>
      </c>
      <c r="D430" s="134"/>
      <c r="E430" s="134"/>
      <c r="F430" s="245"/>
      <c r="G430" s="246">
        <v>1</v>
      </c>
      <c r="H430" s="166">
        <v>60</v>
      </c>
      <c r="I430" s="599">
        <f>'10 - CUSTOS UN'!J246</f>
        <v>147.41999999999999</v>
      </c>
      <c r="J430" s="599"/>
      <c r="K430" s="247">
        <f>(I430*G430)/H430</f>
        <v>2.4569999999999999</v>
      </c>
      <c r="M430" s="541"/>
    </row>
    <row r="431" spans="2:13" ht="15" customHeight="1" x14ac:dyDescent="0.25">
      <c r="B431" s="115" t="s">
        <v>495</v>
      </c>
      <c r="C431" s="594" t="s">
        <v>496</v>
      </c>
      <c r="D431" s="594"/>
      <c r="E431" s="594"/>
      <c r="F431" s="594"/>
      <c r="G431" s="246">
        <v>9</v>
      </c>
      <c r="H431" s="4">
        <v>12</v>
      </c>
      <c r="I431" s="599">
        <f>'10 - CUSTOS UN'!J18</f>
        <v>83.660000000000011</v>
      </c>
      <c r="J431" s="599"/>
      <c r="K431" s="247">
        <f>(G431*I431)/H431</f>
        <v>62.745000000000005</v>
      </c>
      <c r="M431" s="541"/>
    </row>
    <row r="432" spans="2:13" ht="15" customHeight="1" x14ac:dyDescent="0.25">
      <c r="B432" s="5" t="s">
        <v>497</v>
      </c>
      <c r="C432" s="604" t="s">
        <v>498</v>
      </c>
      <c r="D432" s="604"/>
      <c r="E432" s="604"/>
      <c r="F432" s="604"/>
      <c r="G432" s="246">
        <v>18</v>
      </c>
      <c r="H432" s="4">
        <v>12</v>
      </c>
      <c r="I432" s="599">
        <f>'10 - CUSTOS UN'!J60</f>
        <v>4.1399999999999997</v>
      </c>
      <c r="J432" s="599"/>
      <c r="K432" s="247">
        <f>(I432*G432)/H432</f>
        <v>6.21</v>
      </c>
      <c r="M432" s="541"/>
    </row>
    <row r="433" spans="2:13" ht="15" customHeight="1" x14ac:dyDescent="0.25">
      <c r="B433" s="115" t="s">
        <v>499</v>
      </c>
      <c r="C433" s="594" t="s">
        <v>500</v>
      </c>
      <c r="D433" s="594"/>
      <c r="E433" s="594"/>
      <c r="F433" s="594"/>
      <c r="G433" s="246">
        <v>2</v>
      </c>
      <c r="H433" s="4">
        <v>1</v>
      </c>
      <c r="I433" s="599">
        <f>'10 - CUSTOS UN'!J105</f>
        <v>22.343333333333334</v>
      </c>
      <c r="J433" s="599"/>
      <c r="K433" s="247">
        <f>(I433*G433)/H433</f>
        <v>44.686666666666667</v>
      </c>
      <c r="M433" s="541"/>
    </row>
    <row r="434" spans="2:13" ht="15" customHeight="1" x14ac:dyDescent="0.25">
      <c r="B434" s="5" t="s">
        <v>501</v>
      </c>
      <c r="C434" s="594" t="s">
        <v>502</v>
      </c>
      <c r="D434" s="594"/>
      <c r="E434" s="594"/>
      <c r="F434" s="594"/>
      <c r="G434" s="246">
        <v>9</v>
      </c>
      <c r="H434" s="4">
        <v>1</v>
      </c>
      <c r="I434" s="599">
        <f>'10 - CUSTOS UN'!J96</f>
        <v>13.38</v>
      </c>
      <c r="J434" s="599"/>
      <c r="K434" s="247">
        <f>G434*I434/H434</f>
        <v>120.42</v>
      </c>
      <c r="M434" s="541"/>
    </row>
    <row r="435" spans="2:13" ht="15" customHeight="1" x14ac:dyDescent="0.25">
      <c r="B435" s="112" t="s">
        <v>503</v>
      </c>
      <c r="C435" s="648" t="s">
        <v>504</v>
      </c>
      <c r="D435" s="648"/>
      <c r="E435" s="648"/>
      <c r="F435" s="648"/>
      <c r="G435" s="248">
        <v>2</v>
      </c>
      <c r="H435" s="113">
        <v>1</v>
      </c>
      <c r="I435" s="762">
        <f>'10 - CUSTOS UN'!J6</f>
        <v>34.836666666666666</v>
      </c>
      <c r="J435" s="762"/>
      <c r="K435" s="114">
        <f>G435*I435/H435</f>
        <v>69.673333333333332</v>
      </c>
      <c r="M435" s="541"/>
    </row>
    <row r="436" spans="2:13" ht="15" customHeight="1" x14ac:dyDescent="0.25">
      <c r="B436" s="600" t="s">
        <v>505</v>
      </c>
      <c r="C436" s="600"/>
      <c r="D436" s="600"/>
      <c r="E436" s="600"/>
      <c r="F436" s="600"/>
      <c r="G436" s="600"/>
      <c r="H436" s="600"/>
      <c r="I436" s="600"/>
      <c r="J436" s="600"/>
      <c r="K436" s="150">
        <f>SUM(K428:K435)</f>
        <v>783.02466666666669</v>
      </c>
      <c r="M436" s="541"/>
    </row>
    <row r="437" spans="2:13" ht="15" customHeight="1" x14ac:dyDescent="0.25">
      <c r="B437" s="23"/>
      <c r="C437" s="23"/>
      <c r="D437" s="23"/>
      <c r="E437" s="23"/>
      <c r="F437" s="23"/>
      <c r="G437" s="23"/>
      <c r="H437" s="23"/>
      <c r="I437" s="23"/>
      <c r="J437" s="23"/>
      <c r="K437" s="129"/>
    </row>
    <row r="438" spans="2:13" ht="15" customHeight="1" x14ac:dyDescent="0.25">
      <c r="B438" s="23"/>
      <c r="C438" s="23"/>
      <c r="D438" s="23"/>
      <c r="E438" s="23"/>
      <c r="F438" s="23"/>
      <c r="G438" s="23"/>
      <c r="H438" s="23"/>
      <c r="I438" s="23"/>
      <c r="J438" s="23"/>
      <c r="K438" s="129"/>
    </row>
    <row r="439" spans="2:13" ht="15" customHeight="1" x14ac:dyDescent="0.25">
      <c r="B439" s="597" t="s">
        <v>291</v>
      </c>
      <c r="C439" s="597"/>
      <c r="D439" s="597"/>
      <c r="E439" s="597"/>
      <c r="F439" s="597"/>
      <c r="G439" s="597"/>
      <c r="H439" s="597"/>
      <c r="I439" s="597"/>
      <c r="J439" s="597"/>
      <c r="K439" s="241">
        <f>K436+K423+K159+K124</f>
        <v>840502.41369344946</v>
      </c>
    </row>
    <row r="440" spans="2:13" ht="15" customHeight="1" x14ac:dyDescent="0.25">
      <c r="B440" s="108"/>
      <c r="C440" s="108"/>
      <c r="D440" s="108"/>
      <c r="E440" s="108"/>
      <c r="F440" s="108"/>
      <c r="G440" s="108"/>
      <c r="H440" s="108"/>
      <c r="I440" s="108"/>
      <c r="J440" s="108"/>
      <c r="K440" s="242"/>
    </row>
    <row r="441" spans="2:13" ht="15" customHeight="1" x14ac:dyDescent="0.25">
      <c r="B441" s="108"/>
      <c r="C441" s="108"/>
      <c r="D441" s="108"/>
      <c r="E441" s="108"/>
      <c r="F441" s="108"/>
      <c r="G441" s="108"/>
      <c r="H441" s="108"/>
      <c r="I441" s="108"/>
      <c r="J441" s="108"/>
      <c r="K441" s="242"/>
    </row>
    <row r="442" spans="2:13" ht="15" customHeight="1" x14ac:dyDescent="0.25">
      <c r="B442" s="601" t="s">
        <v>506</v>
      </c>
      <c r="C442" s="601"/>
      <c r="D442" s="601"/>
      <c r="E442" s="601"/>
      <c r="F442" s="601"/>
      <c r="G442" s="601"/>
      <c r="H442" s="601"/>
      <c r="I442" s="601"/>
      <c r="J442" s="601"/>
      <c r="K442" s="601"/>
    </row>
    <row r="443" spans="2:13" ht="15" customHeight="1" x14ac:dyDescent="0.25">
      <c r="B443" s="120"/>
      <c r="C443" s="120"/>
      <c r="D443" s="120"/>
      <c r="E443" s="120"/>
      <c r="F443" s="120"/>
      <c r="G443" s="120"/>
      <c r="H443" s="120"/>
      <c r="I443" s="120"/>
      <c r="J443" s="120"/>
      <c r="K443" s="120"/>
    </row>
    <row r="444" spans="2:13" ht="15" customHeight="1" x14ac:dyDescent="0.25">
      <c r="B444" s="61" t="s">
        <v>207</v>
      </c>
      <c r="C444" s="602" t="s">
        <v>174</v>
      </c>
      <c r="D444" s="602"/>
      <c r="E444" s="602"/>
      <c r="F444" s="602"/>
      <c r="G444" s="602"/>
      <c r="H444" s="45" t="s">
        <v>89</v>
      </c>
      <c r="I444" s="602" t="s">
        <v>507</v>
      </c>
      <c r="J444" s="602"/>
      <c r="K444" s="45" t="s">
        <v>301</v>
      </c>
    </row>
    <row r="445" spans="2:13" ht="15" customHeight="1" x14ac:dyDescent="0.25">
      <c r="B445" s="5" t="s">
        <v>508</v>
      </c>
      <c r="C445" s="594" t="s">
        <v>509</v>
      </c>
      <c r="D445" s="594"/>
      <c r="E445" s="594"/>
      <c r="F445" s="594"/>
      <c r="G445" s="594"/>
      <c r="H445" s="5"/>
      <c r="I445" s="595">
        <f>'OK 2 - ADM LOCAL - RSD'!K481</f>
        <v>155886.00394434377</v>
      </c>
      <c r="J445" s="595"/>
      <c r="K445" s="133">
        <f>I445</f>
        <v>155886.00394434377</v>
      </c>
      <c r="M445" s="537"/>
    </row>
    <row r="446" spans="2:13" ht="15" customHeight="1" x14ac:dyDescent="0.25">
      <c r="B446" s="5" t="s">
        <v>510</v>
      </c>
      <c r="C446" s="594" t="s">
        <v>86</v>
      </c>
      <c r="D446" s="594"/>
      <c r="E446" s="594"/>
      <c r="F446" s="594"/>
      <c r="G446" s="594"/>
      <c r="H446" s="249">
        <f>'9 - BDI'!D15</f>
        <v>0.27689893995634196</v>
      </c>
      <c r="I446" s="595">
        <f>K439</f>
        <v>840502.41369344946</v>
      </c>
      <c r="J446" s="595"/>
      <c r="K446" s="133">
        <f>I446*H446</f>
        <v>232734.22738246297</v>
      </c>
    </row>
    <row r="447" spans="2:13" ht="15" customHeight="1" x14ac:dyDescent="0.25">
      <c r="B447" s="596" t="s">
        <v>511</v>
      </c>
      <c r="C447" s="596"/>
      <c r="D447" s="596"/>
      <c r="E447" s="596"/>
      <c r="F447" s="596"/>
      <c r="G447" s="596"/>
      <c r="H447" s="596"/>
      <c r="I447" s="596"/>
      <c r="J447" s="596"/>
      <c r="K447" s="250">
        <f>SUM(K445:K446)</f>
        <v>388620.23132680671</v>
      </c>
    </row>
    <row r="448" spans="2:13" ht="15" customHeight="1" x14ac:dyDescent="0.25">
      <c r="B448" s="186"/>
      <c r="C448" s="186"/>
      <c r="D448" s="186"/>
      <c r="E448" s="186"/>
      <c r="F448" s="186"/>
      <c r="I448" s="1"/>
      <c r="J448" s="1"/>
      <c r="K448" s="109"/>
    </row>
    <row r="449" spans="1:11" ht="15" customHeight="1" x14ac:dyDescent="0.25">
      <c r="B449" s="186"/>
      <c r="C449" s="186"/>
      <c r="D449" s="186"/>
      <c r="E449" s="186"/>
      <c r="F449" s="186"/>
      <c r="I449" s="1"/>
      <c r="J449" s="1"/>
      <c r="K449" s="109"/>
    </row>
    <row r="450" spans="1:11" ht="15" customHeight="1" x14ac:dyDescent="0.25">
      <c r="B450" s="597" t="s">
        <v>512</v>
      </c>
      <c r="C450" s="597"/>
      <c r="D450" s="597"/>
      <c r="E450" s="597"/>
      <c r="F450" s="597"/>
      <c r="G450" s="597"/>
      <c r="H450" s="597"/>
      <c r="I450" s="597"/>
      <c r="J450" s="597"/>
      <c r="K450" s="241">
        <f>K439+K447</f>
        <v>1229122.6450202563</v>
      </c>
    </row>
    <row r="452" spans="1:11" ht="15" customHeight="1" x14ac:dyDescent="0.25">
      <c r="B452" s="198"/>
      <c r="K452" s="199"/>
    </row>
    <row r="453" spans="1:11" ht="15" customHeight="1" x14ac:dyDescent="0.25">
      <c r="B453" s="198"/>
      <c r="K453" s="1"/>
    </row>
    <row r="454" spans="1:11" ht="36" customHeight="1" x14ac:dyDescent="0.25">
      <c r="B454" s="598"/>
      <c r="C454" s="598"/>
      <c r="D454" s="598"/>
      <c r="E454" s="598"/>
      <c r="F454" s="598"/>
      <c r="G454" s="598"/>
      <c r="H454" s="598"/>
      <c r="I454" s="598"/>
      <c r="J454" s="598"/>
      <c r="K454" s="200"/>
    </row>
    <row r="456" spans="1:11" ht="36" customHeight="1" x14ac:dyDescent="0.25">
      <c r="A456" s="131"/>
      <c r="B456" s="598"/>
      <c r="C456" s="598"/>
      <c r="D456" s="598"/>
      <c r="E456" s="598"/>
      <c r="F456" s="598"/>
      <c r="G456" s="598"/>
      <c r="H456" s="598"/>
      <c r="I456" s="598"/>
      <c r="J456" s="598"/>
      <c r="K456" s="200"/>
    </row>
    <row r="1048575" ht="12.75" customHeight="1" x14ac:dyDescent="0.25"/>
  </sheetData>
  <mergeCells count="635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C18:G18"/>
    <mergeCell ref="I18:J18"/>
    <mergeCell ref="C19:G19"/>
    <mergeCell ref="I19:J19"/>
    <mergeCell ref="C20:G20"/>
    <mergeCell ref="I20:J20"/>
    <mergeCell ref="C21:G21"/>
    <mergeCell ref="I21:J21"/>
    <mergeCell ref="B22:J22"/>
    <mergeCell ref="B23:J23"/>
    <mergeCell ref="B24:G24"/>
    <mergeCell ref="I24:J24"/>
    <mergeCell ref="B27:K27"/>
    <mergeCell ref="B28:K28"/>
    <mergeCell ref="B29:K29"/>
    <mergeCell ref="C30:G30"/>
    <mergeCell ref="C31:G31"/>
    <mergeCell ref="C34:G34"/>
    <mergeCell ref="C35:I35"/>
    <mergeCell ref="C36:I36"/>
    <mergeCell ref="C37:I37"/>
    <mergeCell ref="C38:I38"/>
    <mergeCell ref="C39:I39"/>
    <mergeCell ref="C40:I40"/>
    <mergeCell ref="C41:I41"/>
    <mergeCell ref="C42:G42"/>
    <mergeCell ref="C43:G43"/>
    <mergeCell ref="C44:G44"/>
    <mergeCell ref="C45:G45"/>
    <mergeCell ref="C46:G46"/>
    <mergeCell ref="C47:I47"/>
    <mergeCell ref="B48:J48"/>
    <mergeCell ref="B49:H49"/>
    <mergeCell ref="B51:K51"/>
    <mergeCell ref="C52:G52"/>
    <mergeCell ref="C53:G53"/>
    <mergeCell ref="B54:B55"/>
    <mergeCell ref="C54:G55"/>
    <mergeCell ref="C59:G59"/>
    <mergeCell ref="C60:G60"/>
    <mergeCell ref="C61:I61"/>
    <mergeCell ref="C62:I62"/>
    <mergeCell ref="C63:I63"/>
    <mergeCell ref="C64:I64"/>
    <mergeCell ref="C65:I65"/>
    <mergeCell ref="C66:I66"/>
    <mergeCell ref="C67:I67"/>
    <mergeCell ref="C68:G68"/>
    <mergeCell ref="C69:G69"/>
    <mergeCell ref="C70:G70"/>
    <mergeCell ref="C71:G71"/>
    <mergeCell ref="C72:G72"/>
    <mergeCell ref="C73:I73"/>
    <mergeCell ref="B74:J74"/>
    <mergeCell ref="B75:H75"/>
    <mergeCell ref="B77:K77"/>
    <mergeCell ref="C78:G78"/>
    <mergeCell ref="C79:G79"/>
    <mergeCell ref="C82:G82"/>
    <mergeCell ref="C83:I83"/>
    <mergeCell ref="C84:I84"/>
    <mergeCell ref="C85:I85"/>
    <mergeCell ref="C86:I86"/>
    <mergeCell ref="C87:I87"/>
    <mergeCell ref="C88:I88"/>
    <mergeCell ref="C89:I89"/>
    <mergeCell ref="C90:G90"/>
    <mergeCell ref="C91:G91"/>
    <mergeCell ref="C92:G92"/>
    <mergeCell ref="C93:G93"/>
    <mergeCell ref="C94:I94"/>
    <mergeCell ref="B95:J95"/>
    <mergeCell ref="B96:H96"/>
    <mergeCell ref="B98:K98"/>
    <mergeCell ref="C99:G99"/>
    <mergeCell ref="C100:G100"/>
    <mergeCell ref="B101:B102"/>
    <mergeCell ref="C101:G102"/>
    <mergeCell ref="C107:G107"/>
    <mergeCell ref="C108:I108"/>
    <mergeCell ref="C109:I109"/>
    <mergeCell ref="C110:I110"/>
    <mergeCell ref="C111:I111"/>
    <mergeCell ref="C112:I112"/>
    <mergeCell ref="C113:I113"/>
    <mergeCell ref="C114:I114"/>
    <mergeCell ref="C115:G115"/>
    <mergeCell ref="C116:G116"/>
    <mergeCell ref="C117:G117"/>
    <mergeCell ref="C118:G118"/>
    <mergeCell ref="C119:I119"/>
    <mergeCell ref="B120:J120"/>
    <mergeCell ref="B121:H121"/>
    <mergeCell ref="B122:K122"/>
    <mergeCell ref="B124:J124"/>
    <mergeCell ref="B127:K127"/>
    <mergeCell ref="B129:K129"/>
    <mergeCell ref="B130:F130"/>
    <mergeCell ref="I130:J130"/>
    <mergeCell ref="B131:F131"/>
    <mergeCell ref="I131:J131"/>
    <mergeCell ref="B132:F132"/>
    <mergeCell ref="I132:J132"/>
    <mergeCell ref="B133:F133"/>
    <mergeCell ref="I133:J133"/>
    <mergeCell ref="B134:F134"/>
    <mergeCell ref="I134:J134"/>
    <mergeCell ref="B135:F135"/>
    <mergeCell ref="I135:J135"/>
    <mergeCell ref="B136:F136"/>
    <mergeCell ref="I136:J136"/>
    <mergeCell ref="B137:F137"/>
    <mergeCell ref="I137:J137"/>
    <mergeCell ref="B138:F138"/>
    <mergeCell ref="I138:J138"/>
    <mergeCell ref="B139:F139"/>
    <mergeCell ref="I139:J139"/>
    <mergeCell ref="B140:F140"/>
    <mergeCell ref="I140:J140"/>
    <mergeCell ref="B141:F141"/>
    <mergeCell ref="I141:J141"/>
    <mergeCell ref="B142:F142"/>
    <mergeCell ref="I142:J142"/>
    <mergeCell ref="B143:F143"/>
    <mergeCell ref="I143:J143"/>
    <mergeCell ref="B144:F144"/>
    <mergeCell ref="I144:J144"/>
    <mergeCell ref="B146:K146"/>
    <mergeCell ref="B147:F147"/>
    <mergeCell ref="I147:J147"/>
    <mergeCell ref="B148:F148"/>
    <mergeCell ref="I148:J148"/>
    <mergeCell ref="B149:F149"/>
    <mergeCell ref="I149:J149"/>
    <mergeCell ref="B150:F150"/>
    <mergeCell ref="I150:J150"/>
    <mergeCell ref="B151:F151"/>
    <mergeCell ref="I151:J151"/>
    <mergeCell ref="B152:F152"/>
    <mergeCell ref="I152:J152"/>
    <mergeCell ref="B153:F153"/>
    <mergeCell ref="I153:J153"/>
    <mergeCell ref="B154:F154"/>
    <mergeCell ref="I154:J154"/>
    <mergeCell ref="B155:F155"/>
    <mergeCell ref="I155:J155"/>
    <mergeCell ref="B156:F156"/>
    <mergeCell ref="I156:J156"/>
    <mergeCell ref="B157:F157"/>
    <mergeCell ref="I157:J157"/>
    <mergeCell ref="B158:F158"/>
    <mergeCell ref="I158:J158"/>
    <mergeCell ref="B159:J159"/>
    <mergeCell ref="B162:K162"/>
    <mergeCell ref="B164:K164"/>
    <mergeCell ref="C165:H165"/>
    <mergeCell ref="I165:J165"/>
    <mergeCell ref="C166:H166"/>
    <mergeCell ref="I166:J166"/>
    <mergeCell ref="C167:H167"/>
    <mergeCell ref="I167:J167"/>
    <mergeCell ref="C168:H168"/>
    <mergeCell ref="I168:J168"/>
    <mergeCell ref="C169:H169"/>
    <mergeCell ref="I169:J169"/>
    <mergeCell ref="C170:H170"/>
    <mergeCell ref="I170:J170"/>
    <mergeCell ref="C171:H171"/>
    <mergeCell ref="I171:J171"/>
    <mergeCell ref="C172:H172"/>
    <mergeCell ref="I172:J172"/>
    <mergeCell ref="C173:H173"/>
    <mergeCell ref="I173:J173"/>
    <mergeCell ref="C174:H174"/>
    <mergeCell ref="I174:J174"/>
    <mergeCell ref="C175:H175"/>
    <mergeCell ref="I175:J175"/>
    <mergeCell ref="C176:H176"/>
    <mergeCell ref="I176:J176"/>
    <mergeCell ref="C177:H177"/>
    <mergeCell ref="I177:J177"/>
    <mergeCell ref="C178:H178"/>
    <mergeCell ref="I178:J178"/>
    <mergeCell ref="C179:H179"/>
    <mergeCell ref="I179:J179"/>
    <mergeCell ref="C180:H180"/>
    <mergeCell ref="I180:J180"/>
    <mergeCell ref="C181:H181"/>
    <mergeCell ref="I181:J181"/>
    <mergeCell ref="C182:H182"/>
    <mergeCell ref="I182:J182"/>
    <mergeCell ref="C183:H183"/>
    <mergeCell ref="I183:J183"/>
    <mergeCell ref="C184:H184"/>
    <mergeCell ref="I184:J184"/>
    <mergeCell ref="C185:H185"/>
    <mergeCell ref="I185:J185"/>
    <mergeCell ref="C186:H186"/>
    <mergeCell ref="I186:J186"/>
    <mergeCell ref="C187:H187"/>
    <mergeCell ref="I187:J187"/>
    <mergeCell ref="B208:F208"/>
    <mergeCell ref="I188:J188"/>
    <mergeCell ref="C189:H189"/>
    <mergeCell ref="I189:J189"/>
    <mergeCell ref="C190:H190"/>
    <mergeCell ref="I190:J190"/>
    <mergeCell ref="B193:K193"/>
    <mergeCell ref="B195:K195"/>
    <mergeCell ref="B196:F196"/>
    <mergeCell ref="I196:J196"/>
    <mergeCell ref="B202:F202"/>
    <mergeCell ref="I202:J202"/>
    <mergeCell ref="B203:F203"/>
    <mergeCell ref="B197:F197"/>
    <mergeCell ref="I197:J197"/>
    <mergeCell ref="B198:F198"/>
    <mergeCell ref="I198:J198"/>
    <mergeCell ref="B199:F199"/>
    <mergeCell ref="I199:J199"/>
    <mergeCell ref="B200:F200"/>
    <mergeCell ref="I200:J200"/>
    <mergeCell ref="B201:F201"/>
    <mergeCell ref="I201:J201"/>
    <mergeCell ref="C188:H188"/>
    <mergeCell ref="I203:J203"/>
    <mergeCell ref="B204:F204"/>
    <mergeCell ref="I204:J204"/>
    <mergeCell ref="B205:F205"/>
    <mergeCell ref="I205:J205"/>
    <mergeCell ref="B206:F206"/>
    <mergeCell ref="I206:J206"/>
    <mergeCell ref="B207:F207"/>
    <mergeCell ref="I207:J207"/>
    <mergeCell ref="I208:J208"/>
    <mergeCell ref="B210:K210"/>
    <mergeCell ref="B211:F211"/>
    <mergeCell ref="I211:J211"/>
    <mergeCell ref="B212:F212"/>
    <mergeCell ref="I212:J212"/>
    <mergeCell ref="B213:F213"/>
    <mergeCell ref="I213:J213"/>
    <mergeCell ref="B221:F221"/>
    <mergeCell ref="I221:J221"/>
    <mergeCell ref="B219:F219"/>
    <mergeCell ref="I219:J219"/>
    <mergeCell ref="B220:F220"/>
    <mergeCell ref="I220:J220"/>
    <mergeCell ref="B214:F214"/>
    <mergeCell ref="I214:J214"/>
    <mergeCell ref="B215:F215"/>
    <mergeCell ref="I215:J215"/>
    <mergeCell ref="B216:F216"/>
    <mergeCell ref="I216:J216"/>
    <mergeCell ref="B217:F217"/>
    <mergeCell ref="I217:J217"/>
    <mergeCell ref="B218:F218"/>
    <mergeCell ref="I218:J218"/>
    <mergeCell ref="B222:F222"/>
    <mergeCell ref="I222:J222"/>
    <mergeCell ref="B223:F223"/>
    <mergeCell ref="I223:J223"/>
    <mergeCell ref="B224:K226"/>
    <mergeCell ref="B228:K228"/>
    <mergeCell ref="M228:M234"/>
    <mergeCell ref="B229:F229"/>
    <mergeCell ref="I229:J229"/>
    <mergeCell ref="B230:F230"/>
    <mergeCell ref="I230:J230"/>
    <mergeCell ref="B231:F231"/>
    <mergeCell ref="I231:J231"/>
    <mergeCell ref="B232:F232"/>
    <mergeCell ref="I232:J232"/>
    <mergeCell ref="B233:F233"/>
    <mergeCell ref="I233:J233"/>
    <mergeCell ref="B234:F234"/>
    <mergeCell ref="I234:J234"/>
    <mergeCell ref="B241:F241"/>
    <mergeCell ref="I241:J241"/>
    <mergeCell ref="B242:F242"/>
    <mergeCell ref="I242:J242"/>
    <mergeCell ref="B243:K243"/>
    <mergeCell ref="M236:M241"/>
    <mergeCell ref="B245:K245"/>
    <mergeCell ref="B246:F246"/>
    <mergeCell ref="I246:J246"/>
    <mergeCell ref="B236:K236"/>
    <mergeCell ref="B237:F237"/>
    <mergeCell ref="I237:J237"/>
    <mergeCell ref="B238:F238"/>
    <mergeCell ref="I238:J238"/>
    <mergeCell ref="B239:F239"/>
    <mergeCell ref="I239:J239"/>
    <mergeCell ref="B240:F240"/>
    <mergeCell ref="I240:J240"/>
    <mergeCell ref="M245:M254"/>
    <mergeCell ref="B247:F247"/>
    <mergeCell ref="I247:J247"/>
    <mergeCell ref="B248:F248"/>
    <mergeCell ref="I248:J248"/>
    <mergeCell ref="B249:F249"/>
    <mergeCell ref="I249:J249"/>
    <mergeCell ref="B250:F250"/>
    <mergeCell ref="I250:J250"/>
    <mergeCell ref="B251:F251"/>
    <mergeCell ref="I251:J251"/>
    <mergeCell ref="I258:J258"/>
    <mergeCell ref="B259:F259"/>
    <mergeCell ref="I259:J259"/>
    <mergeCell ref="B260:F260"/>
    <mergeCell ref="I260:J260"/>
    <mergeCell ref="B261:F261"/>
    <mergeCell ref="I261:J261"/>
    <mergeCell ref="B252:F252"/>
    <mergeCell ref="I252:J252"/>
    <mergeCell ref="B253:F253"/>
    <mergeCell ref="I253:J253"/>
    <mergeCell ref="B254:F254"/>
    <mergeCell ref="I254:J254"/>
    <mergeCell ref="B255:F255"/>
    <mergeCell ref="I255:J255"/>
    <mergeCell ref="I291:J291"/>
    <mergeCell ref="B292:F292"/>
    <mergeCell ref="I292:J292"/>
    <mergeCell ref="M257:M265"/>
    <mergeCell ref="B268:K268"/>
    <mergeCell ref="B269:F269"/>
    <mergeCell ref="I269:J269"/>
    <mergeCell ref="B270:F270"/>
    <mergeCell ref="I270:J270"/>
    <mergeCell ref="B271:F271"/>
    <mergeCell ref="I271:J271"/>
    <mergeCell ref="B272:K275"/>
    <mergeCell ref="B262:F262"/>
    <mergeCell ref="I262:J262"/>
    <mergeCell ref="B263:F263"/>
    <mergeCell ref="I263:J263"/>
    <mergeCell ref="B264:F264"/>
    <mergeCell ref="I264:J264"/>
    <mergeCell ref="B265:F265"/>
    <mergeCell ref="I265:J265"/>
    <mergeCell ref="B266:F266"/>
    <mergeCell ref="I266:J266"/>
    <mergeCell ref="B257:K257"/>
    <mergeCell ref="B258:F258"/>
    <mergeCell ref="B304:F304"/>
    <mergeCell ref="I304:J304"/>
    <mergeCell ref="B305:F305"/>
    <mergeCell ref="I305:J305"/>
    <mergeCell ref="B277:J277"/>
    <mergeCell ref="B278:J278"/>
    <mergeCell ref="B280:K280"/>
    <mergeCell ref="B282:K282"/>
    <mergeCell ref="I283:J283"/>
    <mergeCell ref="B284:F284"/>
    <mergeCell ref="I284:J284"/>
    <mergeCell ref="B285:F285"/>
    <mergeCell ref="I285:J285"/>
    <mergeCell ref="B286:F286"/>
    <mergeCell ref="I286:J286"/>
    <mergeCell ref="B287:F287"/>
    <mergeCell ref="I287:J287"/>
    <mergeCell ref="B288:F288"/>
    <mergeCell ref="I288:J288"/>
    <mergeCell ref="B289:F289"/>
    <mergeCell ref="I289:J289"/>
    <mergeCell ref="B290:F290"/>
    <mergeCell ref="I290:J290"/>
    <mergeCell ref="B291:F291"/>
    <mergeCell ref="B299:F299"/>
    <mergeCell ref="I299:J299"/>
    <mergeCell ref="B300:F300"/>
    <mergeCell ref="I300:J300"/>
    <mergeCell ref="B301:F301"/>
    <mergeCell ref="I301:J301"/>
    <mergeCell ref="B302:F302"/>
    <mergeCell ref="I302:J302"/>
    <mergeCell ref="B303:F303"/>
    <mergeCell ref="I303:J303"/>
    <mergeCell ref="B293:F293"/>
    <mergeCell ref="I293:J293"/>
    <mergeCell ref="B294:F294"/>
    <mergeCell ref="I294:J294"/>
    <mergeCell ref="B295:F295"/>
    <mergeCell ref="I295:J295"/>
    <mergeCell ref="B297:K297"/>
    <mergeCell ref="B298:F298"/>
    <mergeCell ref="I298:J298"/>
    <mergeCell ref="B306:F306"/>
    <mergeCell ref="I306:J306"/>
    <mergeCell ref="B307:F307"/>
    <mergeCell ref="I307:J307"/>
    <mergeCell ref="B308:F308"/>
    <mergeCell ref="I308:J308"/>
    <mergeCell ref="B309:F309"/>
    <mergeCell ref="I309:J309"/>
    <mergeCell ref="B310:F310"/>
    <mergeCell ref="I310:J310"/>
    <mergeCell ref="B312:K312"/>
    <mergeCell ref="M312:M318"/>
    <mergeCell ref="B313:F313"/>
    <mergeCell ref="I313:J313"/>
    <mergeCell ref="B314:F314"/>
    <mergeCell ref="I314:J314"/>
    <mergeCell ref="B315:F315"/>
    <mergeCell ref="I315:J315"/>
    <mergeCell ref="B316:F316"/>
    <mergeCell ref="I316:J316"/>
    <mergeCell ref="B317:F317"/>
    <mergeCell ref="I317:J317"/>
    <mergeCell ref="B318:F318"/>
    <mergeCell ref="I318:J318"/>
    <mergeCell ref="B320:K320"/>
    <mergeCell ref="B321:F321"/>
    <mergeCell ref="I321:J321"/>
    <mergeCell ref="B322:F322"/>
    <mergeCell ref="I322:J322"/>
    <mergeCell ref="B323:F323"/>
    <mergeCell ref="I323:J323"/>
    <mergeCell ref="B324:F324"/>
    <mergeCell ref="I324:J324"/>
    <mergeCell ref="B325:F325"/>
    <mergeCell ref="I325:J325"/>
    <mergeCell ref="B326:F326"/>
    <mergeCell ref="I326:J326"/>
    <mergeCell ref="B328:K328"/>
    <mergeCell ref="B329:F329"/>
    <mergeCell ref="I329:J329"/>
    <mergeCell ref="B330:F330"/>
    <mergeCell ref="I330:J330"/>
    <mergeCell ref="B331:F331"/>
    <mergeCell ref="I331:J331"/>
    <mergeCell ref="B332:F332"/>
    <mergeCell ref="I332:J332"/>
    <mergeCell ref="B333:F333"/>
    <mergeCell ref="I333:J333"/>
    <mergeCell ref="B334:F334"/>
    <mergeCell ref="I334:J334"/>
    <mergeCell ref="B335:F335"/>
    <mergeCell ref="I335:J335"/>
    <mergeCell ref="B336:F336"/>
    <mergeCell ref="I336:J336"/>
    <mergeCell ref="B337:F337"/>
    <mergeCell ref="I337:J337"/>
    <mergeCell ref="B338:F338"/>
    <mergeCell ref="I338:J338"/>
    <mergeCell ref="B340:K340"/>
    <mergeCell ref="B341:F341"/>
    <mergeCell ref="I341:J341"/>
    <mergeCell ref="B342:F342"/>
    <mergeCell ref="I342:J342"/>
    <mergeCell ref="B343:F343"/>
    <mergeCell ref="I343:J343"/>
    <mergeCell ref="B344:F344"/>
    <mergeCell ref="I344:J344"/>
    <mergeCell ref="B345:F345"/>
    <mergeCell ref="I345:J345"/>
    <mergeCell ref="B346:F346"/>
    <mergeCell ref="I346:J346"/>
    <mergeCell ref="B347:F347"/>
    <mergeCell ref="I347:J347"/>
    <mergeCell ref="B348:F348"/>
    <mergeCell ref="I348:J348"/>
    <mergeCell ref="B349:F349"/>
    <mergeCell ref="I349:J349"/>
    <mergeCell ref="B351:K351"/>
    <mergeCell ref="B352:F352"/>
    <mergeCell ref="I352:J352"/>
    <mergeCell ref="B353:F353"/>
    <mergeCell ref="I353:J353"/>
    <mergeCell ref="B354:F354"/>
    <mergeCell ref="I354:J354"/>
    <mergeCell ref="B355:K355"/>
    <mergeCell ref="B357:J357"/>
    <mergeCell ref="B358:J358"/>
    <mergeCell ref="B360:K360"/>
    <mergeCell ref="B362:K362"/>
    <mergeCell ref="I363:J363"/>
    <mergeCell ref="B364:F364"/>
    <mergeCell ref="I364:J364"/>
    <mergeCell ref="B365:F365"/>
    <mergeCell ref="I365:J365"/>
    <mergeCell ref="B366:F366"/>
    <mergeCell ref="I366:J366"/>
    <mergeCell ref="B367:F367"/>
    <mergeCell ref="I367:J367"/>
    <mergeCell ref="B368:F368"/>
    <mergeCell ref="I368:J368"/>
    <mergeCell ref="B369:F369"/>
    <mergeCell ref="I369:J369"/>
    <mergeCell ref="B371:K371"/>
    <mergeCell ref="B372:F372"/>
    <mergeCell ref="I372:J372"/>
    <mergeCell ref="B373:F373"/>
    <mergeCell ref="I373:J373"/>
    <mergeCell ref="B374:F374"/>
    <mergeCell ref="I374:J374"/>
    <mergeCell ref="B375:F375"/>
    <mergeCell ref="I375:J375"/>
    <mergeCell ref="B376:F376"/>
    <mergeCell ref="I376:J376"/>
    <mergeCell ref="B377:F377"/>
    <mergeCell ref="I377:J377"/>
    <mergeCell ref="B378:F378"/>
    <mergeCell ref="I378:J378"/>
    <mergeCell ref="B380:K380"/>
    <mergeCell ref="B381:F381"/>
    <mergeCell ref="I381:J381"/>
    <mergeCell ref="B382:F382"/>
    <mergeCell ref="I382:J382"/>
    <mergeCell ref="B383:F383"/>
    <mergeCell ref="I383:J383"/>
    <mergeCell ref="B384:F384"/>
    <mergeCell ref="I384:J384"/>
    <mergeCell ref="B385:F385"/>
    <mergeCell ref="I385:J385"/>
    <mergeCell ref="B386:F386"/>
    <mergeCell ref="I386:J386"/>
    <mergeCell ref="B388:K388"/>
    <mergeCell ref="B389:F389"/>
    <mergeCell ref="I389:J389"/>
    <mergeCell ref="B390:F390"/>
    <mergeCell ref="I390:J390"/>
    <mergeCell ref="B391:F391"/>
    <mergeCell ref="I391:J391"/>
    <mergeCell ref="B392:F392"/>
    <mergeCell ref="I392:J392"/>
    <mergeCell ref="B393:F393"/>
    <mergeCell ref="I393:J393"/>
    <mergeCell ref="B394:F394"/>
    <mergeCell ref="I394:J394"/>
    <mergeCell ref="B396:K396"/>
    <mergeCell ref="B397:F397"/>
    <mergeCell ref="I397:J397"/>
    <mergeCell ref="B398:F398"/>
    <mergeCell ref="I398:J398"/>
    <mergeCell ref="B399:F399"/>
    <mergeCell ref="I399:J399"/>
    <mergeCell ref="B400:F400"/>
    <mergeCell ref="I400:J400"/>
    <mergeCell ref="B401:F401"/>
    <mergeCell ref="I401:J401"/>
    <mergeCell ref="B402:F402"/>
    <mergeCell ref="I402:J402"/>
    <mergeCell ref="B403:F403"/>
    <mergeCell ref="I403:J403"/>
    <mergeCell ref="B404:F404"/>
    <mergeCell ref="I404:J404"/>
    <mergeCell ref="B406:K406"/>
    <mergeCell ref="B407:F407"/>
    <mergeCell ref="I407:J407"/>
    <mergeCell ref="I408:J408"/>
    <mergeCell ref="B409:F409"/>
    <mergeCell ref="I409:J409"/>
    <mergeCell ref="B410:F410"/>
    <mergeCell ref="I410:J410"/>
    <mergeCell ref="B411:F411"/>
    <mergeCell ref="I411:J411"/>
    <mergeCell ref="B412:F412"/>
    <mergeCell ref="I412:J412"/>
    <mergeCell ref="B408:F408"/>
    <mergeCell ref="B456:J456"/>
    <mergeCell ref="C435:F435"/>
    <mergeCell ref="I435:J435"/>
    <mergeCell ref="B436:J436"/>
    <mergeCell ref="B439:J439"/>
    <mergeCell ref="B442:K442"/>
    <mergeCell ref="C444:G444"/>
    <mergeCell ref="I444:J444"/>
    <mergeCell ref="C445:G445"/>
    <mergeCell ref="I445:J445"/>
    <mergeCell ref="B447:J447"/>
    <mergeCell ref="B450:J450"/>
    <mergeCell ref="B454:J454"/>
    <mergeCell ref="I430:J430"/>
    <mergeCell ref="C431:F431"/>
    <mergeCell ref="I431:J431"/>
    <mergeCell ref="C432:F432"/>
    <mergeCell ref="I432:J432"/>
    <mergeCell ref="C433:F433"/>
    <mergeCell ref="I433:J433"/>
    <mergeCell ref="C434:F434"/>
    <mergeCell ref="I434:J434"/>
    <mergeCell ref="B421:J421"/>
    <mergeCell ref="B423:J423"/>
    <mergeCell ref="B425:K425"/>
    <mergeCell ref="C427:F427"/>
    <mergeCell ref="M197:M208"/>
    <mergeCell ref="M212:M226"/>
    <mergeCell ref="M284:M295"/>
    <mergeCell ref="M299:M310"/>
    <mergeCell ref="C446:G446"/>
    <mergeCell ref="I446:J446"/>
    <mergeCell ref="I427:J427"/>
    <mergeCell ref="C428:F428"/>
    <mergeCell ref="I428:J428"/>
    <mergeCell ref="C429:F429"/>
    <mergeCell ref="I429:J429"/>
    <mergeCell ref="B414:K414"/>
    <mergeCell ref="B415:F415"/>
    <mergeCell ref="I415:J415"/>
    <mergeCell ref="B416:F416"/>
    <mergeCell ref="I416:J416"/>
    <mergeCell ref="B417:F417"/>
    <mergeCell ref="I417:J417"/>
    <mergeCell ref="B418:K418"/>
    <mergeCell ref="B420:J420"/>
  </mergeCells>
  <pageMargins left="0.51180555555555596" right="0.51180555555555596" top="0.78749999999999998" bottom="0.78749999999999998" header="0.511811023622047" footer="0.31527777777777799"/>
  <pageSetup paperSize="9" firstPageNumber="10" fitToHeight="0" orientation="portrait" useFirstPageNumber="1" horizontalDpi="300" verticalDpi="300" r:id="rId1"/>
  <headerFooter>
    <oddFooter>&amp;R&amp;P de 45</oddFooter>
  </headerFooter>
  <rowBreaks count="3" manualBreakCount="3">
    <brk id="178" max="16383" man="1"/>
    <brk id="234" max="16383" man="1"/>
    <brk id="292" max="16383" man="1"/>
  </rowBreaks>
  <ignoredErrors>
    <ignoredError sqref="K11 K156 I332 K332 K335 K400 K249 I249 K252 K43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48576"/>
  <sheetViews>
    <sheetView workbookViewId="0">
      <selection activeCell="G428" activeCellId="1" sqref="G420 G428"/>
    </sheetView>
  </sheetViews>
  <sheetFormatPr defaultColWidth="14.28515625" defaultRowHeight="16.350000000000001" customHeight="1" x14ac:dyDescent="0.25"/>
  <cols>
    <col min="11" max="11" width="18.5703125" customWidth="1"/>
    <col min="12" max="12" width="31" style="535" customWidth="1"/>
    <col min="13" max="15" width="14.28515625" style="536"/>
  </cols>
  <sheetData>
    <row r="1" spans="1:11" ht="16.350000000000001" customHeight="1" x14ac:dyDescent="0.25">
      <c r="A1" s="251"/>
      <c r="B1" s="86"/>
      <c r="C1" s="86"/>
      <c r="D1" s="86"/>
      <c r="E1" s="86"/>
      <c r="F1" s="86"/>
      <c r="G1" s="86"/>
      <c r="H1" s="86"/>
      <c r="I1" s="86"/>
      <c r="J1" s="86"/>
      <c r="K1" s="252"/>
    </row>
    <row r="2" spans="1:11" ht="16.350000000000001" customHeight="1" x14ac:dyDescent="0.25">
      <c r="A2" s="86"/>
      <c r="B2" s="849" t="s">
        <v>513</v>
      </c>
      <c r="C2" s="849"/>
      <c r="D2" s="849"/>
      <c r="E2" s="849"/>
      <c r="F2" s="849"/>
      <c r="G2" s="849"/>
      <c r="H2" s="849"/>
      <c r="I2" s="849"/>
      <c r="J2" s="849"/>
      <c r="K2" s="849"/>
    </row>
    <row r="3" spans="1:11" ht="16.350000000000001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252"/>
    </row>
    <row r="4" spans="1:11" ht="16.350000000000001" customHeight="1" x14ac:dyDescent="0.25">
      <c r="A4" s="86"/>
      <c r="B4" s="780" t="s">
        <v>36</v>
      </c>
      <c r="C4" s="780"/>
      <c r="D4" s="780"/>
      <c r="E4" s="780"/>
      <c r="F4" s="780"/>
      <c r="G4" s="780"/>
      <c r="H4" s="780"/>
      <c r="I4" s="780"/>
      <c r="J4" s="780"/>
      <c r="K4" s="780"/>
    </row>
    <row r="5" spans="1:11" ht="30" x14ac:dyDescent="0.25">
      <c r="A5" s="86"/>
      <c r="B5" s="750" t="s">
        <v>37</v>
      </c>
      <c r="C5" s="750"/>
      <c r="D5" s="750"/>
      <c r="E5" s="750"/>
      <c r="F5" s="750"/>
      <c r="G5" s="750"/>
      <c r="H5" s="89" t="s">
        <v>38</v>
      </c>
      <c r="I5" s="832" t="s">
        <v>39</v>
      </c>
      <c r="J5" s="832"/>
      <c r="K5" s="253" t="s">
        <v>40</v>
      </c>
    </row>
    <row r="6" spans="1:11" ht="16.350000000000001" customHeight="1" x14ac:dyDescent="0.25">
      <c r="A6" s="252"/>
      <c r="B6" s="254" t="s">
        <v>41</v>
      </c>
      <c r="C6" s="850" t="s">
        <v>42</v>
      </c>
      <c r="D6" s="850"/>
      <c r="E6" s="850"/>
      <c r="F6" s="850"/>
      <c r="G6" s="850"/>
      <c r="H6" s="255">
        <f>SUM(H7:H18)</f>
        <v>14</v>
      </c>
      <c r="I6" s="843"/>
      <c r="J6" s="843"/>
      <c r="K6" s="256">
        <f>SUM(K7:K18)</f>
        <v>102201.62465215185</v>
      </c>
    </row>
    <row r="7" spans="1:11" ht="16.350000000000001" customHeight="1" x14ac:dyDescent="0.25">
      <c r="A7" s="252"/>
      <c r="B7" s="77" t="s">
        <v>43</v>
      </c>
      <c r="C7" s="797" t="s">
        <v>44</v>
      </c>
      <c r="D7" s="797"/>
      <c r="E7" s="797"/>
      <c r="F7" s="797"/>
      <c r="G7" s="797"/>
      <c r="H7" s="76">
        <v>1</v>
      </c>
      <c r="I7" s="842">
        <f>K53</f>
        <v>12578.929312692355</v>
      </c>
      <c r="J7" s="842"/>
      <c r="K7" s="94">
        <f t="shared" ref="K7:K18" si="0">I7*H7</f>
        <v>12578.929312692355</v>
      </c>
    </row>
    <row r="8" spans="1:11" ht="16.350000000000001" customHeight="1" x14ac:dyDescent="0.25">
      <c r="A8" s="252"/>
      <c r="B8" s="77" t="s">
        <v>45</v>
      </c>
      <c r="C8" s="797" t="s">
        <v>46</v>
      </c>
      <c r="D8" s="797"/>
      <c r="E8" s="797"/>
      <c r="F8" s="797"/>
      <c r="G8" s="797"/>
      <c r="H8" s="76">
        <v>1</v>
      </c>
      <c r="I8" s="842">
        <f>K74</f>
        <v>10130.342291755216</v>
      </c>
      <c r="J8" s="842"/>
      <c r="K8" s="94">
        <f t="shared" si="0"/>
        <v>10130.342291755216</v>
      </c>
    </row>
    <row r="9" spans="1:11" ht="16.350000000000001" customHeight="1" x14ac:dyDescent="0.25">
      <c r="A9" s="252"/>
      <c r="B9" s="77" t="s">
        <v>47</v>
      </c>
      <c r="C9" s="797" t="s">
        <v>48</v>
      </c>
      <c r="D9" s="797"/>
      <c r="E9" s="797"/>
      <c r="F9" s="797"/>
      <c r="G9" s="797"/>
      <c r="H9" s="76">
        <v>1</v>
      </c>
      <c r="I9" s="842">
        <f>K99</f>
        <v>11102.637751129234</v>
      </c>
      <c r="J9" s="842"/>
      <c r="K9" s="94">
        <f t="shared" si="0"/>
        <v>11102.637751129234</v>
      </c>
    </row>
    <row r="10" spans="1:11" ht="16.350000000000001" customHeight="1" x14ac:dyDescent="0.25">
      <c r="A10" s="252"/>
      <c r="B10" s="77" t="s">
        <v>49</v>
      </c>
      <c r="C10" s="797" t="s">
        <v>50</v>
      </c>
      <c r="D10" s="797"/>
      <c r="E10" s="797"/>
      <c r="F10" s="797"/>
      <c r="G10" s="797"/>
      <c r="H10" s="258">
        <v>1</v>
      </c>
      <c r="I10" s="842">
        <f>K118</f>
        <v>5130.0715059133481</v>
      </c>
      <c r="J10" s="842"/>
      <c r="K10" s="94">
        <f t="shared" si="0"/>
        <v>5130.0715059133481</v>
      </c>
    </row>
    <row r="11" spans="1:11" ht="16.350000000000001" customHeight="1" x14ac:dyDescent="0.25">
      <c r="A11" s="252"/>
      <c r="B11" s="77" t="s">
        <v>51</v>
      </c>
      <c r="C11" s="797" t="s">
        <v>514</v>
      </c>
      <c r="D11" s="797"/>
      <c r="E11" s="797"/>
      <c r="F11" s="797"/>
      <c r="G11" s="797"/>
      <c r="H11" s="76">
        <v>1</v>
      </c>
      <c r="I11" s="842">
        <f>K139</f>
        <v>6496.190580617138</v>
      </c>
      <c r="J11" s="842"/>
      <c r="K11" s="94">
        <f t="shared" si="0"/>
        <v>6496.190580617138</v>
      </c>
    </row>
    <row r="12" spans="1:11" ht="16.350000000000001" customHeight="1" x14ac:dyDescent="0.25">
      <c r="A12" s="252"/>
      <c r="B12" s="77" t="s">
        <v>53</v>
      </c>
      <c r="C12" s="797" t="s">
        <v>515</v>
      </c>
      <c r="D12" s="797"/>
      <c r="E12" s="797"/>
      <c r="F12" s="797"/>
      <c r="G12" s="797"/>
      <c r="H12" s="76">
        <v>1</v>
      </c>
      <c r="I12" s="847">
        <f>K165</f>
        <v>7070.7016115313463</v>
      </c>
      <c r="J12" s="848"/>
      <c r="K12" s="94">
        <f t="shared" si="0"/>
        <v>7070.7016115313463</v>
      </c>
    </row>
    <row r="13" spans="1:11" ht="16.350000000000001" customHeight="1" x14ac:dyDescent="0.25">
      <c r="A13" s="252"/>
      <c r="B13" s="77" t="s">
        <v>55</v>
      </c>
      <c r="C13" s="797" t="s">
        <v>516</v>
      </c>
      <c r="D13" s="797"/>
      <c r="E13" s="797"/>
      <c r="F13" s="797"/>
      <c r="G13" s="797"/>
      <c r="H13" s="258">
        <v>1</v>
      </c>
      <c r="I13" s="842">
        <f>K185</f>
        <v>5926.5901046535892</v>
      </c>
      <c r="J13" s="842"/>
      <c r="K13" s="94">
        <f t="shared" si="0"/>
        <v>5926.5901046535892</v>
      </c>
    </row>
    <row r="14" spans="1:11" ht="16.350000000000001" customHeight="1" x14ac:dyDescent="0.25">
      <c r="A14" s="252"/>
      <c r="B14" s="77" t="s">
        <v>57</v>
      </c>
      <c r="C14" s="797" t="s">
        <v>517</v>
      </c>
      <c r="D14" s="797"/>
      <c r="E14" s="797"/>
      <c r="F14" s="797"/>
      <c r="G14" s="797"/>
      <c r="H14" s="258">
        <v>1</v>
      </c>
      <c r="I14" s="842">
        <f>K210</f>
        <v>6591.8172284100037</v>
      </c>
      <c r="J14" s="842"/>
      <c r="K14" s="94">
        <f t="shared" si="0"/>
        <v>6591.8172284100037</v>
      </c>
    </row>
    <row r="15" spans="1:11" ht="16.350000000000001" customHeight="1" x14ac:dyDescent="0.25">
      <c r="A15" s="252"/>
      <c r="B15" s="77" t="s">
        <v>59</v>
      </c>
      <c r="C15" s="797" t="s">
        <v>60</v>
      </c>
      <c r="D15" s="797"/>
      <c r="E15" s="797"/>
      <c r="F15" s="797"/>
      <c r="G15" s="797"/>
      <c r="H15" s="76">
        <v>1</v>
      </c>
      <c r="I15" s="842">
        <f>K232</f>
        <v>5684.5797853274617</v>
      </c>
      <c r="J15" s="842"/>
      <c r="K15" s="94">
        <f t="shared" si="0"/>
        <v>5684.5797853274617</v>
      </c>
    </row>
    <row r="16" spans="1:11" ht="16.350000000000001" customHeight="1" x14ac:dyDescent="0.25">
      <c r="A16" s="252"/>
      <c r="B16" s="77" t="s">
        <v>61</v>
      </c>
      <c r="C16" s="797" t="s">
        <v>62</v>
      </c>
      <c r="D16" s="797"/>
      <c r="E16" s="797"/>
      <c r="F16" s="797"/>
      <c r="G16" s="797"/>
      <c r="H16" s="76">
        <v>1</v>
      </c>
      <c r="I16" s="842">
        <f>K254</f>
        <v>5684.5797853274617</v>
      </c>
      <c r="J16" s="842"/>
      <c r="K16" s="94">
        <f t="shared" si="0"/>
        <v>5684.5797853274617</v>
      </c>
    </row>
    <row r="17" spans="1:12" ht="16.350000000000001" customHeight="1" x14ac:dyDescent="0.25">
      <c r="A17" s="252"/>
      <c r="B17" s="77" t="s">
        <v>63</v>
      </c>
      <c r="C17" s="669" t="s">
        <v>64</v>
      </c>
      <c r="D17" s="669"/>
      <c r="E17" s="669"/>
      <c r="F17" s="669"/>
      <c r="G17" s="669"/>
      <c r="H17" s="258">
        <v>2</v>
      </c>
      <c r="I17" s="842">
        <f>K276</f>
        <v>6121.6611467860021</v>
      </c>
      <c r="J17" s="842"/>
      <c r="K17" s="94">
        <f t="shared" si="0"/>
        <v>12243.322293572004</v>
      </c>
    </row>
    <row r="18" spans="1:12" ht="16.350000000000001" customHeight="1" x14ac:dyDescent="0.25">
      <c r="A18" s="252"/>
      <c r="B18" s="77" t="s">
        <v>65</v>
      </c>
      <c r="C18" s="669" t="s">
        <v>66</v>
      </c>
      <c r="D18" s="669"/>
      <c r="E18" s="669"/>
      <c r="F18" s="669"/>
      <c r="G18" s="669"/>
      <c r="H18" s="258">
        <v>2</v>
      </c>
      <c r="I18" s="842">
        <f>K302</f>
        <v>6780.931200611356</v>
      </c>
      <c r="J18" s="842"/>
      <c r="K18" s="94">
        <f t="shared" si="0"/>
        <v>13561.862401222712</v>
      </c>
    </row>
    <row r="19" spans="1:12" ht="16.350000000000001" customHeight="1" x14ac:dyDescent="0.25">
      <c r="A19" s="252"/>
      <c r="B19" s="254" t="s">
        <v>67</v>
      </c>
      <c r="C19" s="843" t="s">
        <v>68</v>
      </c>
      <c r="D19" s="843"/>
      <c r="E19" s="843"/>
      <c r="F19" s="843"/>
      <c r="G19" s="843"/>
      <c r="H19" s="255">
        <f>SUM(H20:H24)</f>
        <v>14</v>
      </c>
      <c r="I19" s="844"/>
      <c r="J19" s="844"/>
      <c r="K19" s="256">
        <f>SUM(K20:K24)</f>
        <v>1043.9366666666667</v>
      </c>
    </row>
    <row r="20" spans="1:12" ht="16.350000000000001" customHeight="1" x14ac:dyDescent="0.25">
      <c r="A20" s="252"/>
      <c r="B20" s="87" t="s">
        <v>69</v>
      </c>
      <c r="C20" s="797" t="s">
        <v>70</v>
      </c>
      <c r="D20" s="797"/>
      <c r="E20" s="797"/>
      <c r="F20" s="797"/>
      <c r="G20" s="797"/>
      <c r="H20" s="76">
        <f>H7+H10</f>
        <v>2</v>
      </c>
      <c r="I20" s="842">
        <f>K314</f>
        <v>25.710555555555555</v>
      </c>
      <c r="J20" s="842"/>
      <c r="K20" s="257">
        <f>I20*H20</f>
        <v>51.421111111111109</v>
      </c>
    </row>
    <row r="21" spans="1:12" ht="16.350000000000001" customHeight="1" x14ac:dyDescent="0.25">
      <c r="A21" s="252"/>
      <c r="B21" s="87" t="s">
        <v>71</v>
      </c>
      <c r="C21" s="846" t="s">
        <v>72</v>
      </c>
      <c r="D21" s="846"/>
      <c r="E21" s="846"/>
      <c r="F21" s="846"/>
      <c r="G21" s="846"/>
      <c r="H21" s="76">
        <f>H8+H9</f>
        <v>2</v>
      </c>
      <c r="I21" s="842">
        <f>K326</f>
        <v>99.687777777777768</v>
      </c>
      <c r="J21" s="842"/>
      <c r="K21" s="257">
        <f>I21*H21</f>
        <v>199.37555555555554</v>
      </c>
    </row>
    <row r="22" spans="1:12" ht="16.350000000000001" customHeight="1" x14ac:dyDescent="0.25">
      <c r="A22" s="252"/>
      <c r="B22" s="87" t="s">
        <v>73</v>
      </c>
      <c r="C22" s="797" t="s">
        <v>74</v>
      </c>
      <c r="D22" s="797"/>
      <c r="E22" s="797"/>
      <c r="F22" s="797"/>
      <c r="G22" s="797"/>
      <c r="H22" s="76">
        <v>4</v>
      </c>
      <c r="I22" s="842">
        <f>K340</f>
        <v>94.211111111111094</v>
      </c>
      <c r="J22" s="842"/>
      <c r="K22" s="257">
        <f>I22*H22</f>
        <v>376.84444444444438</v>
      </c>
    </row>
    <row r="23" spans="1:12" ht="16.350000000000001" customHeight="1" x14ac:dyDescent="0.25">
      <c r="A23" s="252"/>
      <c r="B23" s="87" t="s">
        <v>75</v>
      </c>
      <c r="C23" s="846" t="s">
        <v>76</v>
      </c>
      <c r="D23" s="846"/>
      <c r="E23" s="846"/>
      <c r="F23" s="846"/>
      <c r="G23" s="846"/>
      <c r="H23" s="76">
        <f>H15+H16</f>
        <v>2</v>
      </c>
      <c r="I23" s="842">
        <f>K353</f>
        <v>77.268888888888881</v>
      </c>
      <c r="J23" s="842"/>
      <c r="K23" s="257">
        <f>I23*H23</f>
        <v>154.53777777777776</v>
      </c>
    </row>
    <row r="24" spans="1:12" ht="16.350000000000001" customHeight="1" x14ac:dyDescent="0.25">
      <c r="A24" s="252"/>
      <c r="B24" s="87" t="s">
        <v>77</v>
      </c>
      <c r="C24" s="669" t="s">
        <v>78</v>
      </c>
      <c r="D24" s="669"/>
      <c r="E24" s="669"/>
      <c r="F24" s="669"/>
      <c r="G24" s="669"/>
      <c r="H24" s="76">
        <v>4</v>
      </c>
      <c r="I24" s="842">
        <f>K363</f>
        <v>65.439444444444447</v>
      </c>
      <c r="J24" s="842"/>
      <c r="K24" s="257">
        <f>I24*H24</f>
        <v>261.75777777777779</v>
      </c>
    </row>
    <row r="25" spans="1:12" ht="16.350000000000001" customHeight="1" x14ac:dyDescent="0.25">
      <c r="A25" s="252"/>
      <c r="B25" s="254" t="s">
        <v>79</v>
      </c>
      <c r="C25" s="843" t="s">
        <v>80</v>
      </c>
      <c r="D25" s="843"/>
      <c r="E25" s="843"/>
      <c r="F25" s="843"/>
      <c r="G25" s="843"/>
      <c r="H25" s="255">
        <v>1</v>
      </c>
      <c r="I25" s="844"/>
      <c r="J25" s="844"/>
      <c r="K25" s="256">
        <f>K439</f>
        <v>1802.8477967910208</v>
      </c>
    </row>
    <row r="26" spans="1:12" ht="16.350000000000001" customHeight="1" x14ac:dyDescent="0.25">
      <c r="A26" s="252"/>
      <c r="B26" s="77" t="s">
        <v>81</v>
      </c>
      <c r="C26" s="797" t="s">
        <v>82</v>
      </c>
      <c r="D26" s="797"/>
      <c r="E26" s="797"/>
      <c r="F26" s="797"/>
      <c r="G26" s="797"/>
      <c r="H26" s="584">
        <v>1</v>
      </c>
      <c r="I26" s="842">
        <f>K379+K387+K398+I413+K423+K436</f>
        <v>1802.8477967910208</v>
      </c>
      <c r="J26" s="842"/>
      <c r="K26" s="94">
        <f>I26*H26</f>
        <v>1802.8477967910208</v>
      </c>
    </row>
    <row r="27" spans="1:12" ht="16.350000000000001" customHeight="1" x14ac:dyDescent="0.25">
      <c r="A27" s="252"/>
      <c r="B27" s="254" t="s">
        <v>83</v>
      </c>
      <c r="C27" s="843" t="s">
        <v>84</v>
      </c>
      <c r="D27" s="843"/>
      <c r="E27" s="843"/>
      <c r="F27" s="843"/>
      <c r="G27" s="843"/>
      <c r="H27" s="255">
        <v>1</v>
      </c>
      <c r="I27" s="845"/>
      <c r="J27" s="845"/>
      <c r="K27" s="256">
        <f>K448</f>
        <v>17000</v>
      </c>
    </row>
    <row r="28" spans="1:12" ht="16.350000000000001" customHeight="1" x14ac:dyDescent="0.25">
      <c r="A28" s="252"/>
      <c r="B28" s="254" t="s">
        <v>85</v>
      </c>
      <c r="C28" s="843" t="s">
        <v>86</v>
      </c>
      <c r="D28" s="843"/>
      <c r="E28" s="843"/>
      <c r="F28" s="843"/>
      <c r="G28" s="843"/>
      <c r="H28" s="255">
        <v>1</v>
      </c>
      <c r="I28" s="845"/>
      <c r="J28" s="845"/>
      <c r="K28" s="256">
        <f>K457</f>
        <v>33795.075107470235</v>
      </c>
    </row>
    <row r="29" spans="1:12" ht="16.350000000000001" customHeight="1" x14ac:dyDescent="0.25">
      <c r="A29" s="86"/>
      <c r="B29" s="840" t="s">
        <v>87</v>
      </c>
      <c r="C29" s="840"/>
      <c r="D29" s="840"/>
      <c r="E29" s="840"/>
      <c r="F29" s="840"/>
      <c r="G29" s="840"/>
      <c r="H29" s="840"/>
      <c r="I29" s="840"/>
      <c r="J29" s="840"/>
      <c r="K29" s="259">
        <f>K27+K25+K19+K6+K28</f>
        <v>155843.48422307978</v>
      </c>
      <c r="L29" s="541"/>
    </row>
    <row r="30" spans="1:12" ht="16.350000000000001" customHeight="1" x14ac:dyDescent="0.25">
      <c r="A30" s="86"/>
      <c r="B30" s="841" t="s">
        <v>88</v>
      </c>
      <c r="C30" s="841"/>
      <c r="D30" s="841"/>
      <c r="E30" s="841"/>
      <c r="F30" s="841"/>
      <c r="G30" s="841"/>
      <c r="H30" s="841"/>
      <c r="I30" s="841"/>
      <c r="J30" s="260" t="s">
        <v>89</v>
      </c>
      <c r="K30" s="261" t="s">
        <v>90</v>
      </c>
    </row>
    <row r="31" spans="1:12" ht="16.350000000000001" customHeight="1" x14ac:dyDescent="0.25">
      <c r="A31" s="86"/>
      <c r="B31" s="797" t="s">
        <v>309</v>
      </c>
      <c r="C31" s="797"/>
      <c r="D31" s="797"/>
      <c r="E31" s="797"/>
      <c r="F31" s="797"/>
      <c r="G31" s="797"/>
      <c r="H31" s="797"/>
      <c r="I31" s="797"/>
      <c r="J31" s="262">
        <f>I467</f>
        <v>0.26858195072736329</v>
      </c>
      <c r="K31" s="94">
        <f>$K$29*J31</f>
        <v>41856.747000783835</v>
      </c>
    </row>
    <row r="32" spans="1:12" ht="16.350000000000001" customHeight="1" x14ac:dyDescent="0.25">
      <c r="A32" s="86"/>
      <c r="B32" s="780" t="s">
        <v>34</v>
      </c>
      <c r="C32" s="780"/>
      <c r="D32" s="780"/>
      <c r="E32" s="780"/>
      <c r="F32" s="780"/>
      <c r="G32" s="780"/>
      <c r="H32" s="780"/>
      <c r="I32" s="780"/>
      <c r="J32" s="263">
        <f>SUM(J31)</f>
        <v>0.26858195072736329</v>
      </c>
      <c r="K32" s="264">
        <f>SUM(K31)</f>
        <v>41856.747000783835</v>
      </c>
    </row>
    <row r="33" spans="1:11" ht="16.350000000000001" customHeight="1" x14ac:dyDescent="0.25">
      <c r="A33" s="86"/>
      <c r="B33" s="810" t="s">
        <v>92</v>
      </c>
      <c r="C33" s="810"/>
      <c r="D33" s="810"/>
      <c r="E33" s="810"/>
      <c r="F33" s="810"/>
      <c r="G33" s="810"/>
      <c r="H33" s="810"/>
      <c r="I33" s="810"/>
      <c r="J33" s="810"/>
      <c r="K33" s="810"/>
    </row>
    <row r="34" spans="1:11" ht="16.350000000000001" customHeight="1" x14ac:dyDescent="0.25">
      <c r="A34" s="86"/>
      <c r="B34" s="86"/>
      <c r="C34" s="86"/>
      <c r="D34" s="86"/>
      <c r="E34" s="86"/>
      <c r="F34" s="86"/>
      <c r="G34" s="86"/>
      <c r="H34" s="86"/>
      <c r="I34" s="86"/>
      <c r="J34" s="86"/>
      <c r="K34" s="252"/>
    </row>
    <row r="35" spans="1:11" ht="16.350000000000001" customHeight="1" x14ac:dyDescent="0.25">
      <c r="A35" s="86"/>
      <c r="B35" s="86"/>
      <c r="C35" s="86"/>
      <c r="D35" s="86"/>
      <c r="E35" s="86"/>
      <c r="F35" s="86"/>
      <c r="G35" s="86"/>
      <c r="H35" s="86"/>
      <c r="I35" s="86"/>
      <c r="J35" s="86"/>
      <c r="K35" s="252"/>
    </row>
    <row r="36" spans="1:11" ht="16.350000000000001" customHeight="1" x14ac:dyDescent="0.25">
      <c r="A36" s="86"/>
      <c r="B36" s="788" t="s">
        <v>93</v>
      </c>
      <c r="C36" s="788"/>
      <c r="D36" s="788"/>
      <c r="E36" s="788"/>
      <c r="F36" s="788"/>
      <c r="G36" s="788"/>
      <c r="H36" s="788"/>
      <c r="I36" s="788"/>
      <c r="J36" s="788"/>
      <c r="K36" s="788"/>
    </row>
    <row r="37" spans="1:11" ht="16.350000000000001" customHeight="1" x14ac:dyDescent="0.25">
      <c r="A37" s="86"/>
      <c r="B37" s="781"/>
      <c r="C37" s="781"/>
      <c r="D37" s="781"/>
      <c r="E37" s="781"/>
      <c r="F37" s="781"/>
      <c r="G37" s="781"/>
      <c r="H37" s="781"/>
      <c r="I37" s="781"/>
      <c r="J37" s="781"/>
      <c r="K37" s="781"/>
    </row>
    <row r="38" spans="1:11" ht="16.350000000000001" customHeight="1" x14ac:dyDescent="0.25">
      <c r="A38" s="86"/>
      <c r="B38" s="752" t="s">
        <v>94</v>
      </c>
      <c r="C38" s="752"/>
      <c r="D38" s="752"/>
      <c r="E38" s="752"/>
      <c r="F38" s="752"/>
      <c r="G38" s="752"/>
      <c r="H38" s="752"/>
      <c r="I38" s="752"/>
      <c r="J38" s="752"/>
      <c r="K38" s="752"/>
    </row>
    <row r="39" spans="1:11" ht="16.350000000000001" customHeight="1" x14ac:dyDescent="0.25">
      <c r="A39" s="86"/>
      <c r="B39" s="72" t="s">
        <v>95</v>
      </c>
      <c r="C39" s="753" t="s">
        <v>96</v>
      </c>
      <c r="D39" s="753"/>
      <c r="E39" s="753"/>
      <c r="F39" s="753"/>
      <c r="G39" s="753"/>
      <c r="H39" s="753"/>
      <c r="I39" s="753"/>
      <c r="J39" s="73"/>
      <c r="K39" s="73" t="s">
        <v>97</v>
      </c>
    </row>
    <row r="40" spans="1:11" ht="16.350000000000001" customHeight="1" x14ac:dyDescent="0.25">
      <c r="A40" s="86"/>
      <c r="B40" s="77" t="s">
        <v>98</v>
      </c>
      <c r="C40" s="669" t="s">
        <v>99</v>
      </c>
      <c r="D40" s="669"/>
      <c r="E40" s="669"/>
      <c r="F40" s="669"/>
      <c r="G40" s="669"/>
      <c r="H40" s="669"/>
      <c r="I40" s="669"/>
      <c r="J40" s="81"/>
      <c r="K40" s="79">
        <f>'6 - DADOS CC MO'!E113</f>
        <v>6876.95</v>
      </c>
    </row>
    <row r="41" spans="1:11" ht="16.350000000000001" customHeight="1" x14ac:dyDescent="0.25">
      <c r="A41" s="86"/>
      <c r="B41" s="77"/>
      <c r="C41" s="748" t="s">
        <v>100</v>
      </c>
      <c r="D41" s="748"/>
      <c r="E41" s="748"/>
      <c r="F41" s="748"/>
      <c r="G41" s="748"/>
      <c r="H41" s="748"/>
      <c r="I41" s="748"/>
      <c r="J41" s="87"/>
      <c r="K41" s="88">
        <f>K40</f>
        <v>6876.95</v>
      </c>
    </row>
    <row r="42" spans="1:11" ht="16.350000000000001" customHeight="1" x14ac:dyDescent="0.25">
      <c r="A42" s="86"/>
      <c r="B42" s="73" t="s">
        <v>101</v>
      </c>
      <c r="C42" s="753" t="s">
        <v>102</v>
      </c>
      <c r="D42" s="753"/>
      <c r="E42" s="753"/>
      <c r="F42" s="753"/>
      <c r="G42" s="753"/>
      <c r="H42" s="753"/>
      <c r="I42" s="753"/>
      <c r="J42" s="73" t="s">
        <v>89</v>
      </c>
      <c r="K42" s="73" t="s">
        <v>97</v>
      </c>
    </row>
    <row r="43" spans="1:11" ht="16.350000000000001" customHeight="1" x14ac:dyDescent="0.25">
      <c r="A43" s="86"/>
      <c r="B43" s="76" t="s">
        <v>103</v>
      </c>
      <c r="C43" s="671" t="s">
        <v>104</v>
      </c>
      <c r="D43" s="671"/>
      <c r="E43" s="671"/>
      <c r="F43" s="671"/>
      <c r="G43" s="671"/>
      <c r="H43" s="671"/>
      <c r="I43" s="671"/>
      <c r="J43" s="262">
        <f>'7 - ENCARGOS SOCIAIS'!$D$13</f>
        <v>0.36800000000000005</v>
      </c>
      <c r="K43" s="79">
        <f>J43*K41</f>
        <v>2530.7176000000004</v>
      </c>
    </row>
    <row r="44" spans="1:11" ht="16.350000000000001" customHeight="1" x14ac:dyDescent="0.25">
      <c r="A44" s="86"/>
      <c r="B44" s="76" t="s">
        <v>105</v>
      </c>
      <c r="C44" s="671" t="s">
        <v>106</v>
      </c>
      <c r="D44" s="671"/>
      <c r="E44" s="671"/>
      <c r="F44" s="671"/>
      <c r="G44" s="671"/>
      <c r="H44" s="671"/>
      <c r="I44" s="671"/>
      <c r="J44" s="262">
        <f>'7 - ENCARGOS SOCIAIS'!$D$21</f>
        <v>0.15387245147090212</v>
      </c>
      <c r="K44" s="79">
        <f>J44*K41</f>
        <v>1058.1731551428202</v>
      </c>
    </row>
    <row r="45" spans="1:11" ht="16.350000000000001" customHeight="1" x14ac:dyDescent="0.25">
      <c r="A45" s="86"/>
      <c r="B45" s="76" t="s">
        <v>107</v>
      </c>
      <c r="C45" s="671" t="s">
        <v>108</v>
      </c>
      <c r="D45" s="671"/>
      <c r="E45" s="671"/>
      <c r="F45" s="671"/>
      <c r="G45" s="671"/>
      <c r="H45" s="671"/>
      <c r="I45" s="671"/>
      <c r="J45" s="262">
        <f>'7 - ENCARGOS SOCIAIS'!$D$28</f>
        <v>0.12666581537651095</v>
      </c>
      <c r="K45" s="79">
        <f>J45*K41</f>
        <v>871.07447905349693</v>
      </c>
    </row>
    <row r="46" spans="1:11" ht="16.350000000000001" customHeight="1" x14ac:dyDescent="0.25">
      <c r="A46" s="86"/>
      <c r="B46" s="76" t="s">
        <v>109</v>
      </c>
      <c r="C46" s="671" t="s">
        <v>110</v>
      </c>
      <c r="D46" s="671"/>
      <c r="E46" s="671"/>
      <c r="F46" s="671"/>
      <c r="G46" s="671"/>
      <c r="H46" s="671"/>
      <c r="I46" s="671"/>
      <c r="J46" s="262">
        <f>'7 - ENCARGOS SOCIAIS'!$D$32</f>
        <v>5.9231502118822603E-2</v>
      </c>
      <c r="K46" s="79">
        <f>J46*K41</f>
        <v>407.33207849603707</v>
      </c>
    </row>
    <row r="47" spans="1:11" ht="16.350000000000001" customHeight="1" x14ac:dyDescent="0.25">
      <c r="A47" s="86"/>
      <c r="B47" s="89"/>
      <c r="C47" s="750" t="s">
        <v>111</v>
      </c>
      <c r="D47" s="750"/>
      <c r="E47" s="750"/>
      <c r="F47" s="750"/>
      <c r="G47" s="750"/>
      <c r="H47" s="750"/>
      <c r="I47" s="750"/>
      <c r="J47" s="90">
        <f>SUM(J43:J46)</f>
        <v>0.70776976896623567</v>
      </c>
      <c r="K47" s="91">
        <f>SUM(K43:K46)</f>
        <v>4867.2973126923544</v>
      </c>
    </row>
    <row r="48" spans="1:11" ht="16.350000000000001" customHeight="1" x14ac:dyDescent="0.25">
      <c r="A48" s="86"/>
      <c r="B48" s="73" t="s">
        <v>112</v>
      </c>
      <c r="C48" s="751" t="s">
        <v>113</v>
      </c>
      <c r="D48" s="751"/>
      <c r="E48" s="751"/>
      <c r="F48" s="751"/>
      <c r="G48" s="751"/>
      <c r="H48" s="74" t="s">
        <v>114</v>
      </c>
      <c r="I48" s="73" t="s">
        <v>115</v>
      </c>
      <c r="J48" s="73" t="s">
        <v>116</v>
      </c>
      <c r="K48" s="73" t="s">
        <v>97</v>
      </c>
    </row>
    <row r="49" spans="1:11" ht="16.350000000000001" customHeight="1" x14ac:dyDescent="0.25">
      <c r="A49" s="86"/>
      <c r="B49" s="76" t="s">
        <v>117</v>
      </c>
      <c r="C49" s="671" t="s">
        <v>156</v>
      </c>
      <c r="D49" s="671"/>
      <c r="E49" s="671"/>
      <c r="F49" s="671"/>
      <c r="G49" s="671"/>
      <c r="H49" s="76">
        <v>26</v>
      </c>
      <c r="I49" s="92">
        <v>27.15</v>
      </c>
      <c r="J49" s="93">
        <v>0.19</v>
      </c>
      <c r="K49" s="94">
        <f>(H49*I49)-((H49*I49)*0.19)</f>
        <v>571.779</v>
      </c>
    </row>
    <row r="50" spans="1:11" ht="16.350000000000001" customHeight="1" x14ac:dyDescent="0.25">
      <c r="A50" s="86"/>
      <c r="B50" s="76" t="s">
        <v>119</v>
      </c>
      <c r="C50" s="671" t="s">
        <v>160</v>
      </c>
      <c r="D50" s="671"/>
      <c r="E50" s="671"/>
      <c r="F50" s="671"/>
      <c r="G50" s="671"/>
      <c r="H50" s="76">
        <f>H49*4</f>
        <v>104</v>
      </c>
      <c r="I50" s="95">
        <v>6.25</v>
      </c>
      <c r="J50" s="93">
        <v>0.06</v>
      </c>
      <c r="K50" s="94">
        <f>(H50*I50)-(K40*0.06)</f>
        <v>237.38300000000004</v>
      </c>
    </row>
    <row r="51" spans="1:11" ht="16.350000000000001" customHeight="1" x14ac:dyDescent="0.25">
      <c r="A51" s="86"/>
      <c r="B51" s="76" t="s">
        <v>121</v>
      </c>
      <c r="C51" s="671" t="s">
        <v>122</v>
      </c>
      <c r="D51" s="671"/>
      <c r="E51" s="671"/>
      <c r="F51" s="671"/>
      <c r="G51" s="671"/>
      <c r="H51" s="77">
        <v>1</v>
      </c>
      <c r="I51" s="92">
        <v>25.52</v>
      </c>
      <c r="J51" s="96"/>
      <c r="K51" s="265">
        <f>I51</f>
        <v>25.52</v>
      </c>
    </row>
    <row r="52" spans="1:11" ht="16.350000000000001" customHeight="1" x14ac:dyDescent="0.25">
      <c r="A52" s="86"/>
      <c r="B52" s="96"/>
      <c r="C52" s="748" t="s">
        <v>123</v>
      </c>
      <c r="D52" s="748"/>
      <c r="E52" s="748"/>
      <c r="F52" s="748"/>
      <c r="G52" s="748"/>
      <c r="H52" s="748"/>
      <c r="I52" s="748"/>
      <c r="J52" s="87"/>
      <c r="K52" s="98">
        <f>SUM(K49:K51)</f>
        <v>834.68200000000002</v>
      </c>
    </row>
    <row r="53" spans="1:11" ht="16.350000000000001" customHeight="1" x14ac:dyDescent="0.25">
      <c r="A53" s="86"/>
      <c r="B53" s="749" t="s">
        <v>124</v>
      </c>
      <c r="C53" s="749"/>
      <c r="D53" s="749"/>
      <c r="E53" s="749"/>
      <c r="F53" s="749"/>
      <c r="G53" s="749"/>
      <c r="H53" s="749"/>
      <c r="I53" s="749"/>
      <c r="J53" s="749"/>
      <c r="K53" s="99">
        <f>K52+K47+K41</f>
        <v>12578.929312692355</v>
      </c>
    </row>
    <row r="54" spans="1:11" ht="16.350000000000001" customHeight="1" x14ac:dyDescent="0.25">
      <c r="A54" s="86"/>
      <c r="B54" s="838" t="s">
        <v>518</v>
      </c>
      <c r="C54" s="838"/>
      <c r="D54" s="838"/>
      <c r="E54" s="838"/>
      <c r="F54" s="838"/>
      <c r="G54" s="838"/>
      <c r="H54" s="838"/>
      <c r="I54" s="838"/>
      <c r="J54" s="838"/>
      <c r="K54" s="100">
        <f>K53*1</f>
        <v>12578.929312692355</v>
      </c>
    </row>
    <row r="55" spans="1:11" ht="16.350000000000001" customHeight="1" x14ac:dyDescent="0.25">
      <c r="A55" s="86"/>
      <c r="B55" s="86"/>
      <c r="C55" s="86"/>
      <c r="D55" s="86"/>
      <c r="E55" s="86"/>
      <c r="F55" s="86"/>
      <c r="G55" s="86"/>
      <c r="H55" s="266"/>
      <c r="I55" s="86"/>
      <c r="J55" s="86"/>
      <c r="K55" s="252"/>
    </row>
    <row r="56" spans="1:11" ht="16.350000000000001" customHeight="1" x14ac:dyDescent="0.25">
      <c r="A56" s="86"/>
      <c r="B56" s="752" t="s">
        <v>519</v>
      </c>
      <c r="C56" s="752"/>
      <c r="D56" s="752"/>
      <c r="E56" s="752"/>
      <c r="F56" s="752"/>
      <c r="G56" s="752"/>
      <c r="H56" s="752"/>
      <c r="I56" s="752"/>
      <c r="J56" s="752"/>
      <c r="K56" s="752"/>
    </row>
    <row r="57" spans="1:11" ht="16.350000000000001" customHeight="1" x14ac:dyDescent="0.25">
      <c r="A57" s="86"/>
      <c r="B57" s="72" t="s">
        <v>95</v>
      </c>
      <c r="C57" s="753" t="s">
        <v>96</v>
      </c>
      <c r="D57" s="753"/>
      <c r="E57" s="753"/>
      <c r="F57" s="753"/>
      <c r="G57" s="753"/>
      <c r="H57" s="74" t="s">
        <v>128</v>
      </c>
      <c r="I57" s="75" t="s">
        <v>129</v>
      </c>
      <c r="J57" s="73" t="s">
        <v>115</v>
      </c>
      <c r="K57" s="73" t="s">
        <v>97</v>
      </c>
    </row>
    <row r="58" spans="1:11" ht="16.350000000000001" customHeight="1" x14ac:dyDescent="0.25">
      <c r="A58" s="86"/>
      <c r="B58" s="77" t="s">
        <v>98</v>
      </c>
      <c r="C58" s="797" t="s">
        <v>99</v>
      </c>
      <c r="D58" s="797"/>
      <c r="E58" s="797"/>
      <c r="F58" s="797"/>
      <c r="G58" s="797"/>
      <c r="H58" s="77">
        <v>220</v>
      </c>
      <c r="I58" s="76" t="s">
        <v>130</v>
      </c>
      <c r="J58" s="78">
        <f>K58/H58</f>
        <v>16.363636363636363</v>
      </c>
      <c r="K58" s="79">
        <f>'6 - DADOS CC MO'!E102</f>
        <v>3600</v>
      </c>
    </row>
    <row r="59" spans="1:11" ht="16.350000000000001" customHeight="1" x14ac:dyDescent="0.25">
      <c r="A59" s="86"/>
      <c r="B59" s="77" t="s">
        <v>131</v>
      </c>
      <c r="C59" s="83" t="s">
        <v>132</v>
      </c>
      <c r="D59" s="84"/>
      <c r="E59" s="84"/>
      <c r="F59" s="84"/>
      <c r="G59" s="85"/>
      <c r="H59" s="80">
        <v>7.33</v>
      </c>
      <c r="I59" s="77" t="s">
        <v>130</v>
      </c>
      <c r="J59" s="267">
        <f>J58*2</f>
        <v>32.727272727272727</v>
      </c>
      <c r="K59" s="79">
        <f>J59*H59</f>
        <v>239.89090909090908</v>
      </c>
    </row>
    <row r="60" spans="1:11" ht="16.350000000000001" customHeight="1" x14ac:dyDescent="0.25">
      <c r="A60" s="86"/>
      <c r="B60" s="77" t="s">
        <v>133</v>
      </c>
      <c r="C60" s="83" t="s">
        <v>159</v>
      </c>
      <c r="D60" s="84"/>
      <c r="E60" s="84"/>
      <c r="F60" s="84"/>
      <c r="G60" s="85"/>
      <c r="H60" s="77"/>
      <c r="I60" s="86"/>
      <c r="J60" s="267">
        <f>61/304*(SUM(K59))</f>
        <v>48.136004784688993</v>
      </c>
      <c r="K60" s="79">
        <f>J60</f>
        <v>48.136004784688993</v>
      </c>
    </row>
    <row r="61" spans="1:11" ht="16.350000000000001" customHeight="1" x14ac:dyDescent="0.25">
      <c r="A61" s="86"/>
      <c r="B61" s="77" t="s">
        <v>135</v>
      </c>
      <c r="C61" s="797" t="s">
        <v>136</v>
      </c>
      <c r="D61" s="797"/>
      <c r="E61" s="797"/>
      <c r="F61" s="797"/>
      <c r="G61" s="797"/>
      <c r="H61" s="77">
        <v>40</v>
      </c>
      <c r="I61" s="76" t="s">
        <v>89</v>
      </c>
      <c r="J61" s="77"/>
      <c r="K61" s="79">
        <f>K58*40%</f>
        <v>1440</v>
      </c>
    </row>
    <row r="62" spans="1:11" ht="16.350000000000001" customHeight="1" x14ac:dyDescent="0.25">
      <c r="A62" s="86"/>
      <c r="B62" s="77"/>
      <c r="C62" s="748" t="s">
        <v>100</v>
      </c>
      <c r="D62" s="748"/>
      <c r="E62" s="748"/>
      <c r="F62" s="748"/>
      <c r="G62" s="748"/>
      <c r="H62" s="748"/>
      <c r="I62" s="748"/>
      <c r="J62" s="87"/>
      <c r="K62" s="91">
        <f>SUM(K58:K61)</f>
        <v>5328.0269138755975</v>
      </c>
    </row>
    <row r="63" spans="1:11" ht="16.350000000000001" customHeight="1" x14ac:dyDescent="0.25">
      <c r="A63" s="86"/>
      <c r="B63" s="73" t="s">
        <v>101</v>
      </c>
      <c r="C63" s="753" t="s">
        <v>102</v>
      </c>
      <c r="D63" s="753"/>
      <c r="E63" s="753"/>
      <c r="F63" s="753"/>
      <c r="G63" s="753"/>
      <c r="H63" s="753"/>
      <c r="I63" s="753"/>
      <c r="J63" s="73" t="s">
        <v>89</v>
      </c>
      <c r="K63" s="73" t="s">
        <v>97</v>
      </c>
    </row>
    <row r="64" spans="1:11" ht="16.350000000000001" customHeight="1" x14ac:dyDescent="0.25">
      <c r="A64" s="86"/>
      <c r="B64" s="76" t="s">
        <v>103</v>
      </c>
      <c r="C64" s="671" t="s">
        <v>104</v>
      </c>
      <c r="D64" s="671"/>
      <c r="E64" s="671"/>
      <c r="F64" s="671"/>
      <c r="G64" s="671"/>
      <c r="H64" s="671"/>
      <c r="I64" s="671"/>
      <c r="J64" s="262">
        <f>'7 - ENCARGOS SOCIAIS'!$D$13</f>
        <v>0.36800000000000005</v>
      </c>
      <c r="K64" s="79">
        <f>J64*K62</f>
        <v>1960.7139043062202</v>
      </c>
    </row>
    <row r="65" spans="1:11" ht="16.350000000000001" customHeight="1" x14ac:dyDescent="0.25">
      <c r="A65" s="86"/>
      <c r="B65" s="76" t="s">
        <v>105</v>
      </c>
      <c r="C65" s="671" t="s">
        <v>106</v>
      </c>
      <c r="D65" s="671"/>
      <c r="E65" s="671"/>
      <c r="F65" s="671"/>
      <c r="G65" s="671"/>
      <c r="H65" s="671"/>
      <c r="I65" s="671"/>
      <c r="J65" s="262">
        <f>'7 - ENCARGOS SOCIAIS'!$D$21</f>
        <v>0.15387245147090212</v>
      </c>
      <c r="K65" s="79">
        <f>J65*K62</f>
        <v>819.83656274098325</v>
      </c>
    </row>
    <row r="66" spans="1:11" ht="16.350000000000001" customHeight="1" x14ac:dyDescent="0.25">
      <c r="A66" s="86"/>
      <c r="B66" s="76" t="s">
        <v>107</v>
      </c>
      <c r="C66" s="671" t="s">
        <v>108</v>
      </c>
      <c r="D66" s="671"/>
      <c r="E66" s="671"/>
      <c r="F66" s="671"/>
      <c r="G66" s="671"/>
      <c r="H66" s="671"/>
      <c r="I66" s="671"/>
      <c r="J66" s="262">
        <f>'7 - ENCARGOS SOCIAIS'!$D$28</f>
        <v>0.12666581537651095</v>
      </c>
      <c r="K66" s="79">
        <f>J66*K62</f>
        <v>674.87887339404779</v>
      </c>
    </row>
    <row r="67" spans="1:11" ht="16.350000000000001" customHeight="1" x14ac:dyDescent="0.25">
      <c r="A67" s="86"/>
      <c r="B67" s="76" t="s">
        <v>109</v>
      </c>
      <c r="C67" s="671" t="s">
        <v>110</v>
      </c>
      <c r="D67" s="671"/>
      <c r="E67" s="671"/>
      <c r="F67" s="671"/>
      <c r="G67" s="671"/>
      <c r="H67" s="671"/>
      <c r="I67" s="671"/>
      <c r="J67" s="262">
        <f>'7 - ENCARGOS SOCIAIS'!$D$32</f>
        <v>5.9231502118822603E-2</v>
      </c>
      <c r="K67" s="79">
        <f>J67*K62</f>
        <v>315.58703743836634</v>
      </c>
    </row>
    <row r="68" spans="1:11" ht="16.350000000000001" customHeight="1" x14ac:dyDescent="0.25">
      <c r="A68" s="86"/>
      <c r="B68" s="89"/>
      <c r="C68" s="750" t="s">
        <v>111</v>
      </c>
      <c r="D68" s="750"/>
      <c r="E68" s="750"/>
      <c r="F68" s="750"/>
      <c r="G68" s="750"/>
      <c r="H68" s="750"/>
      <c r="I68" s="750"/>
      <c r="J68" s="90">
        <f>SUM(J64:J67)</f>
        <v>0.70776976896623567</v>
      </c>
      <c r="K68" s="91">
        <f>SUM(K64:K67)</f>
        <v>3771.0163778796177</v>
      </c>
    </row>
    <row r="69" spans="1:11" ht="16.350000000000001" customHeight="1" x14ac:dyDescent="0.25">
      <c r="A69" s="86"/>
      <c r="B69" s="73" t="s">
        <v>112</v>
      </c>
      <c r="C69" s="751" t="s">
        <v>113</v>
      </c>
      <c r="D69" s="751"/>
      <c r="E69" s="751"/>
      <c r="F69" s="751"/>
      <c r="G69" s="751"/>
      <c r="H69" s="74" t="s">
        <v>114</v>
      </c>
      <c r="I69" s="73" t="s">
        <v>115</v>
      </c>
      <c r="J69" s="73" t="s">
        <v>116</v>
      </c>
      <c r="K69" s="73" t="s">
        <v>97</v>
      </c>
    </row>
    <row r="70" spans="1:11" ht="16.350000000000001" customHeight="1" x14ac:dyDescent="0.25">
      <c r="A70" s="86"/>
      <c r="B70" s="76" t="s">
        <v>117</v>
      </c>
      <c r="C70" s="671" t="s">
        <v>156</v>
      </c>
      <c r="D70" s="671"/>
      <c r="E70" s="671"/>
      <c r="F70" s="671"/>
      <c r="G70" s="671"/>
      <c r="H70" s="76">
        <v>26</v>
      </c>
      <c r="I70" s="92">
        <v>27.15</v>
      </c>
      <c r="J70" s="93">
        <v>0.19</v>
      </c>
      <c r="K70" s="94">
        <f>(H70*I70)-((H70*I70)*0.19)</f>
        <v>571.779</v>
      </c>
    </row>
    <row r="71" spans="1:11" ht="16.350000000000001" customHeight="1" x14ac:dyDescent="0.25">
      <c r="A71" s="86"/>
      <c r="B71" s="76" t="s">
        <v>119</v>
      </c>
      <c r="C71" s="671" t="s">
        <v>160</v>
      </c>
      <c r="D71" s="671"/>
      <c r="E71" s="671"/>
      <c r="F71" s="671"/>
      <c r="G71" s="671"/>
      <c r="H71" s="76">
        <f>H70*4</f>
        <v>104</v>
      </c>
      <c r="I71" s="95">
        <v>6.25</v>
      </c>
      <c r="J71" s="93">
        <v>0.06</v>
      </c>
      <c r="K71" s="94">
        <f>(H71*I71)-(K58*0.06)</f>
        <v>434</v>
      </c>
    </row>
    <row r="72" spans="1:11" ht="16.350000000000001" customHeight="1" x14ac:dyDescent="0.25">
      <c r="A72" s="86"/>
      <c r="B72" s="76" t="s">
        <v>121</v>
      </c>
      <c r="C72" s="671" t="s">
        <v>122</v>
      </c>
      <c r="D72" s="671"/>
      <c r="E72" s="671"/>
      <c r="F72" s="671"/>
      <c r="G72" s="671"/>
      <c r="H72" s="77">
        <v>1</v>
      </c>
      <c r="I72" s="92">
        <v>25.52</v>
      </c>
      <c r="J72" s="96"/>
      <c r="K72" s="79">
        <f>I72</f>
        <v>25.52</v>
      </c>
    </row>
    <row r="73" spans="1:11" ht="16.350000000000001" customHeight="1" x14ac:dyDescent="0.25">
      <c r="A73" s="86"/>
      <c r="B73" s="96"/>
      <c r="C73" s="748" t="s">
        <v>123</v>
      </c>
      <c r="D73" s="748"/>
      <c r="E73" s="748"/>
      <c r="F73" s="748"/>
      <c r="G73" s="748"/>
      <c r="H73" s="748"/>
      <c r="I73" s="748"/>
      <c r="J73" s="87"/>
      <c r="K73" s="91">
        <f>SUM(K70:K72)</f>
        <v>1031.299</v>
      </c>
    </row>
    <row r="74" spans="1:11" ht="16.350000000000001" customHeight="1" x14ac:dyDescent="0.25">
      <c r="A74" s="86"/>
      <c r="B74" s="749" t="s">
        <v>137</v>
      </c>
      <c r="C74" s="749"/>
      <c r="D74" s="749"/>
      <c r="E74" s="749"/>
      <c r="F74" s="749"/>
      <c r="G74" s="749"/>
      <c r="H74" s="749"/>
      <c r="I74" s="749"/>
      <c r="J74" s="749"/>
      <c r="K74" s="268">
        <f>K62+K68+K73</f>
        <v>10130.342291755216</v>
      </c>
    </row>
    <row r="75" spans="1:11" ht="16.350000000000001" customHeight="1" x14ac:dyDescent="0.25">
      <c r="A75" s="86"/>
      <c r="B75" s="838" t="s">
        <v>518</v>
      </c>
      <c r="C75" s="838"/>
      <c r="D75" s="838"/>
      <c r="E75" s="838"/>
      <c r="F75" s="838"/>
      <c r="G75" s="838"/>
      <c r="H75" s="838"/>
      <c r="I75" s="838"/>
      <c r="J75" s="838"/>
      <c r="K75" s="269">
        <f>K74</f>
        <v>10130.342291755216</v>
      </c>
    </row>
    <row r="76" spans="1:11" ht="16.350000000000001" customHeight="1" x14ac:dyDescent="0.25">
      <c r="A76" s="86"/>
      <c r="B76" s="86"/>
      <c r="C76" s="86"/>
      <c r="D76" s="86"/>
      <c r="E76" s="86"/>
      <c r="F76" s="86"/>
      <c r="G76" s="86"/>
      <c r="H76" s="86"/>
      <c r="I76" s="86"/>
      <c r="J76" s="86"/>
      <c r="K76" s="252"/>
    </row>
    <row r="77" spans="1:11" ht="16.350000000000001" customHeight="1" x14ac:dyDescent="0.25">
      <c r="A77" s="86"/>
      <c r="B77" s="752" t="s">
        <v>520</v>
      </c>
      <c r="C77" s="752"/>
      <c r="D77" s="752"/>
      <c r="E77" s="752"/>
      <c r="F77" s="752"/>
      <c r="G77" s="752"/>
      <c r="H77" s="752"/>
      <c r="I77" s="752"/>
      <c r="J77" s="752"/>
      <c r="K77" s="752"/>
    </row>
    <row r="78" spans="1:11" ht="16.350000000000001" customHeight="1" x14ac:dyDescent="0.25">
      <c r="A78" s="86"/>
      <c r="B78" s="72" t="s">
        <v>95</v>
      </c>
      <c r="C78" s="753" t="s">
        <v>96</v>
      </c>
      <c r="D78" s="753"/>
      <c r="E78" s="753"/>
      <c r="F78" s="753"/>
      <c r="G78" s="753"/>
      <c r="H78" s="74" t="s">
        <v>128</v>
      </c>
      <c r="I78" s="75" t="s">
        <v>129</v>
      </c>
      <c r="J78" s="73" t="s">
        <v>115</v>
      </c>
      <c r="K78" s="73" t="s">
        <v>97</v>
      </c>
    </row>
    <row r="79" spans="1:11" ht="16.350000000000001" customHeight="1" x14ac:dyDescent="0.25">
      <c r="A79" s="86"/>
      <c r="B79" s="76" t="s">
        <v>98</v>
      </c>
      <c r="C79" s="671" t="s">
        <v>99</v>
      </c>
      <c r="D79" s="671"/>
      <c r="E79" s="671"/>
      <c r="F79" s="671"/>
      <c r="G79" s="671"/>
      <c r="H79" s="77">
        <v>220</v>
      </c>
      <c r="I79" s="76" t="s">
        <v>130</v>
      </c>
      <c r="J79" s="78">
        <f>K79/H79</f>
        <v>16.363636363636363</v>
      </c>
      <c r="K79" s="79">
        <f>'6 - DADOS CC MO'!E102</f>
        <v>3600</v>
      </c>
    </row>
    <row r="80" spans="1:11" ht="16.350000000000001" customHeight="1" x14ac:dyDescent="0.25">
      <c r="A80" s="86"/>
      <c r="B80" s="754" t="s">
        <v>135</v>
      </c>
      <c r="C80" s="755" t="s">
        <v>139</v>
      </c>
      <c r="D80" s="755"/>
      <c r="E80" s="755"/>
      <c r="F80" s="755"/>
      <c r="G80" s="755"/>
      <c r="H80" s="80">
        <f>H83*H95</f>
        <v>112.66666666666666</v>
      </c>
      <c r="I80" s="77" t="s">
        <v>140</v>
      </c>
      <c r="J80" s="81"/>
      <c r="K80" s="79"/>
    </row>
    <row r="81" spans="1:11" ht="16.350000000000001" customHeight="1" x14ac:dyDescent="0.25">
      <c r="A81" s="86"/>
      <c r="B81" s="754"/>
      <c r="C81" s="755"/>
      <c r="D81" s="755"/>
      <c r="E81" s="755"/>
      <c r="F81" s="755"/>
      <c r="G81" s="755"/>
      <c r="H81" s="82">
        <f>H80*8/7</f>
        <v>128.76190476190476</v>
      </c>
      <c r="I81" s="77" t="s">
        <v>141</v>
      </c>
      <c r="J81" s="267">
        <f>J79*0.2</f>
        <v>3.2727272727272729</v>
      </c>
      <c r="K81" s="79">
        <f>J81*H81</f>
        <v>421.40259740259739</v>
      </c>
    </row>
    <row r="82" spans="1:11" ht="16.350000000000001" customHeight="1" x14ac:dyDescent="0.25">
      <c r="A82" s="86"/>
      <c r="B82" s="76" t="s">
        <v>142</v>
      </c>
      <c r="C82" s="83" t="s">
        <v>132</v>
      </c>
      <c r="D82" s="84"/>
      <c r="E82" s="84"/>
      <c r="F82" s="84"/>
      <c r="G82" s="85"/>
      <c r="H82" s="80">
        <f>7+1/3-H83</f>
        <v>3</v>
      </c>
      <c r="I82" s="77" t="s">
        <v>130</v>
      </c>
      <c r="J82" s="267">
        <f>J79*2</f>
        <v>32.727272727272727</v>
      </c>
      <c r="K82" s="79">
        <f>J82*H82</f>
        <v>98.181818181818187</v>
      </c>
    </row>
    <row r="83" spans="1:11" ht="16.350000000000001" customHeight="1" x14ac:dyDescent="0.25">
      <c r="A83" s="86"/>
      <c r="B83" s="76" t="s">
        <v>143</v>
      </c>
      <c r="C83" s="83" t="s">
        <v>144</v>
      </c>
      <c r="D83" s="84"/>
      <c r="E83" s="84"/>
      <c r="F83" s="84"/>
      <c r="G83" s="85"/>
      <c r="H83" s="80">
        <f>4+1/3</f>
        <v>4.333333333333333</v>
      </c>
      <c r="I83" s="77" t="s">
        <v>130</v>
      </c>
      <c r="J83" s="267"/>
      <c r="K83" s="79"/>
    </row>
    <row r="84" spans="1:11" ht="16.350000000000001" customHeight="1" x14ac:dyDescent="0.25">
      <c r="A84" s="86"/>
      <c r="B84" s="76" t="s">
        <v>145</v>
      </c>
      <c r="C84" s="83" t="s">
        <v>146</v>
      </c>
      <c r="D84" s="84"/>
      <c r="E84" s="84"/>
      <c r="F84" s="84"/>
      <c r="G84" s="85"/>
      <c r="H84" s="80">
        <f>H83*8/7</f>
        <v>4.9523809523809517</v>
      </c>
      <c r="I84" s="77" t="s">
        <v>130</v>
      </c>
      <c r="J84" s="267">
        <f>J79*2*1.2</f>
        <v>39.272727272727273</v>
      </c>
      <c r="K84" s="79">
        <f>J84*H84</f>
        <v>194.49350649350646</v>
      </c>
    </row>
    <row r="85" spans="1:11" ht="16.350000000000001" customHeight="1" x14ac:dyDescent="0.25">
      <c r="A85" s="86"/>
      <c r="B85" s="76" t="s">
        <v>147</v>
      </c>
      <c r="C85" s="83" t="s">
        <v>159</v>
      </c>
      <c r="D85" s="84"/>
      <c r="E85" s="84"/>
      <c r="F85" s="84"/>
      <c r="G85" s="85"/>
      <c r="H85" s="77"/>
      <c r="I85" s="86"/>
      <c r="J85" s="267">
        <f>61/304*(SUM(K81:K84))</f>
        <v>143.28537252221463</v>
      </c>
      <c r="K85" s="79">
        <f>J85</f>
        <v>143.28537252221463</v>
      </c>
    </row>
    <row r="86" spans="1:11" ht="16.350000000000001" customHeight="1" x14ac:dyDescent="0.25">
      <c r="A86" s="86"/>
      <c r="B86" s="76" t="s">
        <v>148</v>
      </c>
      <c r="C86" s="671" t="s">
        <v>136</v>
      </c>
      <c r="D86" s="671"/>
      <c r="E86" s="671"/>
      <c r="F86" s="671"/>
      <c r="G86" s="671"/>
      <c r="H86" s="77">
        <v>40</v>
      </c>
      <c r="I86" s="76" t="s">
        <v>89</v>
      </c>
      <c r="J86" s="81"/>
      <c r="K86" s="79">
        <f>K79*40%</f>
        <v>1440</v>
      </c>
    </row>
    <row r="87" spans="1:11" ht="16.350000000000001" customHeight="1" x14ac:dyDescent="0.25">
      <c r="A87" s="86"/>
      <c r="B87" s="77"/>
      <c r="C87" s="748" t="s">
        <v>100</v>
      </c>
      <c r="D87" s="748"/>
      <c r="E87" s="748"/>
      <c r="F87" s="748"/>
      <c r="G87" s="748"/>
      <c r="H87" s="748"/>
      <c r="I87" s="748"/>
      <c r="J87" s="87"/>
      <c r="K87" s="88">
        <f>SUM(K79:K86)</f>
        <v>5897.3632946001362</v>
      </c>
    </row>
    <row r="88" spans="1:11" ht="16.350000000000001" customHeight="1" x14ac:dyDescent="0.25">
      <c r="A88" s="86"/>
      <c r="B88" s="73" t="s">
        <v>101</v>
      </c>
      <c r="C88" s="753" t="s">
        <v>102</v>
      </c>
      <c r="D88" s="753"/>
      <c r="E88" s="753"/>
      <c r="F88" s="753"/>
      <c r="G88" s="753"/>
      <c r="H88" s="753"/>
      <c r="I88" s="753"/>
      <c r="J88" s="73" t="s">
        <v>89</v>
      </c>
      <c r="K88" s="73" t="s">
        <v>97</v>
      </c>
    </row>
    <row r="89" spans="1:11" ht="16.350000000000001" customHeight="1" x14ac:dyDescent="0.25">
      <c r="A89" s="86"/>
      <c r="B89" s="76" t="s">
        <v>103</v>
      </c>
      <c r="C89" s="671" t="s">
        <v>104</v>
      </c>
      <c r="D89" s="671"/>
      <c r="E89" s="671"/>
      <c r="F89" s="671"/>
      <c r="G89" s="671"/>
      <c r="H89" s="671"/>
      <c r="I89" s="671"/>
      <c r="J89" s="262">
        <f>'7 - ENCARGOS SOCIAIS'!$D$13</f>
        <v>0.36800000000000005</v>
      </c>
      <c r="K89" s="79">
        <f>J89*$K$87</f>
        <v>2170.2296924128505</v>
      </c>
    </row>
    <row r="90" spans="1:11" ht="16.350000000000001" customHeight="1" x14ac:dyDescent="0.25">
      <c r="A90" s="86"/>
      <c r="B90" s="76" t="s">
        <v>105</v>
      </c>
      <c r="C90" s="671" t="s">
        <v>106</v>
      </c>
      <c r="D90" s="671"/>
      <c r="E90" s="671"/>
      <c r="F90" s="671"/>
      <c r="G90" s="671"/>
      <c r="H90" s="671"/>
      <c r="I90" s="671"/>
      <c r="J90" s="262">
        <f>'7 - ENCARGOS SOCIAIS'!$D$21</f>
        <v>0.15387245147090212</v>
      </c>
      <c r="K90" s="79">
        <f>J90*$K$87</f>
        <v>907.44174735463889</v>
      </c>
    </row>
    <row r="91" spans="1:11" ht="16.350000000000001" customHeight="1" x14ac:dyDescent="0.25">
      <c r="A91" s="86"/>
      <c r="B91" s="76" t="s">
        <v>107</v>
      </c>
      <c r="C91" s="671" t="s">
        <v>108</v>
      </c>
      <c r="D91" s="671"/>
      <c r="E91" s="671"/>
      <c r="F91" s="671"/>
      <c r="G91" s="671"/>
      <c r="H91" s="671"/>
      <c r="I91" s="671"/>
      <c r="J91" s="262">
        <f>'7 - ENCARGOS SOCIAIS'!$D$28</f>
        <v>0.12666581537651095</v>
      </c>
      <c r="K91" s="79">
        <f>J91*$K$87</f>
        <v>746.99433028203316</v>
      </c>
    </row>
    <row r="92" spans="1:11" ht="16.350000000000001" customHeight="1" x14ac:dyDescent="0.25">
      <c r="A92" s="86"/>
      <c r="B92" s="76" t="s">
        <v>109</v>
      </c>
      <c r="C92" s="671" t="s">
        <v>110</v>
      </c>
      <c r="D92" s="671"/>
      <c r="E92" s="671"/>
      <c r="F92" s="671"/>
      <c r="G92" s="671"/>
      <c r="H92" s="671"/>
      <c r="I92" s="671"/>
      <c r="J92" s="262">
        <f>'7 - ENCARGOS SOCIAIS'!$D$32</f>
        <v>5.9231502118822603E-2</v>
      </c>
      <c r="K92" s="79">
        <f>J92*$K$87</f>
        <v>349.30968647957462</v>
      </c>
    </row>
    <row r="93" spans="1:11" ht="16.350000000000001" customHeight="1" x14ac:dyDescent="0.25">
      <c r="A93" s="86"/>
      <c r="B93" s="89"/>
      <c r="C93" s="750" t="s">
        <v>111</v>
      </c>
      <c r="D93" s="750"/>
      <c r="E93" s="750"/>
      <c r="F93" s="750"/>
      <c r="G93" s="750"/>
      <c r="H93" s="750"/>
      <c r="I93" s="750"/>
      <c r="J93" s="90">
        <f>SUM(J89:J92)</f>
        <v>0.70776976896623567</v>
      </c>
      <c r="K93" s="91">
        <f>SUM(K89:K92)</f>
        <v>4173.9754565290968</v>
      </c>
    </row>
    <row r="94" spans="1:11" ht="16.350000000000001" customHeight="1" x14ac:dyDescent="0.25">
      <c r="A94" s="86"/>
      <c r="B94" s="73" t="s">
        <v>112</v>
      </c>
      <c r="C94" s="751" t="s">
        <v>113</v>
      </c>
      <c r="D94" s="751"/>
      <c r="E94" s="751"/>
      <c r="F94" s="751"/>
      <c r="G94" s="751"/>
      <c r="H94" s="74" t="s">
        <v>114</v>
      </c>
      <c r="I94" s="73" t="s">
        <v>115</v>
      </c>
      <c r="J94" s="73" t="s">
        <v>116</v>
      </c>
      <c r="K94" s="73" t="s">
        <v>97</v>
      </c>
    </row>
    <row r="95" spans="1:11" ht="16.350000000000001" customHeight="1" x14ac:dyDescent="0.25">
      <c r="A95" s="86"/>
      <c r="B95" s="76" t="s">
        <v>117</v>
      </c>
      <c r="C95" s="671" t="s">
        <v>156</v>
      </c>
      <c r="D95" s="671"/>
      <c r="E95" s="671"/>
      <c r="F95" s="671"/>
      <c r="G95" s="671"/>
      <c r="H95" s="76">
        <v>26</v>
      </c>
      <c r="I95" s="92">
        <v>27.15</v>
      </c>
      <c r="J95" s="93">
        <v>0.19</v>
      </c>
      <c r="K95" s="94">
        <f>(H95*I95)-((H95*I95)*0.19)</f>
        <v>571.779</v>
      </c>
    </row>
    <row r="96" spans="1:11" ht="16.350000000000001" customHeight="1" x14ac:dyDescent="0.25">
      <c r="A96" s="86"/>
      <c r="B96" s="76" t="s">
        <v>119</v>
      </c>
      <c r="C96" s="671" t="s">
        <v>160</v>
      </c>
      <c r="D96" s="671"/>
      <c r="E96" s="671"/>
      <c r="F96" s="671"/>
      <c r="G96" s="671"/>
      <c r="H96" s="76">
        <f>H95*4</f>
        <v>104</v>
      </c>
      <c r="I96" s="95">
        <v>6.25</v>
      </c>
      <c r="J96" s="93">
        <v>0.06</v>
      </c>
      <c r="K96" s="94">
        <f>(H96*I96)-(K79*0.06)</f>
        <v>434</v>
      </c>
    </row>
    <row r="97" spans="1:11" ht="16.350000000000001" customHeight="1" x14ac:dyDescent="0.25">
      <c r="A97" s="86"/>
      <c r="B97" s="76" t="s">
        <v>121</v>
      </c>
      <c r="C97" s="671" t="s">
        <v>122</v>
      </c>
      <c r="D97" s="671"/>
      <c r="E97" s="671"/>
      <c r="F97" s="671"/>
      <c r="G97" s="671"/>
      <c r="H97" s="77">
        <v>1</v>
      </c>
      <c r="I97" s="92">
        <v>25.52</v>
      </c>
      <c r="J97" s="96"/>
      <c r="K97" s="265">
        <f>I97</f>
        <v>25.52</v>
      </c>
    </row>
    <row r="98" spans="1:11" ht="16.350000000000001" customHeight="1" x14ac:dyDescent="0.25">
      <c r="A98" s="86"/>
      <c r="B98" s="96"/>
      <c r="C98" s="748" t="s">
        <v>123</v>
      </c>
      <c r="D98" s="748"/>
      <c r="E98" s="748"/>
      <c r="F98" s="748"/>
      <c r="G98" s="748"/>
      <c r="H98" s="748"/>
      <c r="I98" s="748"/>
      <c r="J98" s="87"/>
      <c r="K98" s="98">
        <f>SUM(K95:K97)</f>
        <v>1031.299</v>
      </c>
    </row>
    <row r="99" spans="1:11" ht="16.350000000000001" customHeight="1" x14ac:dyDescent="0.25">
      <c r="A99" s="86"/>
      <c r="B99" s="749" t="s">
        <v>149</v>
      </c>
      <c r="C99" s="749"/>
      <c r="D99" s="749"/>
      <c r="E99" s="749"/>
      <c r="F99" s="749"/>
      <c r="G99" s="749"/>
      <c r="H99" s="749"/>
      <c r="I99" s="749"/>
      <c r="J99" s="749"/>
      <c r="K99" s="99">
        <f>K98+K93+K87</f>
        <v>11102.637751129234</v>
      </c>
    </row>
    <row r="100" spans="1:11" ht="16.350000000000001" customHeight="1" x14ac:dyDescent="0.25">
      <c r="A100" s="86"/>
      <c r="B100" s="838" t="s">
        <v>518</v>
      </c>
      <c r="C100" s="838"/>
      <c r="D100" s="838"/>
      <c r="E100" s="838"/>
      <c r="F100" s="838"/>
      <c r="G100" s="838"/>
      <c r="H100" s="838"/>
      <c r="I100" s="838"/>
      <c r="J100" s="838"/>
      <c r="K100" s="100">
        <f>K99*1</f>
        <v>11102.637751129234</v>
      </c>
    </row>
    <row r="101" spans="1:11" ht="16.350000000000001" customHeight="1" x14ac:dyDescent="0.25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252"/>
    </row>
    <row r="102" spans="1:11" ht="16.350000000000001" customHeight="1" x14ac:dyDescent="0.25">
      <c r="A102" s="86"/>
      <c r="B102" s="752" t="s">
        <v>150</v>
      </c>
      <c r="C102" s="752"/>
      <c r="D102" s="752"/>
      <c r="E102" s="752"/>
      <c r="F102" s="752"/>
      <c r="G102" s="752"/>
      <c r="H102" s="752"/>
      <c r="I102" s="752"/>
      <c r="J102" s="752"/>
      <c r="K102" s="752"/>
    </row>
    <row r="103" spans="1:11" ht="16.350000000000001" customHeight="1" x14ac:dyDescent="0.25">
      <c r="A103" s="86"/>
      <c r="B103" s="72" t="s">
        <v>95</v>
      </c>
      <c r="C103" s="753" t="s">
        <v>96</v>
      </c>
      <c r="D103" s="753"/>
      <c r="E103" s="753"/>
      <c r="F103" s="753"/>
      <c r="G103" s="753"/>
      <c r="H103" s="753"/>
      <c r="I103" s="753"/>
      <c r="J103" s="73"/>
      <c r="K103" s="73" t="s">
        <v>97</v>
      </c>
    </row>
    <row r="104" spans="1:11" ht="16.350000000000001" customHeight="1" x14ac:dyDescent="0.25">
      <c r="A104" s="86"/>
      <c r="B104" s="77" t="s">
        <v>98</v>
      </c>
      <c r="C104" s="669" t="s">
        <v>99</v>
      </c>
      <c r="D104" s="669"/>
      <c r="E104" s="669"/>
      <c r="F104" s="669"/>
      <c r="G104" s="669"/>
      <c r="H104" s="669"/>
      <c r="I104" s="669"/>
      <c r="J104" s="81"/>
      <c r="K104" s="79">
        <f>'6 - DADOS CC MO'!E56</f>
        <v>2307.83</v>
      </c>
    </row>
    <row r="105" spans="1:11" ht="16.350000000000001" customHeight="1" x14ac:dyDescent="0.25">
      <c r="A105" s="86"/>
      <c r="B105" s="77"/>
      <c r="C105" s="748" t="s">
        <v>100</v>
      </c>
      <c r="D105" s="748"/>
      <c r="E105" s="748"/>
      <c r="F105" s="748"/>
      <c r="G105" s="748"/>
      <c r="H105" s="748"/>
      <c r="I105" s="748"/>
      <c r="J105" s="87"/>
      <c r="K105" s="88">
        <f>K104</f>
        <v>2307.83</v>
      </c>
    </row>
    <row r="106" spans="1:11" ht="16.350000000000001" customHeight="1" x14ac:dyDescent="0.25">
      <c r="A106" s="86"/>
      <c r="B106" s="73" t="s">
        <v>101</v>
      </c>
      <c r="C106" s="753" t="s">
        <v>102</v>
      </c>
      <c r="D106" s="753"/>
      <c r="E106" s="753"/>
      <c r="F106" s="753"/>
      <c r="G106" s="753"/>
      <c r="H106" s="753"/>
      <c r="I106" s="753"/>
      <c r="J106" s="73" t="s">
        <v>89</v>
      </c>
      <c r="K106" s="73" t="s">
        <v>97</v>
      </c>
    </row>
    <row r="107" spans="1:11" ht="16.350000000000001" customHeight="1" x14ac:dyDescent="0.25">
      <c r="A107" s="86"/>
      <c r="B107" s="76" t="s">
        <v>103</v>
      </c>
      <c r="C107" s="671" t="s">
        <v>104</v>
      </c>
      <c r="D107" s="671"/>
      <c r="E107" s="671"/>
      <c r="F107" s="671"/>
      <c r="G107" s="671"/>
      <c r="H107" s="671"/>
      <c r="I107" s="671"/>
      <c r="J107" s="262">
        <f>'7 - ENCARGOS SOCIAIS'!$D$13</f>
        <v>0.36800000000000005</v>
      </c>
      <c r="K107" s="79">
        <f>J107*$K$105</f>
        <v>849.28144000000009</v>
      </c>
    </row>
    <row r="108" spans="1:11" ht="16.350000000000001" customHeight="1" x14ac:dyDescent="0.25">
      <c r="A108" s="86"/>
      <c r="B108" s="76" t="s">
        <v>105</v>
      </c>
      <c r="C108" s="671" t="s">
        <v>106</v>
      </c>
      <c r="D108" s="671"/>
      <c r="E108" s="671"/>
      <c r="F108" s="671"/>
      <c r="G108" s="671"/>
      <c r="H108" s="671"/>
      <c r="I108" s="671"/>
      <c r="J108" s="262">
        <f>'7 - ENCARGOS SOCIAIS'!$D$21</f>
        <v>0.15387245147090212</v>
      </c>
      <c r="K108" s="79">
        <f>J108*$K$105</f>
        <v>355.11145967809205</v>
      </c>
    </row>
    <row r="109" spans="1:11" ht="16.350000000000001" customHeight="1" x14ac:dyDescent="0.25">
      <c r="A109" s="86"/>
      <c r="B109" s="76" t="s">
        <v>107</v>
      </c>
      <c r="C109" s="671" t="s">
        <v>108</v>
      </c>
      <c r="D109" s="671"/>
      <c r="E109" s="671"/>
      <c r="F109" s="671"/>
      <c r="G109" s="671"/>
      <c r="H109" s="671"/>
      <c r="I109" s="671"/>
      <c r="J109" s="262">
        <f>'7 - ENCARGOS SOCIAIS'!$D$28</f>
        <v>0.12666581537651095</v>
      </c>
      <c r="K109" s="79">
        <f>J109*$K$105</f>
        <v>292.32316870037323</v>
      </c>
    </row>
    <row r="110" spans="1:11" ht="16.350000000000001" customHeight="1" x14ac:dyDescent="0.25">
      <c r="A110" s="86"/>
      <c r="B110" s="76" t="s">
        <v>109</v>
      </c>
      <c r="C110" s="671" t="s">
        <v>110</v>
      </c>
      <c r="D110" s="671"/>
      <c r="E110" s="671"/>
      <c r="F110" s="671"/>
      <c r="G110" s="671"/>
      <c r="H110" s="671"/>
      <c r="I110" s="671"/>
      <c r="J110" s="262">
        <f>'7 - ENCARGOS SOCIAIS'!$D$32</f>
        <v>5.9231502118822603E-2</v>
      </c>
      <c r="K110" s="79">
        <f>J110*$K$105</f>
        <v>136.69623753488236</v>
      </c>
    </row>
    <row r="111" spans="1:11" ht="16.350000000000001" customHeight="1" x14ac:dyDescent="0.25">
      <c r="A111" s="86"/>
      <c r="B111" s="89"/>
      <c r="C111" s="750" t="s">
        <v>111</v>
      </c>
      <c r="D111" s="750"/>
      <c r="E111" s="750"/>
      <c r="F111" s="750"/>
      <c r="G111" s="750"/>
      <c r="H111" s="750"/>
      <c r="I111" s="750"/>
      <c r="J111" s="90">
        <f>SUM(J107:J110)</f>
        <v>0.70776976896623567</v>
      </c>
      <c r="K111" s="91">
        <f>SUM(K107:K110)</f>
        <v>1633.4123059133478</v>
      </c>
    </row>
    <row r="112" spans="1:11" ht="16.350000000000001" customHeight="1" x14ac:dyDescent="0.25">
      <c r="A112" s="86"/>
      <c r="B112" s="73" t="s">
        <v>112</v>
      </c>
      <c r="C112" s="751" t="s">
        <v>113</v>
      </c>
      <c r="D112" s="751"/>
      <c r="E112" s="751"/>
      <c r="F112" s="751"/>
      <c r="G112" s="751"/>
      <c r="H112" s="74" t="s">
        <v>114</v>
      </c>
      <c r="I112" s="73" t="s">
        <v>115</v>
      </c>
      <c r="J112" s="73" t="s">
        <v>116</v>
      </c>
      <c r="K112" s="73" t="s">
        <v>97</v>
      </c>
    </row>
    <row r="113" spans="1:11" ht="16.350000000000001" customHeight="1" x14ac:dyDescent="0.25">
      <c r="A113" s="86"/>
      <c r="B113" s="76" t="s">
        <v>117</v>
      </c>
      <c r="C113" s="671" t="s">
        <v>156</v>
      </c>
      <c r="D113" s="671"/>
      <c r="E113" s="671"/>
      <c r="F113" s="671"/>
      <c r="G113" s="671"/>
      <c r="H113" s="76">
        <v>26</v>
      </c>
      <c r="I113" s="92">
        <v>27.15</v>
      </c>
      <c r="J113" s="93">
        <v>0.19</v>
      </c>
      <c r="K113" s="94">
        <f>(H113*I113)-((H113*I113)*0.19)</f>
        <v>571.779</v>
      </c>
    </row>
    <row r="114" spans="1:11" ht="16.350000000000001" customHeight="1" x14ac:dyDescent="0.25">
      <c r="A114" s="86"/>
      <c r="B114" s="76" t="s">
        <v>119</v>
      </c>
      <c r="C114" s="671" t="s">
        <v>160</v>
      </c>
      <c r="D114" s="671"/>
      <c r="E114" s="671"/>
      <c r="F114" s="671"/>
      <c r="G114" s="671"/>
      <c r="H114" s="76">
        <f>H113*4</f>
        <v>104</v>
      </c>
      <c r="I114" s="95">
        <v>6.25</v>
      </c>
      <c r="J114" s="93">
        <v>0.06</v>
      </c>
      <c r="K114" s="94">
        <f>(H114*I114)-(K104*0.06)</f>
        <v>511.53020000000004</v>
      </c>
    </row>
    <row r="115" spans="1:11" ht="16.350000000000001" customHeight="1" x14ac:dyDescent="0.25">
      <c r="A115" s="86"/>
      <c r="B115" s="76" t="s">
        <v>121</v>
      </c>
      <c r="C115" s="671" t="s">
        <v>122</v>
      </c>
      <c r="D115" s="671"/>
      <c r="E115" s="671"/>
      <c r="F115" s="671"/>
      <c r="G115" s="671"/>
      <c r="H115" s="77">
        <v>1</v>
      </c>
      <c r="I115" s="92">
        <f>'6 - DADOS CC MO'!E58</f>
        <v>25.52</v>
      </c>
      <c r="J115" s="96"/>
      <c r="K115" s="97">
        <f>I115</f>
        <v>25.52</v>
      </c>
    </row>
    <row r="116" spans="1:11" ht="16.350000000000001" customHeight="1" x14ac:dyDescent="0.25">
      <c r="A116" s="86"/>
      <c r="B116" s="76" t="s">
        <v>152</v>
      </c>
      <c r="C116" s="671" t="s">
        <v>153</v>
      </c>
      <c r="D116" s="671"/>
      <c r="E116" s="671"/>
      <c r="F116" s="671"/>
      <c r="G116" s="671"/>
      <c r="H116" s="77">
        <v>1</v>
      </c>
      <c r="I116" s="92">
        <v>80</v>
      </c>
      <c r="J116" s="96"/>
      <c r="K116" s="97">
        <f>I116</f>
        <v>80</v>
      </c>
    </row>
    <row r="117" spans="1:11" ht="16.350000000000001" customHeight="1" x14ac:dyDescent="0.25">
      <c r="A117" s="86"/>
      <c r="B117" s="96"/>
      <c r="C117" s="748" t="s">
        <v>123</v>
      </c>
      <c r="D117" s="748"/>
      <c r="E117" s="748"/>
      <c r="F117" s="748"/>
      <c r="G117" s="748"/>
      <c r="H117" s="748"/>
      <c r="I117" s="748"/>
      <c r="J117" s="87"/>
      <c r="K117" s="98">
        <f>SUM(K113:K116)</f>
        <v>1188.8292000000001</v>
      </c>
    </row>
    <row r="118" spans="1:11" ht="16.350000000000001" customHeight="1" x14ac:dyDescent="0.25">
      <c r="A118" s="86"/>
      <c r="B118" s="749" t="s">
        <v>154</v>
      </c>
      <c r="C118" s="749"/>
      <c r="D118" s="749"/>
      <c r="E118" s="749"/>
      <c r="F118" s="749"/>
      <c r="G118" s="749"/>
      <c r="H118" s="749"/>
      <c r="I118" s="749"/>
      <c r="J118" s="749"/>
      <c r="K118" s="99">
        <f>K117+K111+K105</f>
        <v>5130.0715059133481</v>
      </c>
    </row>
    <row r="119" spans="1:11" ht="16.350000000000001" customHeight="1" x14ac:dyDescent="0.25">
      <c r="A119" s="86"/>
      <c r="B119" s="838" t="s">
        <v>518</v>
      </c>
      <c r="C119" s="838"/>
      <c r="D119" s="838"/>
      <c r="E119" s="838"/>
      <c r="F119" s="838"/>
      <c r="G119" s="838"/>
      <c r="H119" s="838"/>
      <c r="I119" s="838"/>
      <c r="J119" s="838"/>
      <c r="K119" s="100">
        <f>K118*1</f>
        <v>5130.0715059133481</v>
      </c>
    </row>
    <row r="120" spans="1:11" ht="16.350000000000001" customHeight="1" x14ac:dyDescent="0.25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252"/>
    </row>
    <row r="121" spans="1:11" ht="16.350000000000001" customHeight="1" x14ac:dyDescent="0.25">
      <c r="A121" s="86"/>
      <c r="B121" s="752" t="s">
        <v>521</v>
      </c>
      <c r="C121" s="752"/>
      <c r="D121" s="752"/>
      <c r="E121" s="752"/>
      <c r="F121" s="752"/>
      <c r="G121" s="752"/>
      <c r="H121" s="752"/>
      <c r="I121" s="752"/>
      <c r="J121" s="752"/>
      <c r="K121" s="752"/>
    </row>
    <row r="122" spans="1:11" ht="16.350000000000001" customHeight="1" x14ac:dyDescent="0.25">
      <c r="A122" s="86"/>
      <c r="B122" s="72" t="s">
        <v>95</v>
      </c>
      <c r="C122" s="753" t="s">
        <v>96</v>
      </c>
      <c r="D122" s="753"/>
      <c r="E122" s="753"/>
      <c r="F122" s="753"/>
      <c r="G122" s="753"/>
      <c r="H122" s="74" t="s">
        <v>128</v>
      </c>
      <c r="I122" s="75" t="s">
        <v>129</v>
      </c>
      <c r="J122" s="73" t="s">
        <v>115</v>
      </c>
      <c r="K122" s="73" t="s">
        <v>97</v>
      </c>
    </row>
    <row r="123" spans="1:11" ht="16.350000000000001" customHeight="1" x14ac:dyDescent="0.25">
      <c r="A123" s="86"/>
      <c r="B123" s="76" t="s">
        <v>98</v>
      </c>
      <c r="C123" s="671" t="s">
        <v>99</v>
      </c>
      <c r="D123" s="671"/>
      <c r="E123" s="671"/>
      <c r="F123" s="671"/>
      <c r="G123" s="671"/>
      <c r="H123" s="77">
        <v>220</v>
      </c>
      <c r="I123" s="76" t="s">
        <v>130</v>
      </c>
      <c r="J123" s="78">
        <f>K123/H123</f>
        <v>9.6690909090909081</v>
      </c>
      <c r="K123" s="79">
        <f>'6 - DADOS CC MO'!E34</f>
        <v>2127.1999999999998</v>
      </c>
    </row>
    <row r="124" spans="1:11" ht="16.350000000000001" customHeight="1" x14ac:dyDescent="0.25">
      <c r="A124" s="86"/>
      <c r="B124" s="77" t="s">
        <v>131</v>
      </c>
      <c r="C124" s="83" t="s">
        <v>132</v>
      </c>
      <c r="D124" s="84"/>
      <c r="E124" s="84"/>
      <c r="F124" s="84"/>
      <c r="G124" s="85"/>
      <c r="H124" s="80">
        <v>7.33</v>
      </c>
      <c r="I124" s="77" t="s">
        <v>130</v>
      </c>
      <c r="J124" s="267">
        <f>J123*2</f>
        <v>19.338181818181816</v>
      </c>
      <c r="K124" s="79">
        <f>J124*H124</f>
        <v>141.74887272727273</v>
      </c>
    </row>
    <row r="125" spans="1:11" ht="16.350000000000001" customHeight="1" x14ac:dyDescent="0.25">
      <c r="A125" s="86"/>
      <c r="B125" s="76" t="s">
        <v>133</v>
      </c>
      <c r="C125" s="270" t="s">
        <v>134</v>
      </c>
      <c r="D125" s="271"/>
      <c r="E125" s="271"/>
      <c r="F125" s="271"/>
      <c r="G125" s="217"/>
      <c r="H125" s="80"/>
      <c r="I125" s="76"/>
      <c r="J125" s="78">
        <f>61/304*(SUM(K124))</f>
        <v>28.44303038277512</v>
      </c>
      <c r="K125" s="216">
        <f>J125</f>
        <v>28.44303038277512</v>
      </c>
    </row>
    <row r="126" spans="1:11" ht="16.350000000000001" customHeight="1" x14ac:dyDescent="0.25">
      <c r="A126" s="86"/>
      <c r="B126" s="76" t="s">
        <v>135</v>
      </c>
      <c r="C126" s="671" t="s">
        <v>136</v>
      </c>
      <c r="D126" s="671"/>
      <c r="E126" s="671"/>
      <c r="F126" s="671"/>
      <c r="G126" s="671"/>
      <c r="H126" s="77">
        <v>40</v>
      </c>
      <c r="I126" s="76" t="s">
        <v>89</v>
      </c>
      <c r="J126" s="81"/>
      <c r="K126" s="79">
        <f>K123*40%</f>
        <v>850.88</v>
      </c>
    </row>
    <row r="127" spans="1:11" ht="16.350000000000001" customHeight="1" x14ac:dyDescent="0.25">
      <c r="A127" s="86"/>
      <c r="B127" s="77"/>
      <c r="C127" s="748" t="s">
        <v>100</v>
      </c>
      <c r="D127" s="748"/>
      <c r="E127" s="748"/>
      <c r="F127" s="748"/>
      <c r="G127" s="748"/>
      <c r="H127" s="748"/>
      <c r="I127" s="748"/>
      <c r="J127" s="87"/>
      <c r="K127" s="88">
        <f>SUM(K123:K126)</f>
        <v>3148.2719031100478</v>
      </c>
    </row>
    <row r="128" spans="1:11" ht="16.350000000000001" customHeight="1" x14ac:dyDescent="0.25">
      <c r="A128" s="86"/>
      <c r="B128" s="73" t="s">
        <v>101</v>
      </c>
      <c r="C128" s="753" t="s">
        <v>102</v>
      </c>
      <c r="D128" s="753"/>
      <c r="E128" s="753"/>
      <c r="F128" s="753"/>
      <c r="G128" s="753"/>
      <c r="H128" s="753"/>
      <c r="I128" s="753"/>
      <c r="J128" s="73" t="s">
        <v>89</v>
      </c>
      <c r="K128" s="73" t="s">
        <v>97</v>
      </c>
    </row>
    <row r="129" spans="1:11" ht="16.350000000000001" customHeight="1" x14ac:dyDescent="0.25">
      <c r="A129" s="86"/>
      <c r="B129" s="76" t="s">
        <v>103</v>
      </c>
      <c r="C129" s="671" t="s">
        <v>104</v>
      </c>
      <c r="D129" s="671"/>
      <c r="E129" s="671"/>
      <c r="F129" s="671"/>
      <c r="G129" s="671"/>
      <c r="H129" s="671"/>
      <c r="I129" s="671"/>
      <c r="J129" s="262">
        <f>'7 - ENCARGOS SOCIAIS'!$D$13</f>
        <v>0.36800000000000005</v>
      </c>
      <c r="K129" s="79">
        <f>J129*$K$127</f>
        <v>1158.5640603444976</v>
      </c>
    </row>
    <row r="130" spans="1:11" ht="16.350000000000001" customHeight="1" x14ac:dyDescent="0.25">
      <c r="A130" s="86"/>
      <c r="B130" s="76" t="s">
        <v>105</v>
      </c>
      <c r="C130" s="671" t="s">
        <v>106</v>
      </c>
      <c r="D130" s="671"/>
      <c r="E130" s="671"/>
      <c r="F130" s="671"/>
      <c r="G130" s="671"/>
      <c r="H130" s="671"/>
      <c r="I130" s="671"/>
      <c r="J130" s="262">
        <f>'7 - ENCARGOS SOCIAIS'!$D$21</f>
        <v>0.15387245147090212</v>
      </c>
      <c r="K130" s="79">
        <f>J130*$K$127</f>
        <v>484.43231562850548</v>
      </c>
    </row>
    <row r="131" spans="1:11" ht="16.350000000000001" customHeight="1" x14ac:dyDescent="0.25">
      <c r="A131" s="86"/>
      <c r="B131" s="76" t="s">
        <v>107</v>
      </c>
      <c r="C131" s="671" t="s">
        <v>108</v>
      </c>
      <c r="D131" s="671"/>
      <c r="E131" s="671"/>
      <c r="F131" s="671"/>
      <c r="G131" s="671"/>
      <c r="H131" s="671"/>
      <c r="I131" s="671"/>
      <c r="J131" s="262">
        <f>'7 - ENCARGOS SOCIAIS'!$D$28</f>
        <v>0.12666581537651095</v>
      </c>
      <c r="K131" s="79">
        <f>J131*$K$127</f>
        <v>398.77842763439406</v>
      </c>
    </row>
    <row r="132" spans="1:11" ht="16.350000000000001" customHeight="1" x14ac:dyDescent="0.25">
      <c r="A132" s="86"/>
      <c r="B132" s="76" t="s">
        <v>109</v>
      </c>
      <c r="C132" s="671" t="s">
        <v>110</v>
      </c>
      <c r="D132" s="671"/>
      <c r="E132" s="671"/>
      <c r="F132" s="671"/>
      <c r="G132" s="671"/>
      <c r="H132" s="671"/>
      <c r="I132" s="671"/>
      <c r="J132" s="262">
        <f>'7 - ENCARGOS SOCIAIS'!$D$32</f>
        <v>5.9231502118822603E-2</v>
      </c>
      <c r="K132" s="79">
        <f>J132*$K$127</f>
        <v>186.47687389969246</v>
      </c>
    </row>
    <row r="133" spans="1:11" ht="16.350000000000001" customHeight="1" x14ac:dyDescent="0.25">
      <c r="A133" s="86"/>
      <c r="B133" s="73"/>
      <c r="C133" s="753" t="s">
        <v>111</v>
      </c>
      <c r="D133" s="753"/>
      <c r="E133" s="753"/>
      <c r="F133" s="753"/>
      <c r="G133" s="753"/>
      <c r="H133" s="753"/>
      <c r="I133" s="753"/>
      <c r="J133" s="272">
        <f>SUM(J129:J132)</f>
        <v>0.70776976896623567</v>
      </c>
      <c r="K133" s="273">
        <f>SUM(K129:K132)</f>
        <v>2228.2516775070899</v>
      </c>
    </row>
    <row r="134" spans="1:11" ht="16.350000000000001" customHeight="1" x14ac:dyDescent="0.25">
      <c r="A134" s="86"/>
      <c r="B134" s="89" t="s">
        <v>112</v>
      </c>
      <c r="C134" s="832" t="s">
        <v>113</v>
      </c>
      <c r="D134" s="832"/>
      <c r="E134" s="832"/>
      <c r="F134" s="832"/>
      <c r="G134" s="832"/>
      <c r="H134" s="253" t="s">
        <v>114</v>
      </c>
      <c r="I134" s="89" t="s">
        <v>115</v>
      </c>
      <c r="J134" s="89" t="s">
        <v>116</v>
      </c>
      <c r="K134" s="89" t="s">
        <v>97</v>
      </c>
    </row>
    <row r="135" spans="1:11" ht="16.350000000000001" customHeight="1" x14ac:dyDescent="0.25">
      <c r="A135" s="86"/>
      <c r="B135" s="76" t="s">
        <v>117</v>
      </c>
      <c r="C135" s="671" t="s">
        <v>156</v>
      </c>
      <c r="D135" s="671"/>
      <c r="E135" s="671"/>
      <c r="F135" s="671"/>
      <c r="G135" s="671"/>
      <c r="H135" s="76">
        <v>26</v>
      </c>
      <c r="I135" s="92">
        <v>27.15</v>
      </c>
      <c r="J135" s="93">
        <v>0.19</v>
      </c>
      <c r="K135" s="94">
        <f>(H135*I135)-((H135*I135)*0.19)</f>
        <v>571.779</v>
      </c>
    </row>
    <row r="136" spans="1:11" ht="16.350000000000001" customHeight="1" x14ac:dyDescent="0.25">
      <c r="A136" s="86"/>
      <c r="B136" s="76" t="s">
        <v>119</v>
      </c>
      <c r="C136" s="671" t="s">
        <v>160</v>
      </c>
      <c r="D136" s="671"/>
      <c r="E136" s="671"/>
      <c r="F136" s="671"/>
      <c r="G136" s="671"/>
      <c r="H136" s="76">
        <f>H135*4</f>
        <v>104</v>
      </c>
      <c r="I136" s="95">
        <v>6.25</v>
      </c>
      <c r="J136" s="93">
        <v>0.06</v>
      </c>
      <c r="K136" s="94">
        <f>(H136*I136)-(K123*0.06)</f>
        <v>522.36800000000005</v>
      </c>
    </row>
    <row r="137" spans="1:11" ht="16.350000000000001" customHeight="1" x14ac:dyDescent="0.25">
      <c r="A137" s="86"/>
      <c r="B137" s="76" t="s">
        <v>121</v>
      </c>
      <c r="C137" s="671" t="s">
        <v>122</v>
      </c>
      <c r="D137" s="671"/>
      <c r="E137" s="671"/>
      <c r="F137" s="671"/>
      <c r="G137" s="671"/>
      <c r="H137" s="77">
        <v>1</v>
      </c>
      <c r="I137" s="92">
        <f>'6 - DADOS CC MO'!E37</f>
        <v>25.52</v>
      </c>
      <c r="J137" s="96"/>
      <c r="K137" s="97">
        <f>I137</f>
        <v>25.52</v>
      </c>
    </row>
    <row r="138" spans="1:11" ht="16.350000000000001" customHeight="1" x14ac:dyDescent="0.25">
      <c r="A138" s="86"/>
      <c r="B138" s="96"/>
      <c r="C138" s="748" t="s">
        <v>123</v>
      </c>
      <c r="D138" s="748"/>
      <c r="E138" s="748"/>
      <c r="F138" s="748"/>
      <c r="G138" s="748"/>
      <c r="H138" s="748"/>
      <c r="I138" s="748"/>
      <c r="J138" s="87"/>
      <c r="K138" s="98">
        <f>SUM(K135:K137)</f>
        <v>1119.6669999999999</v>
      </c>
    </row>
    <row r="139" spans="1:11" ht="16.350000000000001" customHeight="1" x14ac:dyDescent="0.25">
      <c r="A139" s="86"/>
      <c r="B139" s="749" t="s">
        <v>157</v>
      </c>
      <c r="C139" s="749"/>
      <c r="D139" s="749"/>
      <c r="E139" s="749"/>
      <c r="F139" s="749"/>
      <c r="G139" s="749"/>
      <c r="H139" s="749"/>
      <c r="I139" s="749"/>
      <c r="J139" s="749"/>
      <c r="K139" s="99">
        <f>K138+K133+K127</f>
        <v>6496.190580617138</v>
      </c>
    </row>
    <row r="140" spans="1:11" ht="16.350000000000001" customHeight="1" x14ac:dyDescent="0.25">
      <c r="A140" s="86"/>
      <c r="B140" s="838" t="s">
        <v>518</v>
      </c>
      <c r="C140" s="838"/>
      <c r="D140" s="838"/>
      <c r="E140" s="838"/>
      <c r="F140" s="838"/>
      <c r="G140" s="838"/>
      <c r="H140" s="838"/>
      <c r="I140" s="838"/>
      <c r="J140" s="838"/>
      <c r="K140" s="100">
        <f>K139*1</f>
        <v>6496.190580617138</v>
      </c>
    </row>
    <row r="141" spans="1:11" ht="16.350000000000001" customHeight="1" x14ac:dyDescent="0.25">
      <c r="A141" s="86"/>
      <c r="B141" s="86"/>
      <c r="C141" s="86"/>
      <c r="D141" s="86"/>
      <c r="E141" s="86"/>
      <c r="F141" s="86"/>
      <c r="G141" s="86"/>
      <c r="H141" s="86"/>
      <c r="I141" s="86"/>
      <c r="J141" s="86"/>
      <c r="K141" s="252"/>
    </row>
    <row r="142" spans="1:11" ht="16.350000000000001" customHeight="1" x14ac:dyDescent="0.25">
      <c r="A142" s="86"/>
      <c r="B142" s="752" t="s">
        <v>522</v>
      </c>
      <c r="C142" s="752"/>
      <c r="D142" s="752"/>
      <c r="E142" s="752"/>
      <c r="F142" s="752"/>
      <c r="G142" s="752"/>
      <c r="H142" s="752"/>
      <c r="I142" s="752"/>
      <c r="J142" s="752"/>
      <c r="K142" s="752"/>
    </row>
    <row r="143" spans="1:11" ht="16.350000000000001" customHeight="1" x14ac:dyDescent="0.25">
      <c r="A143" s="86"/>
      <c r="B143" s="72" t="s">
        <v>95</v>
      </c>
      <c r="C143" s="753" t="s">
        <v>96</v>
      </c>
      <c r="D143" s="753"/>
      <c r="E143" s="753"/>
      <c r="F143" s="753"/>
      <c r="G143" s="753"/>
      <c r="H143" s="74" t="s">
        <v>128</v>
      </c>
      <c r="I143" s="75" t="s">
        <v>129</v>
      </c>
      <c r="J143" s="73" t="s">
        <v>115</v>
      </c>
      <c r="K143" s="73" t="s">
        <v>97</v>
      </c>
    </row>
    <row r="144" spans="1:11" ht="16.350000000000001" customHeight="1" x14ac:dyDescent="0.25">
      <c r="A144" s="86"/>
      <c r="B144" s="76" t="s">
        <v>98</v>
      </c>
      <c r="C144" s="671" t="s">
        <v>99</v>
      </c>
      <c r="D144" s="671"/>
      <c r="E144" s="671"/>
      <c r="F144" s="671"/>
      <c r="G144" s="671"/>
      <c r="H144" s="77">
        <v>220</v>
      </c>
      <c r="I144" s="76" t="s">
        <v>130</v>
      </c>
      <c r="J144" s="78">
        <f>K144/H144</f>
        <v>9.6690909090909081</v>
      </c>
      <c r="K144" s="79">
        <f>'6 - DADOS CC MO'!E34</f>
        <v>2127.1999999999998</v>
      </c>
    </row>
    <row r="145" spans="1:11" ht="16.350000000000001" customHeight="1" x14ac:dyDescent="0.25">
      <c r="A145" s="86"/>
      <c r="B145" s="754" t="s">
        <v>135</v>
      </c>
      <c r="C145" s="755" t="s">
        <v>139</v>
      </c>
      <c r="D145" s="755"/>
      <c r="E145" s="755"/>
      <c r="F145" s="755"/>
      <c r="G145" s="755"/>
      <c r="H145" s="80">
        <v>112.67</v>
      </c>
      <c r="I145" s="77" t="s">
        <v>140</v>
      </c>
      <c r="J145" s="274"/>
      <c r="K145" s="79"/>
    </row>
    <row r="146" spans="1:11" ht="16.350000000000001" customHeight="1" x14ac:dyDescent="0.25">
      <c r="A146" s="86"/>
      <c r="B146" s="754"/>
      <c r="C146" s="755"/>
      <c r="D146" s="755"/>
      <c r="E146" s="755"/>
      <c r="F146" s="755"/>
      <c r="G146" s="755"/>
      <c r="H146" s="82">
        <v>128.76</v>
      </c>
      <c r="I146" s="77" t="s">
        <v>141</v>
      </c>
      <c r="J146" s="267">
        <f>J144*0.2</f>
        <v>1.9338181818181817</v>
      </c>
      <c r="K146" s="79">
        <f>J146*H146</f>
        <v>248.99842909090904</v>
      </c>
    </row>
    <row r="147" spans="1:11" ht="16.350000000000001" customHeight="1" x14ac:dyDescent="0.25">
      <c r="A147" s="86"/>
      <c r="B147" s="76" t="s">
        <v>142</v>
      </c>
      <c r="C147" s="83" t="s">
        <v>132</v>
      </c>
      <c r="D147" s="84"/>
      <c r="E147" s="84"/>
      <c r="F147" s="84"/>
      <c r="G147" s="85"/>
      <c r="H147" s="80">
        <f>7+1/3-H148</f>
        <v>3</v>
      </c>
      <c r="I147" s="77" t="s">
        <v>130</v>
      </c>
      <c r="J147" s="267">
        <f>J144*2</f>
        <v>19.338181818181816</v>
      </c>
      <c r="K147" s="79">
        <f>J147*H147</f>
        <v>58.014545454545448</v>
      </c>
    </row>
    <row r="148" spans="1:11" ht="16.350000000000001" customHeight="1" x14ac:dyDescent="0.25">
      <c r="A148" s="86"/>
      <c r="B148" s="76" t="s">
        <v>143</v>
      </c>
      <c r="C148" s="83" t="s">
        <v>144</v>
      </c>
      <c r="D148" s="84"/>
      <c r="E148" s="84"/>
      <c r="F148" s="84"/>
      <c r="G148" s="85"/>
      <c r="H148" s="80">
        <f>4+1/3</f>
        <v>4.333333333333333</v>
      </c>
      <c r="I148" s="77" t="s">
        <v>130</v>
      </c>
      <c r="J148" s="267"/>
      <c r="K148" s="79"/>
    </row>
    <row r="149" spans="1:11" ht="16.350000000000001" customHeight="1" x14ac:dyDescent="0.25">
      <c r="A149" s="86"/>
      <c r="B149" s="76" t="s">
        <v>145</v>
      </c>
      <c r="C149" s="83" t="s">
        <v>146</v>
      </c>
      <c r="D149" s="84"/>
      <c r="E149" s="84"/>
      <c r="F149" s="84"/>
      <c r="G149" s="85"/>
      <c r="H149" s="80">
        <f>H148*8/7</f>
        <v>4.9523809523809517</v>
      </c>
      <c r="I149" s="77" t="s">
        <v>130</v>
      </c>
      <c r="J149" s="267">
        <f>J144*2*1.2</f>
        <v>23.205818181818177</v>
      </c>
      <c r="K149" s="79">
        <f>J149*H149</f>
        <v>114.92405194805191</v>
      </c>
    </row>
    <row r="150" spans="1:11" ht="16.350000000000001" customHeight="1" x14ac:dyDescent="0.25">
      <c r="A150" s="86"/>
      <c r="B150" s="76" t="s">
        <v>147</v>
      </c>
      <c r="C150" s="83" t="s">
        <v>159</v>
      </c>
      <c r="D150" s="84"/>
      <c r="E150" s="84"/>
      <c r="F150" s="84"/>
      <c r="G150" s="85"/>
      <c r="H150" s="77"/>
      <c r="I150" s="86"/>
      <c r="J150" s="267">
        <f>61/304*(SUM(K146:K149))</f>
        <v>84.664995447710169</v>
      </c>
      <c r="K150" s="79">
        <f>J150</f>
        <v>84.664995447710169</v>
      </c>
    </row>
    <row r="151" spans="1:11" ht="16.350000000000001" customHeight="1" x14ac:dyDescent="0.25">
      <c r="A151" s="86"/>
      <c r="B151" s="76" t="s">
        <v>148</v>
      </c>
      <c r="C151" s="671" t="s">
        <v>136</v>
      </c>
      <c r="D151" s="671"/>
      <c r="E151" s="671"/>
      <c r="F151" s="671"/>
      <c r="G151" s="671"/>
      <c r="H151" s="77">
        <v>40</v>
      </c>
      <c r="I151" s="76" t="s">
        <v>89</v>
      </c>
      <c r="J151" s="81"/>
      <c r="K151" s="79">
        <f>K144*40%</f>
        <v>850.88</v>
      </c>
    </row>
    <row r="152" spans="1:11" ht="16.350000000000001" customHeight="1" x14ac:dyDescent="0.25">
      <c r="A152" s="86"/>
      <c r="B152" s="77"/>
      <c r="C152" s="748" t="s">
        <v>100</v>
      </c>
      <c r="D152" s="748"/>
      <c r="E152" s="748"/>
      <c r="F152" s="748"/>
      <c r="G152" s="748"/>
      <c r="H152" s="748"/>
      <c r="I152" s="748"/>
      <c r="J152" s="87"/>
      <c r="K152" s="88">
        <f>SUM(K144:K151)</f>
        <v>3484.6820219412166</v>
      </c>
    </row>
    <row r="153" spans="1:11" ht="16.350000000000001" customHeight="1" x14ac:dyDescent="0.25">
      <c r="A153" s="86"/>
      <c r="B153" s="73" t="s">
        <v>101</v>
      </c>
      <c r="C153" s="753" t="s">
        <v>102</v>
      </c>
      <c r="D153" s="753"/>
      <c r="E153" s="753"/>
      <c r="F153" s="753"/>
      <c r="G153" s="753"/>
      <c r="H153" s="753"/>
      <c r="I153" s="753"/>
      <c r="J153" s="73" t="s">
        <v>89</v>
      </c>
      <c r="K153" s="73" t="s">
        <v>97</v>
      </c>
    </row>
    <row r="154" spans="1:11" ht="16.350000000000001" customHeight="1" x14ac:dyDescent="0.25">
      <c r="A154" s="86"/>
      <c r="B154" s="76" t="s">
        <v>103</v>
      </c>
      <c r="C154" s="671" t="s">
        <v>104</v>
      </c>
      <c r="D154" s="671"/>
      <c r="E154" s="671"/>
      <c r="F154" s="671"/>
      <c r="G154" s="671"/>
      <c r="H154" s="671"/>
      <c r="I154" s="671"/>
      <c r="J154" s="262">
        <f>'7 - ENCARGOS SOCIAIS'!$D$13</f>
        <v>0.36800000000000005</v>
      </c>
      <c r="K154" s="79">
        <f>J154*K152</f>
        <v>1282.3629840743679</v>
      </c>
    </row>
    <row r="155" spans="1:11" ht="16.350000000000001" customHeight="1" x14ac:dyDescent="0.25">
      <c r="A155" s="86"/>
      <c r="B155" s="76" t="s">
        <v>105</v>
      </c>
      <c r="C155" s="671" t="s">
        <v>106</v>
      </c>
      <c r="D155" s="671"/>
      <c r="E155" s="671"/>
      <c r="F155" s="671"/>
      <c r="G155" s="671"/>
      <c r="H155" s="671"/>
      <c r="I155" s="671"/>
      <c r="J155" s="262">
        <f>'7 - ENCARGOS SOCIAIS'!$D$21</f>
        <v>0.15387245147090212</v>
      </c>
      <c r="K155" s="79">
        <f>J155*K152</f>
        <v>536.19656531267492</v>
      </c>
    </row>
    <row r="156" spans="1:11" ht="16.350000000000001" customHeight="1" x14ac:dyDescent="0.25">
      <c r="A156" s="86"/>
      <c r="B156" s="76" t="s">
        <v>107</v>
      </c>
      <c r="C156" s="671" t="s">
        <v>108</v>
      </c>
      <c r="D156" s="671"/>
      <c r="E156" s="671"/>
      <c r="F156" s="671"/>
      <c r="G156" s="671"/>
      <c r="H156" s="671"/>
      <c r="I156" s="671"/>
      <c r="J156" s="262">
        <f>'7 - ENCARGOS SOCIAIS'!$D$28</f>
        <v>0.12666581537651095</v>
      </c>
      <c r="K156" s="79">
        <f>J156*K152</f>
        <v>441.39008963705299</v>
      </c>
    </row>
    <row r="157" spans="1:11" ht="16.350000000000001" customHeight="1" x14ac:dyDescent="0.25">
      <c r="A157" s="86"/>
      <c r="B157" s="76" t="s">
        <v>109</v>
      </c>
      <c r="C157" s="671" t="s">
        <v>110</v>
      </c>
      <c r="D157" s="671"/>
      <c r="E157" s="671"/>
      <c r="F157" s="671"/>
      <c r="G157" s="671"/>
      <c r="H157" s="671"/>
      <c r="I157" s="671"/>
      <c r="J157" s="262">
        <f>'7 - ENCARGOS SOCIAIS'!$D$32</f>
        <v>5.9231502118822603E-2</v>
      </c>
      <c r="K157" s="79">
        <f>J157*K152</f>
        <v>206.40295056603421</v>
      </c>
    </row>
    <row r="158" spans="1:11" ht="16.350000000000001" customHeight="1" x14ac:dyDescent="0.25">
      <c r="A158" s="86"/>
      <c r="B158" s="89"/>
      <c r="C158" s="750" t="s">
        <v>111</v>
      </c>
      <c r="D158" s="750"/>
      <c r="E158" s="750"/>
      <c r="F158" s="750"/>
      <c r="G158" s="750"/>
      <c r="H158" s="750"/>
      <c r="I158" s="750"/>
      <c r="J158" s="90">
        <f>SUM(J154:J157)</f>
        <v>0.70776976896623567</v>
      </c>
      <c r="K158" s="91">
        <f>SUM(K154:K157)</f>
        <v>2466.3525895901298</v>
      </c>
    </row>
    <row r="159" spans="1:11" ht="16.350000000000001" customHeight="1" x14ac:dyDescent="0.25">
      <c r="A159" s="86"/>
      <c r="B159" s="73" t="s">
        <v>112</v>
      </c>
      <c r="C159" s="751" t="s">
        <v>113</v>
      </c>
      <c r="D159" s="751"/>
      <c r="E159" s="751"/>
      <c r="F159" s="751"/>
      <c r="G159" s="751"/>
      <c r="H159" s="74" t="s">
        <v>114</v>
      </c>
      <c r="I159" s="73" t="s">
        <v>115</v>
      </c>
      <c r="J159" s="73" t="s">
        <v>116</v>
      </c>
      <c r="K159" s="73" t="s">
        <v>97</v>
      </c>
    </row>
    <row r="160" spans="1:11" ht="16.350000000000001" customHeight="1" x14ac:dyDescent="0.25">
      <c r="A160" s="86"/>
      <c r="B160" s="76" t="s">
        <v>117</v>
      </c>
      <c r="C160" s="671" t="s">
        <v>156</v>
      </c>
      <c r="D160" s="671"/>
      <c r="E160" s="671"/>
      <c r="F160" s="671"/>
      <c r="G160" s="671"/>
      <c r="H160" s="76">
        <v>26</v>
      </c>
      <c r="I160" s="92">
        <v>27.15</v>
      </c>
      <c r="J160" s="93">
        <v>0.19</v>
      </c>
      <c r="K160" s="94">
        <f>(H160*I160)-((H160*I160)*0.19)</f>
        <v>571.779</v>
      </c>
    </row>
    <row r="161" spans="1:11" ht="16.350000000000001" customHeight="1" x14ac:dyDescent="0.25">
      <c r="A161" s="86"/>
      <c r="B161" s="76" t="s">
        <v>119</v>
      </c>
      <c r="C161" s="671" t="s">
        <v>160</v>
      </c>
      <c r="D161" s="671"/>
      <c r="E161" s="671"/>
      <c r="F161" s="671"/>
      <c r="G161" s="671"/>
      <c r="H161" s="76">
        <f>H160*4</f>
        <v>104</v>
      </c>
      <c r="I161" s="95">
        <v>6.25</v>
      </c>
      <c r="J161" s="93">
        <v>0.06</v>
      </c>
      <c r="K161" s="94">
        <f>(H161*I161)-(K144*0.06)</f>
        <v>522.36800000000005</v>
      </c>
    </row>
    <row r="162" spans="1:11" ht="16.350000000000001" customHeight="1" x14ac:dyDescent="0.25">
      <c r="A162" s="86"/>
      <c r="B162" s="76" t="s">
        <v>121</v>
      </c>
      <c r="C162" s="671" t="s">
        <v>122</v>
      </c>
      <c r="D162" s="671"/>
      <c r="E162" s="671"/>
      <c r="F162" s="671"/>
      <c r="G162" s="671"/>
      <c r="H162" s="77">
        <v>1</v>
      </c>
      <c r="I162" s="92">
        <f>'6 - DADOS CC MO'!E37</f>
        <v>25.52</v>
      </c>
      <c r="J162" s="96"/>
      <c r="K162" s="97">
        <f>I162</f>
        <v>25.52</v>
      </c>
    </row>
    <row r="163" spans="1:11" ht="16.350000000000001" customHeight="1" x14ac:dyDescent="0.25">
      <c r="A163" s="86"/>
      <c r="B163" s="96"/>
      <c r="C163" s="748" t="s">
        <v>123</v>
      </c>
      <c r="D163" s="748"/>
      <c r="E163" s="748"/>
      <c r="F163" s="748"/>
      <c r="G163" s="748"/>
      <c r="H163" s="748"/>
      <c r="I163" s="748"/>
      <c r="J163" s="87"/>
      <c r="K163" s="98">
        <f>SUM(K160:K162)</f>
        <v>1119.6669999999999</v>
      </c>
    </row>
    <row r="164" spans="1:11" ht="16.350000000000001" customHeight="1" x14ac:dyDescent="0.25">
      <c r="A164" s="86"/>
      <c r="B164" s="749" t="s">
        <v>157</v>
      </c>
      <c r="C164" s="749"/>
      <c r="D164" s="749"/>
      <c r="E164" s="749"/>
      <c r="F164" s="749"/>
      <c r="G164" s="749"/>
      <c r="H164" s="749"/>
      <c r="I164" s="749"/>
      <c r="J164" s="749"/>
      <c r="K164" s="99">
        <f>K163+K158+K152</f>
        <v>7070.7016115313463</v>
      </c>
    </row>
    <row r="165" spans="1:11" ht="16.350000000000001" customHeight="1" x14ac:dyDescent="0.25">
      <c r="A165" s="86"/>
      <c r="B165" s="838" t="s">
        <v>518</v>
      </c>
      <c r="C165" s="838"/>
      <c r="D165" s="838"/>
      <c r="E165" s="838"/>
      <c r="F165" s="838"/>
      <c r="G165" s="838"/>
      <c r="H165" s="838"/>
      <c r="I165" s="838"/>
      <c r="J165" s="838"/>
      <c r="K165" s="100">
        <f>K164*1</f>
        <v>7070.7016115313463</v>
      </c>
    </row>
    <row r="166" spans="1:11" ht="16.350000000000001" customHeight="1" x14ac:dyDescent="0.25">
      <c r="A166" s="86"/>
      <c r="B166" s="86"/>
      <c r="C166" s="86"/>
      <c r="D166" s="86"/>
      <c r="E166" s="86"/>
      <c r="F166" s="86"/>
      <c r="G166" s="86"/>
      <c r="H166" s="86"/>
      <c r="I166" s="86"/>
      <c r="J166" s="86"/>
      <c r="K166" s="252"/>
    </row>
    <row r="167" spans="1:11" ht="16.350000000000001" customHeight="1" x14ac:dyDescent="0.25">
      <c r="A167" s="86"/>
      <c r="B167" s="752" t="s">
        <v>523</v>
      </c>
      <c r="C167" s="752"/>
      <c r="D167" s="752"/>
      <c r="E167" s="752"/>
      <c r="F167" s="752"/>
      <c r="G167" s="752"/>
      <c r="H167" s="752"/>
      <c r="I167" s="752"/>
      <c r="J167" s="752"/>
      <c r="K167" s="752"/>
    </row>
    <row r="168" spans="1:11" ht="16.350000000000001" customHeight="1" x14ac:dyDescent="0.25">
      <c r="A168" s="86"/>
      <c r="B168" s="72" t="s">
        <v>95</v>
      </c>
      <c r="C168" s="753" t="s">
        <v>96</v>
      </c>
      <c r="D168" s="753"/>
      <c r="E168" s="753"/>
      <c r="F168" s="753"/>
      <c r="G168" s="753"/>
      <c r="H168" s="74" t="s">
        <v>128</v>
      </c>
      <c r="I168" s="75" t="s">
        <v>129</v>
      </c>
      <c r="J168" s="73" t="s">
        <v>115</v>
      </c>
      <c r="K168" s="73" t="s">
        <v>97</v>
      </c>
    </row>
    <row r="169" spans="1:11" ht="16.350000000000001" customHeight="1" x14ac:dyDescent="0.25">
      <c r="A169" s="86"/>
      <c r="B169" s="76" t="s">
        <v>98</v>
      </c>
      <c r="C169" s="671" t="s">
        <v>99</v>
      </c>
      <c r="D169" s="671"/>
      <c r="E169" s="671"/>
      <c r="F169" s="671"/>
      <c r="G169" s="671"/>
      <c r="H169" s="77">
        <v>220</v>
      </c>
      <c r="I169" s="76" t="s">
        <v>130</v>
      </c>
      <c r="J169" s="78">
        <f>K169/H169</f>
        <v>8.6198181818181805</v>
      </c>
      <c r="K169" s="79">
        <f>'6 - DADOS CC MO'!E45</f>
        <v>1896.36</v>
      </c>
    </row>
    <row r="170" spans="1:11" ht="16.350000000000001" customHeight="1" x14ac:dyDescent="0.25">
      <c r="A170" s="86"/>
      <c r="B170" s="77" t="s">
        <v>131</v>
      </c>
      <c r="C170" s="83" t="s">
        <v>132</v>
      </c>
      <c r="D170" s="84"/>
      <c r="E170" s="84"/>
      <c r="F170" s="84"/>
      <c r="G170" s="85"/>
      <c r="H170" s="80">
        <v>7.33</v>
      </c>
      <c r="I170" s="77" t="s">
        <v>130</v>
      </c>
      <c r="J170" s="267">
        <f>J169*2</f>
        <v>17.239636363636361</v>
      </c>
      <c r="K170" s="79">
        <f>J170*H170</f>
        <v>126.36653454545453</v>
      </c>
    </row>
    <row r="171" spans="1:11" ht="16.350000000000001" customHeight="1" x14ac:dyDescent="0.25">
      <c r="A171" s="86"/>
      <c r="B171" s="76" t="s">
        <v>133</v>
      </c>
      <c r="C171" s="270" t="s">
        <v>134</v>
      </c>
      <c r="D171" s="271"/>
      <c r="E171" s="271"/>
      <c r="F171" s="271"/>
      <c r="G171" s="217"/>
      <c r="H171" s="80"/>
      <c r="I171" s="76"/>
      <c r="J171" s="78">
        <f>61/304*(SUM(K170))</f>
        <v>25.356442787081338</v>
      </c>
      <c r="K171" s="216">
        <f>J171</f>
        <v>25.356442787081338</v>
      </c>
    </row>
    <row r="172" spans="1:11" ht="16.350000000000001" customHeight="1" x14ac:dyDescent="0.25">
      <c r="A172" s="86"/>
      <c r="B172" s="76" t="s">
        <v>135</v>
      </c>
      <c r="C172" s="671" t="s">
        <v>136</v>
      </c>
      <c r="D172" s="671"/>
      <c r="E172" s="671"/>
      <c r="F172" s="671"/>
      <c r="G172" s="671"/>
      <c r="H172" s="77">
        <v>40</v>
      </c>
      <c r="I172" s="76" t="s">
        <v>89</v>
      </c>
      <c r="J172" s="81"/>
      <c r="K172" s="79">
        <f>K169*40%</f>
        <v>758.54399999999998</v>
      </c>
    </row>
    <row r="173" spans="1:11" ht="16.350000000000001" customHeight="1" x14ac:dyDescent="0.25">
      <c r="A173" s="86"/>
      <c r="B173" s="77"/>
      <c r="C173" s="748" t="s">
        <v>100</v>
      </c>
      <c r="D173" s="748"/>
      <c r="E173" s="748"/>
      <c r="F173" s="748"/>
      <c r="G173" s="748"/>
      <c r="H173" s="748"/>
      <c r="I173" s="748"/>
      <c r="J173" s="87"/>
      <c r="K173" s="88">
        <f>SUM(K169:K172)</f>
        <v>2806.6269773325357</v>
      </c>
    </row>
    <row r="174" spans="1:11" ht="16.350000000000001" customHeight="1" x14ac:dyDescent="0.25">
      <c r="A174" s="86"/>
      <c r="B174" s="73" t="s">
        <v>101</v>
      </c>
      <c r="C174" s="753" t="s">
        <v>102</v>
      </c>
      <c r="D174" s="753"/>
      <c r="E174" s="753"/>
      <c r="F174" s="753"/>
      <c r="G174" s="753"/>
      <c r="H174" s="753"/>
      <c r="I174" s="753"/>
      <c r="J174" s="73" t="s">
        <v>89</v>
      </c>
      <c r="K174" s="73" t="s">
        <v>97</v>
      </c>
    </row>
    <row r="175" spans="1:11" ht="16.350000000000001" customHeight="1" x14ac:dyDescent="0.25">
      <c r="A175" s="86"/>
      <c r="B175" s="76" t="s">
        <v>103</v>
      </c>
      <c r="C175" s="671" t="s">
        <v>104</v>
      </c>
      <c r="D175" s="671"/>
      <c r="E175" s="671"/>
      <c r="F175" s="671"/>
      <c r="G175" s="671"/>
      <c r="H175" s="671"/>
      <c r="I175" s="671"/>
      <c r="J175" s="262">
        <f>'7 - ENCARGOS SOCIAIS'!$D$13</f>
        <v>0.36800000000000005</v>
      </c>
      <c r="K175" s="79">
        <f>J175*$K$173</f>
        <v>1032.8387276583733</v>
      </c>
    </row>
    <row r="176" spans="1:11" ht="16.350000000000001" customHeight="1" x14ac:dyDescent="0.25">
      <c r="A176" s="86"/>
      <c r="B176" s="76" t="s">
        <v>105</v>
      </c>
      <c r="C176" s="671" t="s">
        <v>106</v>
      </c>
      <c r="D176" s="671"/>
      <c r="E176" s="671"/>
      <c r="F176" s="671"/>
      <c r="G176" s="671"/>
      <c r="H176" s="671"/>
      <c r="I176" s="671"/>
      <c r="J176" s="262">
        <f>'7 - ENCARGOS SOCIAIS'!$D$21</f>
        <v>0.15387245147090212</v>
      </c>
      <c r="K176" s="79">
        <f>J176*$K$173</f>
        <v>431.86257336652528</v>
      </c>
    </row>
    <row r="177" spans="1:11" ht="16.350000000000001" customHeight="1" x14ac:dyDescent="0.25">
      <c r="A177" s="86"/>
      <c r="B177" s="76" t="s">
        <v>107</v>
      </c>
      <c r="C177" s="671" t="s">
        <v>108</v>
      </c>
      <c r="D177" s="671"/>
      <c r="E177" s="671"/>
      <c r="F177" s="671"/>
      <c r="G177" s="671"/>
      <c r="H177" s="671"/>
      <c r="I177" s="671"/>
      <c r="J177" s="262">
        <f>'7 - ENCARGOS SOCIAIS'!$D$28</f>
        <v>0.12666581537651095</v>
      </c>
      <c r="K177" s="79">
        <f>J177*$K$173</f>
        <v>355.50369454153793</v>
      </c>
    </row>
    <row r="178" spans="1:11" ht="16.350000000000001" customHeight="1" x14ac:dyDescent="0.25">
      <c r="A178" s="86"/>
      <c r="B178" s="76" t="s">
        <v>109</v>
      </c>
      <c r="C178" s="671" t="s">
        <v>110</v>
      </c>
      <c r="D178" s="671"/>
      <c r="E178" s="671"/>
      <c r="F178" s="671"/>
      <c r="G178" s="671"/>
      <c r="H178" s="671"/>
      <c r="I178" s="671"/>
      <c r="J178" s="262">
        <f>'7 - ENCARGOS SOCIAIS'!$D$32</f>
        <v>5.9231502118822603E-2</v>
      </c>
      <c r="K178" s="79">
        <f>J178*$K$173</f>
        <v>166.24073175461677</v>
      </c>
    </row>
    <row r="179" spans="1:11" ht="16.350000000000001" customHeight="1" x14ac:dyDescent="0.25">
      <c r="A179" s="86"/>
      <c r="B179" s="89"/>
      <c r="C179" s="750" t="s">
        <v>111</v>
      </c>
      <c r="D179" s="750"/>
      <c r="E179" s="750"/>
      <c r="F179" s="750"/>
      <c r="G179" s="750"/>
      <c r="H179" s="750"/>
      <c r="I179" s="750"/>
      <c r="J179" s="90">
        <f>SUM(J175:J178)</f>
        <v>0.70776976896623567</v>
      </c>
      <c r="K179" s="91">
        <f>SUM(K175:K178)</f>
        <v>1986.4457273210533</v>
      </c>
    </row>
    <row r="180" spans="1:11" ht="16.350000000000001" customHeight="1" x14ac:dyDescent="0.25">
      <c r="A180" s="86"/>
      <c r="B180" s="73" t="s">
        <v>112</v>
      </c>
      <c r="C180" s="751" t="s">
        <v>113</v>
      </c>
      <c r="D180" s="751"/>
      <c r="E180" s="751"/>
      <c r="F180" s="751"/>
      <c r="G180" s="751"/>
      <c r="H180" s="74" t="s">
        <v>114</v>
      </c>
      <c r="I180" s="73" t="s">
        <v>115</v>
      </c>
      <c r="J180" s="73" t="s">
        <v>116</v>
      </c>
      <c r="K180" s="73" t="s">
        <v>97</v>
      </c>
    </row>
    <row r="181" spans="1:11" ht="16.350000000000001" customHeight="1" x14ac:dyDescent="0.25">
      <c r="A181" s="86"/>
      <c r="B181" s="76" t="s">
        <v>117</v>
      </c>
      <c r="C181" s="671" t="s">
        <v>156</v>
      </c>
      <c r="D181" s="671"/>
      <c r="E181" s="671"/>
      <c r="F181" s="671"/>
      <c r="G181" s="671"/>
      <c r="H181" s="76">
        <v>26</v>
      </c>
      <c r="I181" s="92">
        <v>27.15</v>
      </c>
      <c r="J181" s="93">
        <v>0.19</v>
      </c>
      <c r="K181" s="94">
        <f>(H181*I181)-((H181*I181)*0.19)</f>
        <v>571.779</v>
      </c>
    </row>
    <row r="182" spans="1:11" ht="16.350000000000001" customHeight="1" x14ac:dyDescent="0.25">
      <c r="A182" s="86"/>
      <c r="B182" s="76" t="s">
        <v>119</v>
      </c>
      <c r="C182" s="671" t="s">
        <v>160</v>
      </c>
      <c r="D182" s="671"/>
      <c r="E182" s="671"/>
      <c r="F182" s="671"/>
      <c r="G182" s="671"/>
      <c r="H182" s="76">
        <f>H181*4</f>
        <v>104</v>
      </c>
      <c r="I182" s="95">
        <v>6.25</v>
      </c>
      <c r="J182" s="93">
        <v>0.06</v>
      </c>
      <c r="K182" s="94">
        <f>(H182*I182)-(K169*0.06)</f>
        <v>536.21839999999997</v>
      </c>
    </row>
    <row r="183" spans="1:11" ht="16.350000000000001" customHeight="1" x14ac:dyDescent="0.25">
      <c r="A183" s="86"/>
      <c r="B183" s="76" t="s">
        <v>121</v>
      </c>
      <c r="C183" s="671" t="s">
        <v>122</v>
      </c>
      <c r="D183" s="671"/>
      <c r="E183" s="671"/>
      <c r="F183" s="671"/>
      <c r="G183" s="671"/>
      <c r="H183" s="77">
        <v>1</v>
      </c>
      <c r="I183" s="92">
        <f>'6 - DADOS CC MO'!E48</f>
        <v>25.52</v>
      </c>
      <c r="J183" s="96"/>
      <c r="K183" s="97">
        <f>I183</f>
        <v>25.52</v>
      </c>
    </row>
    <row r="184" spans="1:11" ht="16.350000000000001" customHeight="1" x14ac:dyDescent="0.25">
      <c r="A184" s="86"/>
      <c r="B184" s="96"/>
      <c r="C184" s="748" t="s">
        <v>123</v>
      </c>
      <c r="D184" s="748"/>
      <c r="E184" s="748"/>
      <c r="F184" s="748"/>
      <c r="G184" s="748"/>
      <c r="H184" s="748"/>
      <c r="I184" s="748"/>
      <c r="J184" s="87"/>
      <c r="K184" s="98">
        <f>SUM(K181:K183)</f>
        <v>1133.5174</v>
      </c>
    </row>
    <row r="185" spans="1:11" ht="16.350000000000001" customHeight="1" x14ac:dyDescent="0.25">
      <c r="A185" s="86"/>
      <c r="B185" s="749" t="s">
        <v>162</v>
      </c>
      <c r="C185" s="749"/>
      <c r="D185" s="749"/>
      <c r="E185" s="749"/>
      <c r="F185" s="749"/>
      <c r="G185" s="749"/>
      <c r="H185" s="749"/>
      <c r="I185" s="749"/>
      <c r="J185" s="749"/>
      <c r="K185" s="99">
        <f>K184+K179+K173</f>
        <v>5926.5901046535892</v>
      </c>
    </row>
    <row r="186" spans="1:11" ht="16.350000000000001" customHeight="1" x14ac:dyDescent="0.25">
      <c r="A186" s="86"/>
      <c r="B186" s="838" t="s">
        <v>518</v>
      </c>
      <c r="C186" s="838"/>
      <c r="D186" s="838"/>
      <c r="E186" s="838"/>
      <c r="F186" s="838"/>
      <c r="G186" s="838"/>
      <c r="H186" s="838"/>
      <c r="I186" s="838"/>
      <c r="J186" s="838"/>
      <c r="K186" s="100">
        <f>K185*1</f>
        <v>5926.5901046535892</v>
      </c>
    </row>
    <row r="187" spans="1:11" ht="16.350000000000001" customHeight="1" x14ac:dyDescent="0.25">
      <c r="A187" s="86"/>
      <c r="B187" s="86"/>
      <c r="C187" s="86"/>
      <c r="D187" s="86"/>
      <c r="E187" s="86"/>
      <c r="F187" s="86"/>
      <c r="G187" s="86"/>
      <c r="H187" s="86"/>
      <c r="I187" s="86"/>
      <c r="J187" s="86"/>
      <c r="K187" s="252"/>
    </row>
    <row r="188" spans="1:11" ht="16.350000000000001" customHeight="1" x14ac:dyDescent="0.25">
      <c r="A188" s="86"/>
      <c r="B188" s="752" t="s">
        <v>524</v>
      </c>
      <c r="C188" s="752"/>
      <c r="D188" s="752"/>
      <c r="E188" s="752"/>
      <c r="F188" s="752"/>
      <c r="G188" s="752"/>
      <c r="H188" s="752"/>
      <c r="I188" s="752"/>
      <c r="J188" s="752"/>
      <c r="K188" s="752"/>
    </row>
    <row r="189" spans="1:11" ht="16.350000000000001" customHeight="1" x14ac:dyDescent="0.25">
      <c r="A189" s="86"/>
      <c r="B189" s="72" t="s">
        <v>95</v>
      </c>
      <c r="C189" s="753" t="s">
        <v>96</v>
      </c>
      <c r="D189" s="753"/>
      <c r="E189" s="753"/>
      <c r="F189" s="753"/>
      <c r="G189" s="753"/>
      <c r="H189" s="74" t="s">
        <v>128</v>
      </c>
      <c r="I189" s="75" t="s">
        <v>129</v>
      </c>
      <c r="J189" s="73" t="s">
        <v>115</v>
      </c>
      <c r="K189" s="73" t="s">
        <v>97</v>
      </c>
    </row>
    <row r="190" spans="1:11" ht="16.350000000000001" customHeight="1" x14ac:dyDescent="0.25">
      <c r="A190" s="86"/>
      <c r="B190" s="76" t="s">
        <v>98</v>
      </c>
      <c r="C190" s="671" t="s">
        <v>99</v>
      </c>
      <c r="D190" s="671"/>
      <c r="E190" s="671"/>
      <c r="F190" s="671"/>
      <c r="G190" s="671"/>
      <c r="H190" s="77">
        <v>220</v>
      </c>
      <c r="I190" s="76" t="s">
        <v>130</v>
      </c>
      <c r="J190" s="78">
        <f>K190/H190</f>
        <v>8.6198181818181805</v>
      </c>
      <c r="K190" s="79">
        <f>'6 - DADOS CC MO'!E45</f>
        <v>1896.36</v>
      </c>
    </row>
    <row r="191" spans="1:11" ht="16.350000000000001" customHeight="1" x14ac:dyDescent="0.25">
      <c r="A191" s="86"/>
      <c r="B191" s="754" t="s">
        <v>135</v>
      </c>
      <c r="C191" s="755" t="s">
        <v>139</v>
      </c>
      <c r="D191" s="755"/>
      <c r="E191" s="755"/>
      <c r="F191" s="755"/>
      <c r="G191" s="755"/>
      <c r="H191" s="80">
        <v>112.67</v>
      </c>
      <c r="I191" s="77" t="s">
        <v>140</v>
      </c>
      <c r="J191" s="81"/>
      <c r="K191" s="79"/>
    </row>
    <row r="192" spans="1:11" ht="16.350000000000001" customHeight="1" x14ac:dyDescent="0.25">
      <c r="A192" s="86"/>
      <c r="B192" s="754"/>
      <c r="C192" s="755"/>
      <c r="D192" s="755"/>
      <c r="E192" s="755"/>
      <c r="F192" s="755"/>
      <c r="G192" s="755"/>
      <c r="H192" s="82">
        <v>128.76</v>
      </c>
      <c r="I192" s="77" t="s">
        <v>141</v>
      </c>
      <c r="J192" s="267">
        <f>J190*0.2</f>
        <v>1.7239636363636361</v>
      </c>
      <c r="K192" s="79">
        <f>J192*H192</f>
        <v>221.97755781818177</v>
      </c>
    </row>
    <row r="193" spans="1:11" ht="16.350000000000001" customHeight="1" x14ac:dyDescent="0.25">
      <c r="A193" s="86"/>
      <c r="B193" s="76" t="s">
        <v>142</v>
      </c>
      <c r="C193" s="83" t="s">
        <v>132</v>
      </c>
      <c r="D193" s="84"/>
      <c r="E193" s="84"/>
      <c r="F193" s="84"/>
      <c r="G193" s="85"/>
      <c r="H193" s="80">
        <v>7.33</v>
      </c>
      <c r="I193" s="77" t="s">
        <v>130</v>
      </c>
      <c r="J193" s="267">
        <f>J190*2</f>
        <v>17.239636363636361</v>
      </c>
      <c r="K193" s="79">
        <f>J193*H193</f>
        <v>126.36653454545453</v>
      </c>
    </row>
    <row r="194" spans="1:11" ht="16.350000000000001" customHeight="1" x14ac:dyDescent="0.25">
      <c r="A194" s="86"/>
      <c r="B194" s="76" t="s">
        <v>143</v>
      </c>
      <c r="C194" s="83" t="s">
        <v>144</v>
      </c>
      <c r="D194" s="84"/>
      <c r="E194" s="84"/>
      <c r="F194" s="84"/>
      <c r="G194" s="85"/>
      <c r="H194" s="80">
        <f>4+1/3</f>
        <v>4.333333333333333</v>
      </c>
      <c r="I194" s="77" t="s">
        <v>130</v>
      </c>
      <c r="J194" s="267"/>
      <c r="K194" s="79"/>
    </row>
    <row r="195" spans="1:11" ht="16.350000000000001" customHeight="1" x14ac:dyDescent="0.25">
      <c r="A195" s="86"/>
      <c r="B195" s="76" t="s">
        <v>145</v>
      </c>
      <c r="C195" s="83" t="s">
        <v>146</v>
      </c>
      <c r="D195" s="84"/>
      <c r="E195" s="84"/>
      <c r="F195" s="84"/>
      <c r="G195" s="85"/>
      <c r="H195" s="80">
        <f>H194*8/7</f>
        <v>4.9523809523809517</v>
      </c>
      <c r="I195" s="77" t="s">
        <v>130</v>
      </c>
      <c r="J195" s="267">
        <f>J190*2*1.2</f>
        <v>20.687563636363631</v>
      </c>
      <c r="K195" s="79">
        <f>J195*H195</f>
        <v>102.45269610389606</v>
      </c>
    </row>
    <row r="196" spans="1:11" ht="16.350000000000001" customHeight="1" x14ac:dyDescent="0.25">
      <c r="A196" s="86"/>
      <c r="B196" s="76" t="s">
        <v>147</v>
      </c>
      <c r="C196" s="83" t="s">
        <v>159</v>
      </c>
      <c r="D196" s="84"/>
      <c r="E196" s="84"/>
      <c r="F196" s="84"/>
      <c r="G196" s="85"/>
      <c r="H196" s="77"/>
      <c r="I196" s="86"/>
      <c r="J196" s="267">
        <f>61/304*(SUM(K192:K195))</f>
        <v>90.455934528024585</v>
      </c>
      <c r="K196" s="79">
        <f>J196</f>
        <v>90.455934528024585</v>
      </c>
    </row>
    <row r="197" spans="1:11" ht="16.350000000000001" customHeight="1" x14ac:dyDescent="0.25">
      <c r="A197" s="86"/>
      <c r="B197" s="76" t="s">
        <v>148</v>
      </c>
      <c r="C197" s="671" t="s">
        <v>136</v>
      </c>
      <c r="D197" s="671"/>
      <c r="E197" s="671"/>
      <c r="F197" s="671"/>
      <c r="G197" s="671"/>
      <c r="H197" s="77">
        <v>40</v>
      </c>
      <c r="I197" s="76" t="s">
        <v>89</v>
      </c>
      <c r="J197" s="81"/>
      <c r="K197" s="79">
        <f>K190*40%</f>
        <v>758.54399999999998</v>
      </c>
    </row>
    <row r="198" spans="1:11" ht="16.350000000000001" customHeight="1" x14ac:dyDescent="0.25">
      <c r="A198" s="86"/>
      <c r="B198" s="77"/>
      <c r="C198" s="748" t="s">
        <v>100</v>
      </c>
      <c r="D198" s="748"/>
      <c r="E198" s="748"/>
      <c r="F198" s="748"/>
      <c r="G198" s="748"/>
      <c r="H198" s="748"/>
      <c r="I198" s="748"/>
      <c r="J198" s="87"/>
      <c r="K198" s="88">
        <f>SUM(K190:K197)</f>
        <v>3196.1567229955567</v>
      </c>
    </row>
    <row r="199" spans="1:11" ht="16.350000000000001" customHeight="1" x14ac:dyDescent="0.25">
      <c r="A199" s="86"/>
      <c r="B199" s="73" t="s">
        <v>101</v>
      </c>
      <c r="C199" s="753" t="s">
        <v>102</v>
      </c>
      <c r="D199" s="753"/>
      <c r="E199" s="753"/>
      <c r="F199" s="753"/>
      <c r="G199" s="753"/>
      <c r="H199" s="753"/>
      <c r="I199" s="753"/>
      <c r="J199" s="73" t="s">
        <v>89</v>
      </c>
      <c r="K199" s="73" t="s">
        <v>97</v>
      </c>
    </row>
    <row r="200" spans="1:11" ht="16.350000000000001" customHeight="1" x14ac:dyDescent="0.25">
      <c r="A200" s="86"/>
      <c r="B200" s="76" t="s">
        <v>103</v>
      </c>
      <c r="C200" s="671" t="s">
        <v>104</v>
      </c>
      <c r="D200" s="671"/>
      <c r="E200" s="671"/>
      <c r="F200" s="671"/>
      <c r="G200" s="671"/>
      <c r="H200" s="671"/>
      <c r="I200" s="671"/>
      <c r="J200" s="262">
        <f>'7 - ENCARGOS SOCIAIS'!$D$13</f>
        <v>0.36800000000000005</v>
      </c>
      <c r="K200" s="79">
        <f>J200*K198</f>
        <v>1176.185674062365</v>
      </c>
    </row>
    <row r="201" spans="1:11" ht="16.350000000000001" customHeight="1" x14ac:dyDescent="0.25">
      <c r="A201" s="86"/>
      <c r="B201" s="76" t="s">
        <v>105</v>
      </c>
      <c r="C201" s="671" t="s">
        <v>106</v>
      </c>
      <c r="D201" s="671"/>
      <c r="E201" s="671"/>
      <c r="F201" s="671"/>
      <c r="G201" s="671"/>
      <c r="H201" s="671"/>
      <c r="I201" s="671"/>
      <c r="J201" s="262">
        <f>'7 - ENCARGOS SOCIAIS'!$D$21</f>
        <v>0.15387245147090212</v>
      </c>
      <c r="K201" s="79">
        <f>J201*K198</f>
        <v>491.80047025253134</v>
      </c>
    </row>
    <row r="202" spans="1:11" ht="16.350000000000001" customHeight="1" x14ac:dyDescent="0.25">
      <c r="A202" s="86"/>
      <c r="B202" s="76" t="s">
        <v>107</v>
      </c>
      <c r="C202" s="671" t="s">
        <v>108</v>
      </c>
      <c r="D202" s="671"/>
      <c r="E202" s="671"/>
      <c r="F202" s="671"/>
      <c r="G202" s="671"/>
      <c r="H202" s="671"/>
      <c r="I202" s="671"/>
      <c r="J202" s="262">
        <f>'7 - ENCARGOS SOCIAIS'!$D$28</f>
        <v>0.12666581537651095</v>
      </c>
      <c r="K202" s="79">
        <f>J202*K198</f>
        <v>404.84379738934945</v>
      </c>
    </row>
    <row r="203" spans="1:11" ht="16.350000000000001" customHeight="1" x14ac:dyDescent="0.25">
      <c r="A203" s="86"/>
      <c r="B203" s="76" t="s">
        <v>109</v>
      </c>
      <c r="C203" s="671" t="s">
        <v>110</v>
      </c>
      <c r="D203" s="671"/>
      <c r="E203" s="671"/>
      <c r="F203" s="671"/>
      <c r="G203" s="671"/>
      <c r="H203" s="671"/>
      <c r="I203" s="671"/>
      <c r="J203" s="262">
        <f>'7 - ENCARGOS SOCIAIS'!$D$32</f>
        <v>5.9231502118822603E-2</v>
      </c>
      <c r="K203" s="79">
        <f>J203*K198</f>
        <v>189.31316371020043</v>
      </c>
    </row>
    <row r="204" spans="1:11" ht="16.350000000000001" customHeight="1" x14ac:dyDescent="0.25">
      <c r="A204" s="86"/>
      <c r="B204" s="89"/>
      <c r="C204" s="750" t="s">
        <v>111</v>
      </c>
      <c r="D204" s="750"/>
      <c r="E204" s="750"/>
      <c r="F204" s="750"/>
      <c r="G204" s="750"/>
      <c r="H204" s="750"/>
      <c r="I204" s="750"/>
      <c r="J204" s="90">
        <f>SUM(J200:J203)</f>
        <v>0.70776976896623567</v>
      </c>
      <c r="K204" s="91">
        <f>SUM(K200:K203)</f>
        <v>2262.1431054144464</v>
      </c>
    </row>
    <row r="205" spans="1:11" ht="16.350000000000001" customHeight="1" x14ac:dyDescent="0.25">
      <c r="A205" s="86"/>
      <c r="B205" s="73" t="s">
        <v>112</v>
      </c>
      <c r="C205" s="751" t="s">
        <v>113</v>
      </c>
      <c r="D205" s="751"/>
      <c r="E205" s="751"/>
      <c r="F205" s="751"/>
      <c r="G205" s="751"/>
      <c r="H205" s="74" t="s">
        <v>114</v>
      </c>
      <c r="I205" s="73" t="s">
        <v>115</v>
      </c>
      <c r="J205" s="73" t="s">
        <v>116</v>
      </c>
      <c r="K205" s="73" t="s">
        <v>97</v>
      </c>
    </row>
    <row r="206" spans="1:11" ht="16.350000000000001" customHeight="1" x14ac:dyDescent="0.25">
      <c r="A206" s="86"/>
      <c r="B206" s="76" t="s">
        <v>117</v>
      </c>
      <c r="C206" s="671" t="s">
        <v>156</v>
      </c>
      <c r="D206" s="671"/>
      <c r="E206" s="671"/>
      <c r="F206" s="671"/>
      <c r="G206" s="671"/>
      <c r="H206" s="76">
        <v>26</v>
      </c>
      <c r="I206" s="92">
        <v>27.15</v>
      </c>
      <c r="J206" s="93">
        <v>0.19</v>
      </c>
      <c r="K206" s="94">
        <f>(H206*I206)-((H206*I206)*0.19)</f>
        <v>571.779</v>
      </c>
    </row>
    <row r="207" spans="1:11" ht="16.350000000000001" customHeight="1" x14ac:dyDescent="0.25">
      <c r="A207" s="86"/>
      <c r="B207" s="76" t="s">
        <v>119</v>
      </c>
      <c r="C207" s="671" t="s">
        <v>160</v>
      </c>
      <c r="D207" s="671"/>
      <c r="E207" s="671"/>
      <c r="F207" s="671"/>
      <c r="G207" s="671"/>
      <c r="H207" s="76">
        <f>H206*4</f>
        <v>104</v>
      </c>
      <c r="I207" s="95">
        <v>6.25</v>
      </c>
      <c r="J207" s="93">
        <v>0.06</v>
      </c>
      <c r="K207" s="94">
        <f>(H207*I207)-(K190*0.06)</f>
        <v>536.21839999999997</v>
      </c>
    </row>
    <row r="208" spans="1:11" ht="16.350000000000001" customHeight="1" x14ac:dyDescent="0.25">
      <c r="A208" s="86"/>
      <c r="B208" s="76" t="s">
        <v>121</v>
      </c>
      <c r="C208" s="671" t="s">
        <v>122</v>
      </c>
      <c r="D208" s="671"/>
      <c r="E208" s="671"/>
      <c r="F208" s="671"/>
      <c r="G208" s="671"/>
      <c r="H208" s="77">
        <v>1</v>
      </c>
      <c r="I208" s="92">
        <f>'6 - DADOS CC MO'!E48</f>
        <v>25.52</v>
      </c>
      <c r="J208" s="96"/>
      <c r="K208" s="97">
        <f>I208</f>
        <v>25.52</v>
      </c>
    </row>
    <row r="209" spans="1:11" ht="16.350000000000001" customHeight="1" x14ac:dyDescent="0.25">
      <c r="A209" s="86"/>
      <c r="B209" s="96"/>
      <c r="C209" s="748" t="s">
        <v>123</v>
      </c>
      <c r="D209" s="748"/>
      <c r="E209" s="748"/>
      <c r="F209" s="748"/>
      <c r="G209" s="748"/>
      <c r="H209" s="748"/>
      <c r="I209" s="748"/>
      <c r="J209" s="87"/>
      <c r="K209" s="98">
        <f>SUM(K206:K208)</f>
        <v>1133.5174</v>
      </c>
    </row>
    <row r="210" spans="1:11" ht="16.350000000000001" customHeight="1" x14ac:dyDescent="0.25">
      <c r="A210" s="86"/>
      <c r="B210" s="749" t="s">
        <v>162</v>
      </c>
      <c r="C210" s="749"/>
      <c r="D210" s="749"/>
      <c r="E210" s="749"/>
      <c r="F210" s="749"/>
      <c r="G210" s="749"/>
      <c r="H210" s="749"/>
      <c r="I210" s="749"/>
      <c r="J210" s="749"/>
      <c r="K210" s="99">
        <f>K209+K204+K198</f>
        <v>6591.8172284100037</v>
      </c>
    </row>
    <row r="211" spans="1:11" ht="16.350000000000001" customHeight="1" x14ac:dyDescent="0.25">
      <c r="A211" s="86"/>
      <c r="B211" s="838" t="s">
        <v>518</v>
      </c>
      <c r="C211" s="838"/>
      <c r="D211" s="838"/>
      <c r="E211" s="838"/>
      <c r="F211" s="838"/>
      <c r="G211" s="838"/>
      <c r="H211" s="838"/>
      <c r="I211" s="838"/>
      <c r="J211" s="838"/>
      <c r="K211" s="100">
        <f>K210*1</f>
        <v>6591.8172284100037</v>
      </c>
    </row>
    <row r="212" spans="1:11" ht="16.350000000000001" customHeight="1" x14ac:dyDescent="0.25">
      <c r="A212" s="86"/>
      <c r="B212" s="86"/>
      <c r="C212" s="86"/>
      <c r="D212" s="86"/>
      <c r="E212" s="86"/>
      <c r="F212" s="86"/>
      <c r="G212" s="86"/>
      <c r="H212" s="86"/>
      <c r="I212" s="86"/>
      <c r="J212" s="86"/>
      <c r="K212" s="252"/>
    </row>
    <row r="213" spans="1:11" ht="16.350000000000001" customHeight="1" x14ac:dyDescent="0.25">
      <c r="A213" s="86"/>
      <c r="B213" s="752" t="s">
        <v>164</v>
      </c>
      <c r="C213" s="752"/>
      <c r="D213" s="752"/>
      <c r="E213" s="752"/>
      <c r="F213" s="752"/>
      <c r="G213" s="752"/>
      <c r="H213" s="752"/>
      <c r="I213" s="752"/>
      <c r="J213" s="752"/>
      <c r="K213" s="752"/>
    </row>
    <row r="214" spans="1:11" ht="16.350000000000001" customHeight="1" x14ac:dyDescent="0.25">
      <c r="A214" s="86"/>
      <c r="B214" s="72" t="s">
        <v>95</v>
      </c>
      <c r="C214" s="753" t="s">
        <v>96</v>
      </c>
      <c r="D214" s="753"/>
      <c r="E214" s="753"/>
      <c r="F214" s="753"/>
      <c r="G214" s="753"/>
      <c r="H214" s="74" t="s">
        <v>128</v>
      </c>
      <c r="I214" s="75" t="s">
        <v>129</v>
      </c>
      <c r="J214" s="73" t="s">
        <v>115</v>
      </c>
      <c r="K214" s="73" t="s">
        <v>97</v>
      </c>
    </row>
    <row r="215" spans="1:11" ht="16.350000000000001" customHeight="1" x14ac:dyDescent="0.25">
      <c r="A215" s="86"/>
      <c r="B215" s="77" t="s">
        <v>98</v>
      </c>
      <c r="C215" s="797" t="s">
        <v>99</v>
      </c>
      <c r="D215" s="797"/>
      <c r="E215" s="797"/>
      <c r="F215" s="797"/>
      <c r="G215" s="797"/>
      <c r="H215" s="77">
        <v>220</v>
      </c>
      <c r="I215" s="76" t="s">
        <v>130</v>
      </c>
      <c r="J215" s="78">
        <f>K215/H215</f>
        <v>8.0266363636363636</v>
      </c>
      <c r="K215" s="79">
        <f>'6 - DADOS CC MO'!E67</f>
        <v>1765.86</v>
      </c>
    </row>
    <row r="216" spans="1:11" ht="16.350000000000001" customHeight="1" x14ac:dyDescent="0.25">
      <c r="A216" s="86"/>
      <c r="B216" s="77" t="s">
        <v>131</v>
      </c>
      <c r="C216" s="83" t="s">
        <v>132</v>
      </c>
      <c r="D216" s="84"/>
      <c r="E216" s="84"/>
      <c r="F216" s="84"/>
      <c r="G216" s="85"/>
      <c r="H216" s="80">
        <v>7.33</v>
      </c>
      <c r="I216" s="77" t="s">
        <v>130</v>
      </c>
      <c r="J216" s="267">
        <f>J215*2</f>
        <v>16.053272727272727</v>
      </c>
      <c r="K216" s="79">
        <f>J216*H216</f>
        <v>117.67048909090909</v>
      </c>
    </row>
    <row r="217" spans="1:11" ht="16.350000000000001" customHeight="1" x14ac:dyDescent="0.25">
      <c r="A217" s="86"/>
      <c r="B217" s="76" t="s">
        <v>133</v>
      </c>
      <c r="C217" s="270" t="s">
        <v>134</v>
      </c>
      <c r="D217" s="271"/>
      <c r="E217" s="271"/>
      <c r="F217" s="271"/>
      <c r="G217" s="217"/>
      <c r="H217" s="80"/>
      <c r="I217" s="76"/>
      <c r="J217" s="78">
        <f>61/304*(SUM(K216))</f>
        <v>23.611512613636364</v>
      </c>
      <c r="K217" s="216">
        <f>J217</f>
        <v>23.611512613636364</v>
      </c>
    </row>
    <row r="218" spans="1:11" ht="16.350000000000001" customHeight="1" x14ac:dyDescent="0.25">
      <c r="A218" s="86"/>
      <c r="B218" s="77" t="s">
        <v>135</v>
      </c>
      <c r="C218" s="797" t="s">
        <v>136</v>
      </c>
      <c r="D218" s="797"/>
      <c r="E218" s="797"/>
      <c r="F218" s="797"/>
      <c r="G218" s="797"/>
      <c r="H218" s="77">
        <v>40</v>
      </c>
      <c r="I218" s="76" t="s">
        <v>89</v>
      </c>
      <c r="J218" s="81"/>
      <c r="K218" s="79">
        <f>K215*40%</f>
        <v>706.34400000000005</v>
      </c>
    </row>
    <row r="219" spans="1:11" ht="16.350000000000001" customHeight="1" x14ac:dyDescent="0.25">
      <c r="A219" s="86"/>
      <c r="B219" s="77"/>
      <c r="C219" s="748" t="s">
        <v>100</v>
      </c>
      <c r="D219" s="748"/>
      <c r="E219" s="748"/>
      <c r="F219" s="748"/>
      <c r="G219" s="748"/>
      <c r="H219" s="748"/>
      <c r="I219" s="748"/>
      <c r="J219" s="87"/>
      <c r="K219" s="88">
        <f>SUM(K215:K218)</f>
        <v>2613.4860017045453</v>
      </c>
    </row>
    <row r="220" spans="1:11" ht="16.350000000000001" customHeight="1" x14ac:dyDescent="0.25">
      <c r="A220" s="86"/>
      <c r="B220" s="73" t="s">
        <v>101</v>
      </c>
      <c r="C220" s="753" t="s">
        <v>102</v>
      </c>
      <c r="D220" s="753"/>
      <c r="E220" s="753"/>
      <c r="F220" s="753"/>
      <c r="G220" s="753"/>
      <c r="H220" s="753"/>
      <c r="I220" s="753"/>
      <c r="J220" s="73" t="s">
        <v>89</v>
      </c>
      <c r="K220" s="73" t="s">
        <v>97</v>
      </c>
    </row>
    <row r="221" spans="1:11" ht="16.350000000000001" customHeight="1" x14ac:dyDescent="0.25">
      <c r="A221" s="86"/>
      <c r="B221" s="76" t="s">
        <v>103</v>
      </c>
      <c r="C221" s="671" t="s">
        <v>104</v>
      </c>
      <c r="D221" s="671"/>
      <c r="E221" s="671"/>
      <c r="F221" s="671"/>
      <c r="G221" s="671"/>
      <c r="H221" s="671"/>
      <c r="I221" s="671"/>
      <c r="J221" s="262">
        <f>'7 - ENCARGOS SOCIAIS'!$D$13</f>
        <v>0.36800000000000005</v>
      </c>
      <c r="K221" s="79">
        <f>J221*$K$219</f>
        <v>961.76284862727277</v>
      </c>
    </row>
    <row r="222" spans="1:11" ht="16.350000000000001" customHeight="1" x14ac:dyDescent="0.25">
      <c r="A222" s="86"/>
      <c r="B222" s="76" t="s">
        <v>105</v>
      </c>
      <c r="C222" s="671" t="s">
        <v>106</v>
      </c>
      <c r="D222" s="671"/>
      <c r="E222" s="671"/>
      <c r="F222" s="671"/>
      <c r="G222" s="671"/>
      <c r="H222" s="671"/>
      <c r="I222" s="671"/>
      <c r="J222" s="262">
        <f>'7 - ENCARGOS SOCIAIS'!$D$21</f>
        <v>0.15387245147090212</v>
      </c>
      <c r="K222" s="79">
        <f>J222*$K$219</f>
        <v>402.14349796716465</v>
      </c>
    </row>
    <row r="223" spans="1:11" ht="16.350000000000001" customHeight="1" x14ac:dyDescent="0.25">
      <c r="A223" s="86"/>
      <c r="B223" s="76" t="s">
        <v>107</v>
      </c>
      <c r="C223" s="671" t="s">
        <v>108</v>
      </c>
      <c r="D223" s="671"/>
      <c r="E223" s="671"/>
      <c r="F223" s="671"/>
      <c r="G223" s="671"/>
      <c r="H223" s="671"/>
      <c r="I223" s="671"/>
      <c r="J223" s="262">
        <f>'7 - ENCARGOS SOCIAIS'!$D$28</f>
        <v>0.12666581537651095</v>
      </c>
      <c r="K223" s="79">
        <f>J223*$K$219</f>
        <v>331.0393353810037</v>
      </c>
    </row>
    <row r="224" spans="1:11" ht="16.350000000000001" customHeight="1" x14ac:dyDescent="0.25">
      <c r="A224" s="86"/>
      <c r="B224" s="76" t="s">
        <v>109</v>
      </c>
      <c r="C224" s="671" t="s">
        <v>110</v>
      </c>
      <c r="D224" s="671"/>
      <c r="E224" s="671"/>
      <c r="F224" s="671"/>
      <c r="G224" s="671"/>
      <c r="H224" s="671"/>
      <c r="I224" s="671"/>
      <c r="J224" s="262">
        <f>'7 - ENCARGOS SOCIAIS'!$D$32</f>
        <v>5.9231502118822603E-2</v>
      </c>
      <c r="K224" s="79">
        <f>J224*$K$219</f>
        <v>154.80070164747599</v>
      </c>
    </row>
    <row r="225" spans="1:11" ht="16.350000000000001" customHeight="1" x14ac:dyDescent="0.25">
      <c r="A225" s="86"/>
      <c r="B225" s="89"/>
      <c r="C225" s="750" t="s">
        <v>111</v>
      </c>
      <c r="D225" s="750"/>
      <c r="E225" s="750"/>
      <c r="F225" s="750"/>
      <c r="G225" s="750"/>
      <c r="H225" s="750"/>
      <c r="I225" s="750"/>
      <c r="J225" s="90">
        <f>SUM(J221:J224)</f>
        <v>0.70776976896623567</v>
      </c>
      <c r="K225" s="91">
        <f>SUM(K221:K224)</f>
        <v>1849.7463836229169</v>
      </c>
    </row>
    <row r="226" spans="1:11" ht="16.350000000000001" customHeight="1" x14ac:dyDescent="0.25">
      <c r="A226" s="86"/>
      <c r="B226" s="73" t="s">
        <v>112</v>
      </c>
      <c r="C226" s="751" t="s">
        <v>113</v>
      </c>
      <c r="D226" s="751"/>
      <c r="E226" s="751"/>
      <c r="F226" s="751"/>
      <c r="G226" s="751"/>
      <c r="H226" s="74" t="s">
        <v>114</v>
      </c>
      <c r="I226" s="73" t="s">
        <v>115</v>
      </c>
      <c r="J226" s="73" t="s">
        <v>116</v>
      </c>
      <c r="K226" s="73" t="s">
        <v>97</v>
      </c>
    </row>
    <row r="227" spans="1:11" ht="16.350000000000001" customHeight="1" x14ac:dyDescent="0.25">
      <c r="A227" s="86"/>
      <c r="B227" s="76" t="s">
        <v>117</v>
      </c>
      <c r="C227" s="671" t="s">
        <v>156</v>
      </c>
      <c r="D227" s="671"/>
      <c r="E227" s="671"/>
      <c r="F227" s="671"/>
      <c r="G227" s="671"/>
      <c r="H227" s="76">
        <v>26</v>
      </c>
      <c r="I227" s="92">
        <v>27.15</v>
      </c>
      <c r="J227" s="93">
        <v>0.19</v>
      </c>
      <c r="K227" s="94">
        <f>(H227*I227)-((H227*I227)*0.19)</f>
        <v>571.779</v>
      </c>
    </row>
    <row r="228" spans="1:11" ht="16.350000000000001" customHeight="1" x14ac:dyDescent="0.25">
      <c r="A228" s="86"/>
      <c r="B228" s="76" t="s">
        <v>119</v>
      </c>
      <c r="C228" s="671" t="s">
        <v>160</v>
      </c>
      <c r="D228" s="671"/>
      <c r="E228" s="671"/>
      <c r="F228" s="671"/>
      <c r="G228" s="671"/>
      <c r="H228" s="76">
        <f>H227*4</f>
        <v>104</v>
      </c>
      <c r="I228" s="95">
        <v>6.25</v>
      </c>
      <c r="J228" s="93">
        <v>0.06</v>
      </c>
      <c r="K228" s="94">
        <f>(H228*I228)-(K215*0.06)</f>
        <v>544.04840000000002</v>
      </c>
    </row>
    <row r="229" spans="1:11" ht="16.350000000000001" customHeight="1" x14ac:dyDescent="0.25">
      <c r="A229" s="86"/>
      <c r="B229" s="76" t="s">
        <v>121</v>
      </c>
      <c r="C229" s="671" t="s">
        <v>122</v>
      </c>
      <c r="D229" s="671"/>
      <c r="E229" s="671"/>
      <c r="F229" s="671"/>
      <c r="G229" s="671"/>
      <c r="H229" s="77">
        <v>1</v>
      </c>
      <c r="I229" s="92">
        <f>'6 - DADOS CC MO'!E70</f>
        <v>25.52</v>
      </c>
      <c r="J229" s="96"/>
      <c r="K229" s="97">
        <f>I229</f>
        <v>25.52</v>
      </c>
    </row>
    <row r="230" spans="1:11" ht="16.350000000000001" customHeight="1" x14ac:dyDescent="0.25">
      <c r="A230" s="86"/>
      <c r="B230" s="76" t="s">
        <v>152</v>
      </c>
      <c r="C230" s="671" t="s">
        <v>153</v>
      </c>
      <c r="D230" s="671"/>
      <c r="E230" s="671"/>
      <c r="F230" s="671"/>
      <c r="G230" s="671"/>
      <c r="H230" s="77">
        <v>1</v>
      </c>
      <c r="I230" s="92">
        <v>80</v>
      </c>
      <c r="J230" s="96"/>
      <c r="K230" s="97">
        <f>I230</f>
        <v>80</v>
      </c>
    </row>
    <row r="231" spans="1:11" ht="16.350000000000001" customHeight="1" x14ac:dyDescent="0.25">
      <c r="A231" s="86"/>
      <c r="B231" s="96"/>
      <c r="C231" s="748" t="s">
        <v>123</v>
      </c>
      <c r="D231" s="748"/>
      <c r="E231" s="748"/>
      <c r="F231" s="748"/>
      <c r="G231" s="748"/>
      <c r="H231" s="748"/>
      <c r="I231" s="748"/>
      <c r="J231" s="87"/>
      <c r="K231" s="98">
        <f>SUM(K227:K230)</f>
        <v>1221.3474000000001</v>
      </c>
    </row>
    <row r="232" spans="1:11" ht="16.350000000000001" customHeight="1" x14ac:dyDescent="0.25">
      <c r="A232" s="86"/>
      <c r="B232" s="749" t="s">
        <v>165</v>
      </c>
      <c r="C232" s="749"/>
      <c r="D232" s="749"/>
      <c r="E232" s="749"/>
      <c r="F232" s="749"/>
      <c r="G232" s="749"/>
      <c r="H232" s="749"/>
      <c r="I232" s="749"/>
      <c r="J232" s="749"/>
      <c r="K232" s="99">
        <f>K231+K225+K219</f>
        <v>5684.5797853274617</v>
      </c>
    </row>
    <row r="233" spans="1:11" ht="16.350000000000001" customHeight="1" x14ac:dyDescent="0.25">
      <c r="A233" s="86"/>
      <c r="B233" s="838" t="s">
        <v>518</v>
      </c>
      <c r="C233" s="838"/>
      <c r="D233" s="838"/>
      <c r="E233" s="838"/>
      <c r="F233" s="838"/>
      <c r="G233" s="838"/>
      <c r="H233" s="838"/>
      <c r="I233" s="838"/>
      <c r="J233" s="838"/>
      <c r="K233" s="100">
        <f>K232*1</f>
        <v>5684.5797853274617</v>
      </c>
    </row>
    <row r="234" spans="1:11" ht="16.350000000000001" customHeight="1" x14ac:dyDescent="0.25">
      <c r="A234" s="86"/>
      <c r="B234" s="86"/>
      <c r="C234" s="86"/>
      <c r="D234" s="86"/>
      <c r="E234" s="86"/>
      <c r="F234" s="86"/>
      <c r="G234" s="86"/>
      <c r="H234" s="86"/>
      <c r="I234" s="86"/>
      <c r="J234" s="86"/>
      <c r="K234" s="252"/>
    </row>
    <row r="235" spans="1:11" ht="16.350000000000001" customHeight="1" x14ac:dyDescent="0.25">
      <c r="A235" s="86"/>
      <c r="B235" s="752" t="s">
        <v>166</v>
      </c>
      <c r="C235" s="752"/>
      <c r="D235" s="752"/>
      <c r="E235" s="752"/>
      <c r="F235" s="752"/>
      <c r="G235" s="752"/>
      <c r="H235" s="752"/>
      <c r="I235" s="752"/>
      <c r="J235" s="752"/>
      <c r="K235" s="752"/>
    </row>
    <row r="236" spans="1:11" ht="16.350000000000001" customHeight="1" x14ac:dyDescent="0.25">
      <c r="A236" s="86"/>
      <c r="B236" s="72" t="s">
        <v>95</v>
      </c>
      <c r="C236" s="753" t="s">
        <v>96</v>
      </c>
      <c r="D236" s="753"/>
      <c r="E236" s="753"/>
      <c r="F236" s="753"/>
      <c r="G236" s="753"/>
      <c r="H236" s="74" t="s">
        <v>128</v>
      </c>
      <c r="I236" s="75" t="s">
        <v>129</v>
      </c>
      <c r="J236" s="73" t="s">
        <v>115</v>
      </c>
      <c r="K236" s="73" t="s">
        <v>97</v>
      </c>
    </row>
    <row r="237" spans="1:11" ht="16.350000000000001" customHeight="1" x14ac:dyDescent="0.25">
      <c r="A237" s="86"/>
      <c r="B237" s="77" t="s">
        <v>98</v>
      </c>
      <c r="C237" s="797" t="s">
        <v>99</v>
      </c>
      <c r="D237" s="797"/>
      <c r="E237" s="797"/>
      <c r="F237" s="797"/>
      <c r="G237" s="797"/>
      <c r="H237" s="77">
        <v>220</v>
      </c>
      <c r="I237" s="76" t="s">
        <v>130</v>
      </c>
      <c r="J237" s="78">
        <f>K237/H237</f>
        <v>8.0266363636363636</v>
      </c>
      <c r="K237" s="275">
        <f>'6 - DADOS CC MO'!E79</f>
        <v>1765.86</v>
      </c>
    </row>
    <row r="238" spans="1:11" ht="16.350000000000001" customHeight="1" x14ac:dyDescent="0.25">
      <c r="A238" s="86"/>
      <c r="B238" s="77" t="s">
        <v>131</v>
      </c>
      <c r="C238" s="83" t="s">
        <v>132</v>
      </c>
      <c r="D238" s="84"/>
      <c r="E238" s="84"/>
      <c r="F238" s="84"/>
      <c r="G238" s="85"/>
      <c r="H238" s="80">
        <v>7.33</v>
      </c>
      <c r="I238" s="77" t="s">
        <v>130</v>
      </c>
      <c r="J238" s="267">
        <f>J237*2</f>
        <v>16.053272727272727</v>
      </c>
      <c r="K238" s="79">
        <f>J238*H238</f>
        <v>117.67048909090909</v>
      </c>
    </row>
    <row r="239" spans="1:11" ht="16.350000000000001" customHeight="1" x14ac:dyDescent="0.25">
      <c r="A239" s="86"/>
      <c r="B239" s="76" t="s">
        <v>133</v>
      </c>
      <c r="C239" s="270" t="s">
        <v>134</v>
      </c>
      <c r="D239" s="271"/>
      <c r="E239" s="271"/>
      <c r="F239" s="271"/>
      <c r="G239" s="217"/>
      <c r="H239" s="80"/>
      <c r="I239" s="76"/>
      <c r="J239" s="78">
        <f>61/304*(SUM(K238))</f>
        <v>23.611512613636364</v>
      </c>
      <c r="K239" s="216">
        <f>J239</f>
        <v>23.611512613636364</v>
      </c>
    </row>
    <row r="240" spans="1:11" ht="16.350000000000001" customHeight="1" x14ac:dyDescent="0.25">
      <c r="A240" s="86"/>
      <c r="B240" s="77" t="s">
        <v>135</v>
      </c>
      <c r="C240" s="797" t="s">
        <v>136</v>
      </c>
      <c r="D240" s="797"/>
      <c r="E240" s="797"/>
      <c r="F240" s="797"/>
      <c r="G240" s="797"/>
      <c r="H240" s="77">
        <v>40</v>
      </c>
      <c r="I240" s="76" t="s">
        <v>89</v>
      </c>
      <c r="J240" s="81"/>
      <c r="K240" s="79">
        <f>K237*40%</f>
        <v>706.34400000000005</v>
      </c>
    </row>
    <row r="241" spans="1:11" ht="16.350000000000001" customHeight="1" x14ac:dyDescent="0.25">
      <c r="A241" s="86"/>
      <c r="B241" s="77"/>
      <c r="C241" s="748" t="s">
        <v>100</v>
      </c>
      <c r="D241" s="748"/>
      <c r="E241" s="748"/>
      <c r="F241" s="748"/>
      <c r="G241" s="748"/>
      <c r="H241" s="748"/>
      <c r="I241" s="748"/>
      <c r="J241" s="87"/>
      <c r="K241" s="88">
        <f>SUM(K237:K240)</f>
        <v>2613.4860017045453</v>
      </c>
    </row>
    <row r="242" spans="1:11" ht="16.350000000000001" customHeight="1" x14ac:dyDescent="0.25">
      <c r="A242" s="86"/>
      <c r="B242" s="73" t="s">
        <v>101</v>
      </c>
      <c r="C242" s="753" t="s">
        <v>102</v>
      </c>
      <c r="D242" s="753"/>
      <c r="E242" s="753"/>
      <c r="F242" s="753"/>
      <c r="G242" s="753"/>
      <c r="H242" s="753"/>
      <c r="I242" s="753"/>
      <c r="J242" s="73" t="s">
        <v>89</v>
      </c>
      <c r="K242" s="73" t="s">
        <v>97</v>
      </c>
    </row>
    <row r="243" spans="1:11" ht="16.350000000000001" customHeight="1" x14ac:dyDescent="0.25">
      <c r="A243" s="86"/>
      <c r="B243" s="76" t="s">
        <v>103</v>
      </c>
      <c r="C243" s="671" t="s">
        <v>104</v>
      </c>
      <c r="D243" s="671"/>
      <c r="E243" s="671"/>
      <c r="F243" s="671"/>
      <c r="G243" s="671"/>
      <c r="H243" s="671"/>
      <c r="I243" s="671"/>
      <c r="J243" s="262">
        <f>'7 - ENCARGOS SOCIAIS'!$D$13</f>
        <v>0.36800000000000005</v>
      </c>
      <c r="K243" s="79">
        <f>J243*$K$241</f>
        <v>961.76284862727277</v>
      </c>
    </row>
    <row r="244" spans="1:11" ht="16.350000000000001" customHeight="1" x14ac:dyDescent="0.25">
      <c r="A244" s="86"/>
      <c r="B244" s="76" t="s">
        <v>105</v>
      </c>
      <c r="C244" s="671" t="s">
        <v>106</v>
      </c>
      <c r="D244" s="671"/>
      <c r="E244" s="671"/>
      <c r="F244" s="671"/>
      <c r="G244" s="671"/>
      <c r="H244" s="671"/>
      <c r="I244" s="671"/>
      <c r="J244" s="262">
        <f>'7 - ENCARGOS SOCIAIS'!$D$21</f>
        <v>0.15387245147090212</v>
      </c>
      <c r="K244" s="79">
        <f>J244*$K$241</f>
        <v>402.14349796716465</v>
      </c>
    </row>
    <row r="245" spans="1:11" ht="16.350000000000001" customHeight="1" x14ac:dyDescent="0.25">
      <c r="A245" s="86"/>
      <c r="B245" s="76" t="s">
        <v>107</v>
      </c>
      <c r="C245" s="671" t="s">
        <v>108</v>
      </c>
      <c r="D245" s="671"/>
      <c r="E245" s="671"/>
      <c r="F245" s="671"/>
      <c r="G245" s="671"/>
      <c r="H245" s="671"/>
      <c r="I245" s="671"/>
      <c r="J245" s="262">
        <f>'7 - ENCARGOS SOCIAIS'!$D$28</f>
        <v>0.12666581537651095</v>
      </c>
      <c r="K245" s="79">
        <f>J245*$K$241</f>
        <v>331.0393353810037</v>
      </c>
    </row>
    <row r="246" spans="1:11" ht="16.350000000000001" customHeight="1" x14ac:dyDescent="0.25">
      <c r="A246" s="86"/>
      <c r="B246" s="76" t="s">
        <v>109</v>
      </c>
      <c r="C246" s="671" t="s">
        <v>110</v>
      </c>
      <c r="D246" s="671"/>
      <c r="E246" s="671"/>
      <c r="F246" s="671"/>
      <c r="G246" s="671"/>
      <c r="H246" s="671"/>
      <c r="I246" s="671"/>
      <c r="J246" s="262">
        <f>'7 - ENCARGOS SOCIAIS'!$D$32</f>
        <v>5.9231502118822603E-2</v>
      </c>
      <c r="K246" s="79">
        <f>J246*$K$241</f>
        <v>154.80070164747599</v>
      </c>
    </row>
    <row r="247" spans="1:11" ht="16.350000000000001" customHeight="1" x14ac:dyDescent="0.25">
      <c r="A247" s="86"/>
      <c r="B247" s="89"/>
      <c r="C247" s="750" t="s">
        <v>111</v>
      </c>
      <c r="D247" s="750"/>
      <c r="E247" s="750"/>
      <c r="F247" s="750"/>
      <c r="G247" s="750"/>
      <c r="H247" s="750"/>
      <c r="I247" s="750"/>
      <c r="J247" s="90">
        <f>SUM(J243:J246)</f>
        <v>0.70776976896623567</v>
      </c>
      <c r="K247" s="91">
        <f>SUM(K243:K246)</f>
        <v>1849.7463836229169</v>
      </c>
    </row>
    <row r="248" spans="1:11" ht="16.350000000000001" customHeight="1" x14ac:dyDescent="0.25">
      <c r="A248" s="86"/>
      <c r="B248" s="73" t="s">
        <v>112</v>
      </c>
      <c r="C248" s="751" t="s">
        <v>113</v>
      </c>
      <c r="D248" s="751"/>
      <c r="E248" s="751"/>
      <c r="F248" s="751"/>
      <c r="G248" s="751"/>
      <c r="H248" s="74" t="s">
        <v>114</v>
      </c>
      <c r="I248" s="73" t="s">
        <v>115</v>
      </c>
      <c r="J248" s="73" t="s">
        <v>116</v>
      </c>
      <c r="K248" s="73" t="s">
        <v>97</v>
      </c>
    </row>
    <row r="249" spans="1:11" ht="16.350000000000001" customHeight="1" x14ac:dyDescent="0.25">
      <c r="A249" s="86"/>
      <c r="B249" s="76" t="s">
        <v>117</v>
      </c>
      <c r="C249" s="671" t="s">
        <v>156</v>
      </c>
      <c r="D249" s="671"/>
      <c r="E249" s="671"/>
      <c r="F249" s="671"/>
      <c r="G249" s="671"/>
      <c r="H249" s="76">
        <v>26</v>
      </c>
      <c r="I249" s="92">
        <v>27.15</v>
      </c>
      <c r="J249" s="93">
        <v>0.19</v>
      </c>
      <c r="K249" s="94">
        <f>(H249*I249)-((H249*I249)*0.19)</f>
        <v>571.779</v>
      </c>
    </row>
    <row r="250" spans="1:11" ht="16.350000000000001" customHeight="1" x14ac:dyDescent="0.25">
      <c r="A250" s="86"/>
      <c r="B250" s="76" t="s">
        <v>119</v>
      </c>
      <c r="C250" s="671" t="s">
        <v>160</v>
      </c>
      <c r="D250" s="671"/>
      <c r="E250" s="671"/>
      <c r="F250" s="671"/>
      <c r="G250" s="671"/>
      <c r="H250" s="76">
        <f>H249*4</f>
        <v>104</v>
      </c>
      <c r="I250" s="95">
        <v>6.25</v>
      </c>
      <c r="J250" s="93">
        <v>0.06</v>
      </c>
      <c r="K250" s="94">
        <f>(H250*I250)-(K237*0.06)</f>
        <v>544.04840000000002</v>
      </c>
    </row>
    <row r="251" spans="1:11" ht="16.350000000000001" customHeight="1" x14ac:dyDescent="0.25">
      <c r="A251" s="86"/>
      <c r="B251" s="258" t="s">
        <v>121</v>
      </c>
      <c r="C251" s="839" t="s">
        <v>122</v>
      </c>
      <c r="D251" s="839"/>
      <c r="E251" s="839"/>
      <c r="F251" s="839"/>
      <c r="G251" s="839"/>
      <c r="H251" s="77">
        <v>1</v>
      </c>
      <c r="I251" s="92">
        <f>'6 - DADOS CC MO'!E82</f>
        <v>25.52</v>
      </c>
      <c r="J251" s="276"/>
      <c r="K251" s="277">
        <f>I251</f>
        <v>25.52</v>
      </c>
    </row>
    <row r="252" spans="1:11" ht="16.350000000000001" customHeight="1" x14ac:dyDescent="0.25">
      <c r="A252" s="86"/>
      <c r="B252" s="76" t="s">
        <v>152</v>
      </c>
      <c r="C252" s="671" t="s">
        <v>153</v>
      </c>
      <c r="D252" s="671"/>
      <c r="E252" s="671"/>
      <c r="F252" s="671"/>
      <c r="G252" s="671"/>
      <c r="H252" s="77">
        <v>1</v>
      </c>
      <c r="I252" s="92">
        <v>80</v>
      </c>
      <c r="J252" s="96"/>
      <c r="K252" s="97">
        <f>I252</f>
        <v>80</v>
      </c>
    </row>
    <row r="253" spans="1:11" ht="16.350000000000001" customHeight="1" x14ac:dyDescent="0.25">
      <c r="A253" s="86"/>
      <c r="B253" s="96"/>
      <c r="C253" s="748" t="s">
        <v>123</v>
      </c>
      <c r="D253" s="748"/>
      <c r="E253" s="748"/>
      <c r="F253" s="748"/>
      <c r="G253" s="748"/>
      <c r="H253" s="748"/>
      <c r="I253" s="748"/>
      <c r="J253" s="87"/>
      <c r="K253" s="98">
        <f>SUM(K249:K252)</f>
        <v>1221.3474000000001</v>
      </c>
    </row>
    <row r="254" spans="1:11" ht="16.350000000000001" customHeight="1" x14ac:dyDescent="0.25">
      <c r="A254" s="86"/>
      <c r="B254" s="749" t="s">
        <v>167</v>
      </c>
      <c r="C254" s="749"/>
      <c r="D254" s="749"/>
      <c r="E254" s="749"/>
      <c r="F254" s="749"/>
      <c r="G254" s="749"/>
      <c r="H254" s="749"/>
      <c r="I254" s="749"/>
      <c r="J254" s="749"/>
      <c r="K254" s="99">
        <f>K253+K247+K241</f>
        <v>5684.5797853274617</v>
      </c>
    </row>
    <row r="255" spans="1:11" ht="16.350000000000001" customHeight="1" x14ac:dyDescent="0.25">
      <c r="A255" s="86"/>
      <c r="B255" s="838" t="s">
        <v>518</v>
      </c>
      <c r="C255" s="838"/>
      <c r="D255" s="838"/>
      <c r="E255" s="838"/>
      <c r="F255" s="838"/>
      <c r="G255" s="838"/>
      <c r="H255" s="838"/>
      <c r="I255" s="838"/>
      <c r="J255" s="838"/>
      <c r="K255" s="100">
        <f>K254*1</f>
        <v>5684.5797853274617</v>
      </c>
    </row>
    <row r="256" spans="1:11" ht="16.350000000000001" customHeight="1" x14ac:dyDescent="0.25">
      <c r="A256" s="86"/>
      <c r="B256" s="86"/>
      <c r="C256" s="86"/>
      <c r="D256" s="86"/>
      <c r="E256" s="86"/>
      <c r="F256" s="86"/>
      <c r="G256" s="86"/>
      <c r="H256" s="86"/>
      <c r="I256" s="86"/>
      <c r="J256" s="86"/>
      <c r="K256" s="252"/>
    </row>
    <row r="257" spans="1:11" ht="16.350000000000001" customHeight="1" x14ac:dyDescent="0.25">
      <c r="A257" s="86"/>
      <c r="B257" s="752" t="s">
        <v>168</v>
      </c>
      <c r="C257" s="752"/>
      <c r="D257" s="752"/>
      <c r="E257" s="752"/>
      <c r="F257" s="752"/>
      <c r="G257" s="752"/>
      <c r="H257" s="752"/>
      <c r="I257" s="752"/>
      <c r="J257" s="752"/>
      <c r="K257" s="752"/>
    </row>
    <row r="258" spans="1:11" ht="16.350000000000001" customHeight="1" x14ac:dyDescent="0.25">
      <c r="A258" s="86"/>
      <c r="B258" s="72" t="s">
        <v>95</v>
      </c>
      <c r="C258" s="753" t="s">
        <v>96</v>
      </c>
      <c r="D258" s="753"/>
      <c r="E258" s="753"/>
      <c r="F258" s="753"/>
      <c r="G258" s="753"/>
      <c r="H258" s="74" t="s">
        <v>128</v>
      </c>
      <c r="I258" s="75" t="s">
        <v>129</v>
      </c>
      <c r="J258" s="73" t="s">
        <v>115</v>
      </c>
      <c r="K258" s="73" t="s">
        <v>97</v>
      </c>
    </row>
    <row r="259" spans="1:11" ht="16.350000000000001" customHeight="1" x14ac:dyDescent="0.25">
      <c r="A259" s="86"/>
      <c r="B259" s="76" t="s">
        <v>98</v>
      </c>
      <c r="C259" s="671" t="s">
        <v>99</v>
      </c>
      <c r="D259" s="671"/>
      <c r="E259" s="671"/>
      <c r="F259" s="671"/>
      <c r="G259" s="671"/>
      <c r="H259" s="77">
        <v>180</v>
      </c>
      <c r="I259" s="76" t="s">
        <v>130</v>
      </c>
      <c r="J259" s="78">
        <f>K259/H259</f>
        <v>11.8125</v>
      </c>
      <c r="K259" s="79">
        <f>'6 - DADOS CC MO'!E91</f>
        <v>2126.25</v>
      </c>
    </row>
    <row r="260" spans="1:11" ht="16.350000000000001" customHeight="1" x14ac:dyDescent="0.25">
      <c r="A260" s="86"/>
      <c r="B260" s="76" t="s">
        <v>131</v>
      </c>
      <c r="C260" s="83" t="s">
        <v>132</v>
      </c>
      <c r="D260" s="84"/>
      <c r="E260" s="84"/>
      <c r="F260" s="84"/>
      <c r="G260" s="217"/>
      <c r="H260" s="80">
        <f>7+1/3</f>
        <v>7.333333333333333</v>
      </c>
      <c r="I260" s="76" t="s">
        <v>130</v>
      </c>
      <c r="J260" s="218">
        <f>J259*2</f>
        <v>23.625</v>
      </c>
      <c r="K260" s="79">
        <f>J260*H260</f>
        <v>173.25</v>
      </c>
    </row>
    <row r="261" spans="1:11" ht="16.350000000000001" customHeight="1" x14ac:dyDescent="0.25">
      <c r="A261" s="86"/>
      <c r="B261" s="76" t="s">
        <v>133</v>
      </c>
      <c r="C261" s="83" t="s">
        <v>159</v>
      </c>
      <c r="D261" s="84"/>
      <c r="E261" s="84"/>
      <c r="F261" s="84"/>
      <c r="G261" s="217"/>
      <c r="H261" s="77"/>
      <c r="I261" s="76"/>
      <c r="J261" s="218">
        <f>61/304*(SUM(K260))</f>
        <v>34.763980263157897</v>
      </c>
      <c r="K261" s="79">
        <f>J261</f>
        <v>34.763980263157897</v>
      </c>
    </row>
    <row r="262" spans="1:11" ht="16.350000000000001" customHeight="1" x14ac:dyDescent="0.25">
      <c r="A262" s="86"/>
      <c r="B262" s="76" t="s">
        <v>135</v>
      </c>
      <c r="C262" s="671" t="s">
        <v>136</v>
      </c>
      <c r="D262" s="671"/>
      <c r="E262" s="671"/>
      <c r="F262" s="671"/>
      <c r="G262" s="671"/>
      <c r="H262" s="77">
        <v>40</v>
      </c>
      <c r="I262" s="76" t="s">
        <v>89</v>
      </c>
      <c r="J262" s="81"/>
      <c r="K262" s="79">
        <f>K259*40%</f>
        <v>850.5</v>
      </c>
    </row>
    <row r="263" spans="1:11" ht="16.350000000000001" customHeight="1" x14ac:dyDescent="0.25">
      <c r="A263" s="86"/>
      <c r="B263" s="77"/>
      <c r="C263" s="748" t="s">
        <v>100</v>
      </c>
      <c r="D263" s="748"/>
      <c r="E263" s="748"/>
      <c r="F263" s="748"/>
      <c r="G263" s="748"/>
      <c r="H263" s="748"/>
      <c r="I263" s="748"/>
      <c r="J263" s="87"/>
      <c r="K263" s="88">
        <f>SUM(K259:K262)</f>
        <v>3184.7639802631579</v>
      </c>
    </row>
    <row r="264" spans="1:11" ht="16.350000000000001" customHeight="1" x14ac:dyDescent="0.25">
      <c r="A264" s="86"/>
      <c r="B264" s="73" t="s">
        <v>101</v>
      </c>
      <c r="C264" s="753" t="s">
        <v>102</v>
      </c>
      <c r="D264" s="753"/>
      <c r="E264" s="753"/>
      <c r="F264" s="753"/>
      <c r="G264" s="753"/>
      <c r="H264" s="753"/>
      <c r="I264" s="753"/>
      <c r="J264" s="73" t="s">
        <v>89</v>
      </c>
      <c r="K264" s="73" t="s">
        <v>97</v>
      </c>
    </row>
    <row r="265" spans="1:11" ht="16.350000000000001" customHeight="1" x14ac:dyDescent="0.25">
      <c r="A265" s="86"/>
      <c r="B265" s="76" t="s">
        <v>103</v>
      </c>
      <c r="C265" s="671" t="s">
        <v>104</v>
      </c>
      <c r="D265" s="671"/>
      <c r="E265" s="671"/>
      <c r="F265" s="671"/>
      <c r="G265" s="671"/>
      <c r="H265" s="671"/>
      <c r="I265" s="671"/>
      <c r="J265" s="262">
        <f>'7 - ENCARGOS SOCIAIS'!$D$13</f>
        <v>0.36800000000000005</v>
      </c>
      <c r="K265" s="79">
        <f>J265*$K$263</f>
        <v>1171.9931447368422</v>
      </c>
    </row>
    <row r="266" spans="1:11" ht="16.350000000000001" customHeight="1" x14ac:dyDescent="0.25">
      <c r="A266" s="86"/>
      <c r="B266" s="76" t="s">
        <v>105</v>
      </c>
      <c r="C266" s="671" t="s">
        <v>106</v>
      </c>
      <c r="D266" s="671"/>
      <c r="E266" s="671"/>
      <c r="F266" s="671"/>
      <c r="G266" s="671"/>
      <c r="H266" s="671"/>
      <c r="I266" s="671"/>
      <c r="J266" s="262">
        <f>'7 - ENCARGOS SOCIAIS'!$D$21</f>
        <v>0.15387245147090212</v>
      </c>
      <c r="K266" s="79">
        <f>J266*$K$263</f>
        <v>490.0474409993198</v>
      </c>
    </row>
    <row r="267" spans="1:11" ht="16.350000000000001" customHeight="1" x14ac:dyDescent="0.25">
      <c r="A267" s="86"/>
      <c r="B267" s="76" t="s">
        <v>107</v>
      </c>
      <c r="C267" s="671" t="s">
        <v>108</v>
      </c>
      <c r="D267" s="671"/>
      <c r="E267" s="671"/>
      <c r="F267" s="671"/>
      <c r="G267" s="671"/>
      <c r="H267" s="671"/>
      <c r="I267" s="671"/>
      <c r="J267" s="262">
        <f>'7 - ENCARGOS SOCIAIS'!$D$28</f>
        <v>0.12666581537651095</v>
      </c>
      <c r="K267" s="79">
        <f>J267*$K$263</f>
        <v>403.40072634177534</v>
      </c>
    </row>
    <row r="268" spans="1:11" ht="16.350000000000001" customHeight="1" x14ac:dyDescent="0.25">
      <c r="A268" s="86"/>
      <c r="B268" s="76" t="s">
        <v>109</v>
      </c>
      <c r="C268" s="671" t="s">
        <v>110</v>
      </c>
      <c r="D268" s="671"/>
      <c r="E268" s="671"/>
      <c r="F268" s="671"/>
      <c r="G268" s="671"/>
      <c r="H268" s="671"/>
      <c r="I268" s="671"/>
      <c r="J268" s="262">
        <f>'7 - ENCARGOS SOCIAIS'!$D$32</f>
        <v>5.9231502118822603E-2</v>
      </c>
      <c r="K268" s="79">
        <f>J268*$K$263</f>
        <v>188.63835444490715</v>
      </c>
    </row>
    <row r="269" spans="1:11" ht="16.350000000000001" customHeight="1" x14ac:dyDescent="0.25">
      <c r="A269" s="86"/>
      <c r="B269" s="89"/>
      <c r="C269" s="750" t="s">
        <v>111</v>
      </c>
      <c r="D269" s="750"/>
      <c r="E269" s="750"/>
      <c r="F269" s="750"/>
      <c r="G269" s="750"/>
      <c r="H269" s="750"/>
      <c r="I269" s="750"/>
      <c r="J269" s="90">
        <f>SUM(J265:J268)</f>
        <v>0.70776976896623567</v>
      </c>
      <c r="K269" s="91">
        <f>SUM(K265:K268)</f>
        <v>2254.0796665228445</v>
      </c>
    </row>
    <row r="270" spans="1:11" ht="16.350000000000001" customHeight="1" x14ac:dyDescent="0.25">
      <c r="A270" s="86"/>
      <c r="B270" s="73" t="s">
        <v>112</v>
      </c>
      <c r="C270" s="751" t="s">
        <v>113</v>
      </c>
      <c r="D270" s="751"/>
      <c r="E270" s="751"/>
      <c r="F270" s="751"/>
      <c r="G270" s="751"/>
      <c r="H270" s="74" t="s">
        <v>114</v>
      </c>
      <c r="I270" s="73" t="s">
        <v>115</v>
      </c>
      <c r="J270" s="73" t="s">
        <v>116</v>
      </c>
      <c r="K270" s="73" t="s">
        <v>97</v>
      </c>
    </row>
    <row r="271" spans="1:11" ht="16.350000000000001" customHeight="1" x14ac:dyDescent="0.25">
      <c r="A271" s="86"/>
      <c r="B271" s="76" t="s">
        <v>117</v>
      </c>
      <c r="C271" s="671" t="s">
        <v>525</v>
      </c>
      <c r="D271" s="671"/>
      <c r="E271" s="671"/>
      <c r="F271" s="671"/>
      <c r="G271" s="671"/>
      <c r="H271" s="76">
        <v>15</v>
      </c>
      <c r="I271" s="92">
        <v>27.15</v>
      </c>
      <c r="J271" s="93">
        <v>0.19</v>
      </c>
      <c r="K271" s="94">
        <f>(H271*I271)-((H271*I271)*0.19)</f>
        <v>329.8725</v>
      </c>
    </row>
    <row r="272" spans="1:11" ht="16.350000000000001" customHeight="1" x14ac:dyDescent="0.25">
      <c r="A272" s="86"/>
      <c r="B272" s="76" t="s">
        <v>119</v>
      </c>
      <c r="C272" s="671" t="s">
        <v>160</v>
      </c>
      <c r="D272" s="671"/>
      <c r="E272" s="671"/>
      <c r="F272" s="671"/>
      <c r="G272" s="671"/>
      <c r="H272" s="76">
        <f>H271*4</f>
        <v>60</v>
      </c>
      <c r="I272" s="95">
        <v>6.25</v>
      </c>
      <c r="J272" s="93">
        <v>0.06</v>
      </c>
      <c r="K272" s="94">
        <f>(H272*I272)-(K259*0.06)</f>
        <v>247.42500000000001</v>
      </c>
    </row>
    <row r="273" spans="1:11" ht="16.350000000000001" customHeight="1" x14ac:dyDescent="0.25">
      <c r="A273" s="86"/>
      <c r="B273" s="76" t="s">
        <v>121</v>
      </c>
      <c r="C273" s="671" t="s">
        <v>122</v>
      </c>
      <c r="D273" s="671"/>
      <c r="E273" s="671"/>
      <c r="F273" s="671"/>
      <c r="G273" s="671"/>
      <c r="H273" s="77">
        <v>1</v>
      </c>
      <c r="I273" s="92">
        <f>'6 - DADOS CC MO'!E93</f>
        <v>25.52</v>
      </c>
      <c r="J273" s="96"/>
      <c r="K273" s="97">
        <f>I273</f>
        <v>25.52</v>
      </c>
    </row>
    <row r="274" spans="1:11" ht="16.350000000000001" customHeight="1" x14ac:dyDescent="0.25">
      <c r="A274" s="86"/>
      <c r="B274" s="76" t="s">
        <v>152</v>
      </c>
      <c r="C274" s="671" t="s">
        <v>153</v>
      </c>
      <c r="D274" s="671"/>
      <c r="E274" s="671"/>
      <c r="F274" s="671"/>
      <c r="G274" s="671"/>
      <c r="H274" s="77">
        <v>1</v>
      </c>
      <c r="I274" s="92">
        <v>80</v>
      </c>
      <c r="J274" s="96"/>
      <c r="K274" s="97">
        <f>I274</f>
        <v>80</v>
      </c>
    </row>
    <row r="275" spans="1:11" ht="16.350000000000001" customHeight="1" x14ac:dyDescent="0.25">
      <c r="A275" s="86"/>
      <c r="B275" s="96"/>
      <c r="C275" s="748" t="s">
        <v>123</v>
      </c>
      <c r="D275" s="748"/>
      <c r="E275" s="748"/>
      <c r="F275" s="748"/>
      <c r="G275" s="748"/>
      <c r="H275" s="748"/>
      <c r="I275" s="748"/>
      <c r="J275" s="87"/>
      <c r="K275" s="98">
        <f>SUM(K271:K274)</f>
        <v>682.8175</v>
      </c>
    </row>
    <row r="276" spans="1:11" ht="16.350000000000001" customHeight="1" x14ac:dyDescent="0.25">
      <c r="A276" s="86"/>
      <c r="B276" s="749" t="s">
        <v>169</v>
      </c>
      <c r="C276" s="749"/>
      <c r="D276" s="749"/>
      <c r="E276" s="749"/>
      <c r="F276" s="749"/>
      <c r="G276" s="749"/>
      <c r="H276" s="749"/>
      <c r="I276" s="749"/>
      <c r="J276" s="749"/>
      <c r="K276" s="99">
        <f>K275+K269+K263</f>
        <v>6121.6611467860021</v>
      </c>
    </row>
    <row r="277" spans="1:11" ht="16.350000000000001" customHeight="1" x14ac:dyDescent="0.25">
      <c r="A277" s="86"/>
      <c r="B277" s="838" t="s">
        <v>526</v>
      </c>
      <c r="C277" s="838"/>
      <c r="D277" s="838"/>
      <c r="E277" s="838"/>
      <c r="F277" s="838"/>
      <c r="G277" s="838"/>
      <c r="H277" s="838"/>
      <c r="I277" s="838"/>
      <c r="J277" s="838"/>
      <c r="K277" s="100">
        <f>K276*2</f>
        <v>12243.322293572004</v>
      </c>
    </row>
    <row r="278" spans="1:11" ht="16.350000000000001" customHeight="1" x14ac:dyDescent="0.25">
      <c r="A278" s="86"/>
      <c r="B278" s="278"/>
      <c r="C278" s="278"/>
      <c r="D278" s="278"/>
      <c r="E278" s="278"/>
      <c r="F278" s="278"/>
      <c r="G278" s="278"/>
      <c r="H278" s="278"/>
      <c r="I278" s="278"/>
      <c r="J278" s="278"/>
      <c r="K278" s="279"/>
    </row>
    <row r="279" spans="1:11" ht="16.350000000000001" customHeight="1" x14ac:dyDescent="0.25">
      <c r="A279" s="86"/>
      <c r="B279" s="752" t="s">
        <v>170</v>
      </c>
      <c r="C279" s="752"/>
      <c r="D279" s="752"/>
      <c r="E279" s="752"/>
      <c r="F279" s="752"/>
      <c r="G279" s="752"/>
      <c r="H279" s="752"/>
      <c r="I279" s="752"/>
      <c r="J279" s="752"/>
      <c r="K279" s="752"/>
    </row>
    <row r="280" spans="1:11" ht="16.350000000000001" customHeight="1" x14ac:dyDescent="0.25">
      <c r="A280" s="86"/>
      <c r="B280" s="72" t="s">
        <v>95</v>
      </c>
      <c r="C280" s="753" t="s">
        <v>96</v>
      </c>
      <c r="D280" s="753"/>
      <c r="E280" s="753"/>
      <c r="F280" s="753"/>
      <c r="G280" s="753"/>
      <c r="H280" s="74" t="s">
        <v>128</v>
      </c>
      <c r="I280" s="75" t="s">
        <v>129</v>
      </c>
      <c r="J280" s="73" t="s">
        <v>115</v>
      </c>
      <c r="K280" s="73" t="s">
        <v>97</v>
      </c>
    </row>
    <row r="281" spans="1:11" ht="16.350000000000001" customHeight="1" x14ac:dyDescent="0.25">
      <c r="A281" s="86"/>
      <c r="B281" s="76" t="s">
        <v>98</v>
      </c>
      <c r="C281" s="671" t="s">
        <v>99</v>
      </c>
      <c r="D281" s="671"/>
      <c r="E281" s="671"/>
      <c r="F281" s="671"/>
      <c r="G281" s="671"/>
      <c r="H281" s="77">
        <v>180</v>
      </c>
      <c r="I281" s="76" t="s">
        <v>130</v>
      </c>
      <c r="J281" s="78">
        <f>K281/H281</f>
        <v>11.8125</v>
      </c>
      <c r="K281" s="79">
        <f>'6 - DADOS CC MO'!E91</f>
        <v>2126.25</v>
      </c>
    </row>
    <row r="282" spans="1:11" ht="16.350000000000001" customHeight="1" x14ac:dyDescent="0.25">
      <c r="A282" s="86"/>
      <c r="B282" s="754" t="s">
        <v>135</v>
      </c>
      <c r="C282" s="755" t="s">
        <v>139</v>
      </c>
      <c r="D282" s="755"/>
      <c r="E282" s="755"/>
      <c r="F282" s="755"/>
      <c r="G282" s="755"/>
      <c r="H282" s="77">
        <f>7*15</f>
        <v>105</v>
      </c>
      <c r="I282" s="76" t="s">
        <v>140</v>
      </c>
      <c r="J282" s="78"/>
      <c r="K282" s="79"/>
    </row>
    <row r="283" spans="1:11" ht="16.350000000000001" customHeight="1" x14ac:dyDescent="0.25">
      <c r="A283" s="86"/>
      <c r="B283" s="754"/>
      <c r="C283" s="755"/>
      <c r="D283" s="755"/>
      <c r="E283" s="755"/>
      <c r="F283" s="755"/>
      <c r="G283" s="755"/>
      <c r="H283" s="77">
        <f>H282*8/7</f>
        <v>120</v>
      </c>
      <c r="I283" s="76" t="s">
        <v>141</v>
      </c>
      <c r="J283" s="78">
        <f>J281*0.2</f>
        <v>2.3625000000000003</v>
      </c>
      <c r="K283" s="79">
        <f>H283*J283</f>
        <v>283.50000000000006</v>
      </c>
    </row>
    <row r="284" spans="1:11" ht="16.350000000000001" customHeight="1" x14ac:dyDescent="0.25">
      <c r="A284" s="86"/>
      <c r="B284" s="76" t="s">
        <v>142</v>
      </c>
      <c r="C284" s="83" t="s">
        <v>132</v>
      </c>
      <c r="D284" s="84"/>
      <c r="E284" s="84"/>
      <c r="F284" s="84"/>
      <c r="G284" s="85"/>
      <c r="H284" s="80">
        <f>7+1/3-H285</f>
        <v>3</v>
      </c>
      <c r="I284" s="77" t="s">
        <v>130</v>
      </c>
      <c r="J284" s="267">
        <f>J281*2</f>
        <v>23.625</v>
      </c>
      <c r="K284" s="79">
        <f>J284*H284</f>
        <v>70.875</v>
      </c>
    </row>
    <row r="285" spans="1:11" ht="16.350000000000001" customHeight="1" x14ac:dyDescent="0.25">
      <c r="A285" s="86"/>
      <c r="B285" s="76" t="s">
        <v>143</v>
      </c>
      <c r="C285" s="83" t="s">
        <v>144</v>
      </c>
      <c r="D285" s="84"/>
      <c r="E285" s="84"/>
      <c r="F285" s="84"/>
      <c r="G285" s="85"/>
      <c r="H285" s="80">
        <f>4+1/3</f>
        <v>4.333333333333333</v>
      </c>
      <c r="I285" s="77" t="s">
        <v>130</v>
      </c>
      <c r="J285" s="267"/>
      <c r="K285" s="79"/>
    </row>
    <row r="286" spans="1:11" ht="16.350000000000001" customHeight="1" x14ac:dyDescent="0.25">
      <c r="A286" s="86"/>
      <c r="B286" s="76" t="s">
        <v>145</v>
      </c>
      <c r="C286" s="83" t="s">
        <v>146</v>
      </c>
      <c r="D286" s="84"/>
      <c r="E286" s="84"/>
      <c r="F286" s="84"/>
      <c r="G286" s="85"/>
      <c r="H286" s="80">
        <f>H285*8/7</f>
        <v>4.9523809523809517</v>
      </c>
      <c r="I286" s="77" t="s">
        <v>130</v>
      </c>
      <c r="J286" s="267">
        <f>J281*2*1.2</f>
        <v>28.349999999999998</v>
      </c>
      <c r="K286" s="79">
        <f>J286*H286</f>
        <v>140.39999999999998</v>
      </c>
    </row>
    <row r="287" spans="1:11" ht="16.350000000000001" customHeight="1" x14ac:dyDescent="0.25">
      <c r="A287" s="86"/>
      <c r="B287" s="76" t="s">
        <v>147</v>
      </c>
      <c r="C287" s="83" t="s">
        <v>159</v>
      </c>
      <c r="D287" s="84"/>
      <c r="E287" s="84"/>
      <c r="F287" s="84"/>
      <c r="G287" s="85"/>
      <c r="H287" s="77"/>
      <c r="I287" s="86"/>
      <c r="J287" s="267">
        <f>61/304*(SUM(K283:K286))</f>
        <v>99.280509868421063</v>
      </c>
      <c r="K287" s="79">
        <f>J287</f>
        <v>99.280509868421063</v>
      </c>
    </row>
    <row r="288" spans="1:11" ht="16.350000000000001" customHeight="1" x14ac:dyDescent="0.25">
      <c r="A288" s="86"/>
      <c r="B288" s="76" t="s">
        <v>148</v>
      </c>
      <c r="C288" s="671" t="s">
        <v>136</v>
      </c>
      <c r="D288" s="671"/>
      <c r="E288" s="671"/>
      <c r="F288" s="671"/>
      <c r="G288" s="671"/>
      <c r="H288" s="77">
        <v>40</v>
      </c>
      <c r="I288" s="76" t="s">
        <v>89</v>
      </c>
      <c r="J288" s="81"/>
      <c r="K288" s="79">
        <f>K281*40%</f>
        <v>850.5</v>
      </c>
    </row>
    <row r="289" spans="1:11" ht="16.350000000000001" customHeight="1" x14ac:dyDescent="0.25">
      <c r="A289" s="86"/>
      <c r="B289" s="77"/>
      <c r="C289" s="748" t="s">
        <v>100</v>
      </c>
      <c r="D289" s="748"/>
      <c r="E289" s="748"/>
      <c r="F289" s="748"/>
      <c r="G289" s="748"/>
      <c r="H289" s="748"/>
      <c r="I289" s="748"/>
      <c r="J289" s="87"/>
      <c r="K289" s="88">
        <f>SUM(K281:K288)</f>
        <v>3570.8055098684213</v>
      </c>
    </row>
    <row r="290" spans="1:11" ht="16.350000000000001" customHeight="1" x14ac:dyDescent="0.25">
      <c r="A290" s="86"/>
      <c r="B290" s="73" t="s">
        <v>101</v>
      </c>
      <c r="C290" s="753" t="s">
        <v>102</v>
      </c>
      <c r="D290" s="753"/>
      <c r="E290" s="753"/>
      <c r="F290" s="753"/>
      <c r="G290" s="753"/>
      <c r="H290" s="753"/>
      <c r="I290" s="753"/>
      <c r="J290" s="73" t="s">
        <v>89</v>
      </c>
      <c r="K290" s="73" t="s">
        <v>97</v>
      </c>
    </row>
    <row r="291" spans="1:11" ht="16.350000000000001" customHeight="1" x14ac:dyDescent="0.25">
      <c r="A291" s="86"/>
      <c r="B291" s="76" t="s">
        <v>103</v>
      </c>
      <c r="C291" s="671" t="s">
        <v>104</v>
      </c>
      <c r="D291" s="671"/>
      <c r="E291" s="671"/>
      <c r="F291" s="671"/>
      <c r="G291" s="671"/>
      <c r="H291" s="671"/>
      <c r="I291" s="671"/>
      <c r="J291" s="262">
        <f>'7 - ENCARGOS SOCIAIS'!$D$13</f>
        <v>0.36800000000000005</v>
      </c>
      <c r="K291" s="79">
        <f>J291*K289</f>
        <v>1314.0564276315793</v>
      </c>
    </row>
    <row r="292" spans="1:11" ht="16.350000000000001" customHeight="1" x14ac:dyDescent="0.25">
      <c r="A292" s="86"/>
      <c r="B292" s="76" t="s">
        <v>105</v>
      </c>
      <c r="C292" s="671" t="s">
        <v>106</v>
      </c>
      <c r="D292" s="671"/>
      <c r="E292" s="671"/>
      <c r="F292" s="671"/>
      <c r="G292" s="671"/>
      <c r="H292" s="671"/>
      <c r="I292" s="671"/>
      <c r="J292" s="262">
        <f>'7 - ENCARGOS SOCIAIS'!$D$21</f>
        <v>0.15387245147090212</v>
      </c>
      <c r="K292" s="79">
        <f>J292*K289</f>
        <v>549.44859752925856</v>
      </c>
    </row>
    <row r="293" spans="1:11" ht="16.350000000000001" customHeight="1" x14ac:dyDescent="0.25">
      <c r="A293" s="86"/>
      <c r="B293" s="76" t="s">
        <v>107</v>
      </c>
      <c r="C293" s="671" t="s">
        <v>108</v>
      </c>
      <c r="D293" s="671"/>
      <c r="E293" s="671"/>
      <c r="F293" s="671"/>
      <c r="G293" s="671"/>
      <c r="H293" s="671"/>
      <c r="I293" s="671"/>
      <c r="J293" s="262">
        <f>'7 - ENCARGOS SOCIAIS'!$D$28</f>
        <v>0.12666581537651095</v>
      </c>
      <c r="K293" s="79">
        <f>J293*K289</f>
        <v>452.29899145842148</v>
      </c>
    </row>
    <row r="294" spans="1:11" ht="16.350000000000001" customHeight="1" x14ac:dyDescent="0.25">
      <c r="A294" s="86"/>
      <c r="B294" s="76" t="s">
        <v>109</v>
      </c>
      <c r="C294" s="671" t="s">
        <v>110</v>
      </c>
      <c r="D294" s="671"/>
      <c r="E294" s="671"/>
      <c r="F294" s="671"/>
      <c r="G294" s="671"/>
      <c r="H294" s="671"/>
      <c r="I294" s="671"/>
      <c r="J294" s="262">
        <f>'7 - ENCARGOS SOCIAIS'!$D$32</f>
        <v>5.9231502118822603E-2</v>
      </c>
      <c r="K294" s="79">
        <f>J294*K289</f>
        <v>211.50417412367483</v>
      </c>
    </row>
    <row r="295" spans="1:11" ht="16.350000000000001" customHeight="1" x14ac:dyDescent="0.25">
      <c r="A295" s="86"/>
      <c r="B295" s="89"/>
      <c r="C295" s="750" t="s">
        <v>111</v>
      </c>
      <c r="D295" s="750"/>
      <c r="E295" s="750"/>
      <c r="F295" s="750"/>
      <c r="G295" s="750"/>
      <c r="H295" s="750"/>
      <c r="I295" s="750"/>
      <c r="J295" s="90">
        <f>SUM(J291:J294)</f>
        <v>0.70776976896623567</v>
      </c>
      <c r="K295" s="91">
        <f>SUM(K291:K294)</f>
        <v>2527.3081907429341</v>
      </c>
    </row>
    <row r="296" spans="1:11" ht="16.350000000000001" customHeight="1" x14ac:dyDescent="0.25">
      <c r="A296" s="86"/>
      <c r="B296" s="73" t="s">
        <v>112</v>
      </c>
      <c r="C296" s="751" t="s">
        <v>113</v>
      </c>
      <c r="D296" s="751"/>
      <c r="E296" s="751"/>
      <c r="F296" s="751"/>
      <c r="G296" s="751"/>
      <c r="H296" s="74" t="s">
        <v>114</v>
      </c>
      <c r="I296" s="73" t="s">
        <v>115</v>
      </c>
      <c r="J296" s="73" t="s">
        <v>116</v>
      </c>
      <c r="K296" s="73" t="s">
        <v>97</v>
      </c>
    </row>
    <row r="297" spans="1:11" ht="16.350000000000001" customHeight="1" x14ac:dyDescent="0.25">
      <c r="A297" s="86"/>
      <c r="B297" s="76" t="s">
        <v>117</v>
      </c>
      <c r="C297" s="671" t="s">
        <v>156</v>
      </c>
      <c r="D297" s="671"/>
      <c r="E297" s="671"/>
      <c r="F297" s="671"/>
      <c r="G297" s="671"/>
      <c r="H297" s="76">
        <v>15</v>
      </c>
      <c r="I297" s="92">
        <v>27.15</v>
      </c>
      <c r="J297" s="93">
        <v>0.19</v>
      </c>
      <c r="K297" s="94">
        <f>(H297*I297)-((H297*I297)*0.19)</f>
        <v>329.8725</v>
      </c>
    </row>
    <row r="298" spans="1:11" ht="16.350000000000001" customHeight="1" x14ac:dyDescent="0.25">
      <c r="A298" s="86"/>
      <c r="B298" s="76" t="s">
        <v>119</v>
      </c>
      <c r="C298" s="671" t="s">
        <v>160</v>
      </c>
      <c r="D298" s="671"/>
      <c r="E298" s="671"/>
      <c r="F298" s="671"/>
      <c r="G298" s="671"/>
      <c r="H298" s="76">
        <f>H297*4</f>
        <v>60</v>
      </c>
      <c r="I298" s="95">
        <v>6.25</v>
      </c>
      <c r="J298" s="93">
        <v>0.06</v>
      </c>
      <c r="K298" s="94">
        <f>(H298*I298)-(K281*0.06)</f>
        <v>247.42500000000001</v>
      </c>
    </row>
    <row r="299" spans="1:11" ht="16.350000000000001" customHeight="1" x14ac:dyDescent="0.25">
      <c r="A299" s="86"/>
      <c r="B299" s="76" t="s">
        <v>121</v>
      </c>
      <c r="C299" s="671" t="s">
        <v>122</v>
      </c>
      <c r="D299" s="671"/>
      <c r="E299" s="671"/>
      <c r="F299" s="671"/>
      <c r="G299" s="671"/>
      <c r="H299" s="77">
        <v>1</v>
      </c>
      <c r="I299" s="92">
        <f>'6 - DADOS CC MO'!E93</f>
        <v>25.52</v>
      </c>
      <c r="J299" s="96"/>
      <c r="K299" s="97">
        <f>I299</f>
        <v>25.52</v>
      </c>
    </row>
    <row r="300" spans="1:11" ht="16.350000000000001" customHeight="1" x14ac:dyDescent="0.25">
      <c r="A300" s="86"/>
      <c r="B300" s="76" t="s">
        <v>152</v>
      </c>
      <c r="C300" s="671" t="s">
        <v>153</v>
      </c>
      <c r="D300" s="671"/>
      <c r="E300" s="671"/>
      <c r="F300" s="671"/>
      <c r="G300" s="671"/>
      <c r="H300" s="77">
        <v>1</v>
      </c>
      <c r="I300" s="92">
        <v>80</v>
      </c>
      <c r="J300" s="96"/>
      <c r="K300" s="97">
        <f>I300</f>
        <v>80</v>
      </c>
    </row>
    <row r="301" spans="1:11" ht="16.350000000000001" customHeight="1" x14ac:dyDescent="0.25">
      <c r="A301" s="86"/>
      <c r="B301" s="96"/>
      <c r="C301" s="748" t="s">
        <v>123</v>
      </c>
      <c r="D301" s="748"/>
      <c r="E301" s="748"/>
      <c r="F301" s="748"/>
      <c r="G301" s="748"/>
      <c r="H301" s="748"/>
      <c r="I301" s="748"/>
      <c r="J301" s="87"/>
      <c r="K301" s="98">
        <f>SUM(K297:K300)</f>
        <v>682.8175</v>
      </c>
    </row>
    <row r="302" spans="1:11" ht="16.350000000000001" customHeight="1" x14ac:dyDescent="0.25">
      <c r="A302" s="86"/>
      <c r="B302" s="749" t="s">
        <v>169</v>
      </c>
      <c r="C302" s="749"/>
      <c r="D302" s="749"/>
      <c r="E302" s="749"/>
      <c r="F302" s="749"/>
      <c r="G302" s="749"/>
      <c r="H302" s="749"/>
      <c r="I302" s="749"/>
      <c r="J302" s="749"/>
      <c r="K302" s="99">
        <f>K301+K295+K289</f>
        <v>6780.931200611356</v>
      </c>
    </row>
    <row r="303" spans="1:11" ht="16.350000000000001" customHeight="1" x14ac:dyDescent="0.25">
      <c r="A303" s="86"/>
      <c r="B303" s="838" t="s">
        <v>526</v>
      </c>
      <c r="C303" s="838"/>
      <c r="D303" s="838"/>
      <c r="E303" s="838"/>
      <c r="F303" s="838"/>
      <c r="G303" s="838"/>
      <c r="H303" s="838"/>
      <c r="I303" s="838"/>
      <c r="J303" s="838"/>
      <c r="K303" s="100">
        <f>K302*2</f>
        <v>13561.862401222712</v>
      </c>
    </row>
    <row r="304" spans="1:11" ht="16.350000000000001" customHeight="1" x14ac:dyDescent="0.25">
      <c r="A304" s="86"/>
      <c r="B304" s="86"/>
      <c r="C304" s="86"/>
      <c r="D304" s="86"/>
      <c r="E304" s="86"/>
      <c r="F304" s="86"/>
      <c r="G304" s="86"/>
      <c r="H304" s="86"/>
      <c r="I304" s="86"/>
      <c r="J304" s="86"/>
      <c r="K304" s="252"/>
    </row>
    <row r="305" spans="1:12" ht="16.350000000000001" customHeight="1" x14ac:dyDescent="0.25">
      <c r="A305" s="86"/>
      <c r="B305" s="779" t="s">
        <v>527</v>
      </c>
      <c r="C305" s="779"/>
      <c r="D305" s="779"/>
      <c r="E305" s="779"/>
      <c r="F305" s="779"/>
      <c r="G305" s="779"/>
      <c r="H305" s="779"/>
      <c r="I305" s="779"/>
      <c r="J305" s="779"/>
      <c r="K305" s="280">
        <f>K303+K277+K255+K233+K211+K186+K165+K140+K119+K100+K75+K54</f>
        <v>102201.62465215188</v>
      </c>
      <c r="L305" s="541"/>
    </row>
    <row r="306" spans="1:12" ht="16.350000000000001" customHeight="1" x14ac:dyDescent="0.25">
      <c r="A306" s="86"/>
      <c r="B306" s="86"/>
      <c r="C306" s="86"/>
      <c r="D306" s="86"/>
      <c r="E306" s="86"/>
      <c r="F306" s="86"/>
      <c r="G306" s="86"/>
      <c r="H306" s="86"/>
      <c r="I306" s="86"/>
      <c r="J306" s="86"/>
      <c r="K306" s="252"/>
    </row>
    <row r="307" spans="1:12" ht="16.350000000000001" customHeight="1" x14ac:dyDescent="0.25">
      <c r="A307" s="86"/>
      <c r="B307" s="86"/>
      <c r="C307" s="86"/>
      <c r="D307" s="86"/>
      <c r="E307" s="86"/>
      <c r="F307" s="86"/>
      <c r="G307" s="86"/>
      <c r="H307" s="86"/>
      <c r="I307" s="86"/>
      <c r="J307" s="86"/>
      <c r="K307" s="252"/>
    </row>
    <row r="308" spans="1:12" ht="16.350000000000001" customHeight="1" x14ac:dyDescent="0.25">
      <c r="A308" s="86"/>
      <c r="B308" s="788" t="s">
        <v>172</v>
      </c>
      <c r="C308" s="788"/>
      <c r="D308" s="788"/>
      <c r="E308" s="788"/>
      <c r="F308" s="788"/>
      <c r="G308" s="788"/>
      <c r="H308" s="788"/>
      <c r="I308" s="788"/>
      <c r="J308" s="788"/>
      <c r="K308" s="788"/>
    </row>
    <row r="309" spans="1:12" ht="16.350000000000001" customHeight="1" x14ac:dyDescent="0.25">
      <c r="A309" s="86"/>
      <c r="B309" s="86"/>
      <c r="C309" s="86"/>
      <c r="D309" s="86"/>
      <c r="E309" s="86"/>
      <c r="F309" s="86"/>
      <c r="G309" s="86"/>
      <c r="H309" s="86"/>
      <c r="I309" s="86"/>
      <c r="J309" s="86"/>
      <c r="K309" s="252"/>
    </row>
    <row r="310" spans="1:12" ht="16.350000000000001" customHeight="1" x14ac:dyDescent="0.25">
      <c r="A310" s="86"/>
      <c r="B310" s="752" t="s">
        <v>173</v>
      </c>
      <c r="C310" s="752"/>
      <c r="D310" s="752"/>
      <c r="E310" s="752"/>
      <c r="F310" s="752"/>
      <c r="G310" s="752"/>
      <c r="H310" s="752"/>
      <c r="I310" s="752"/>
      <c r="J310" s="752"/>
      <c r="K310" s="752"/>
    </row>
    <row r="311" spans="1:12" ht="30" x14ac:dyDescent="0.25">
      <c r="A311" s="86"/>
      <c r="B311" s="750" t="s">
        <v>174</v>
      </c>
      <c r="C311" s="750"/>
      <c r="D311" s="750"/>
      <c r="E311" s="750"/>
      <c r="F311" s="750"/>
      <c r="G311" s="253" t="s">
        <v>1678</v>
      </c>
      <c r="H311" s="253" t="s">
        <v>176</v>
      </c>
      <c r="I311" s="832" t="s">
        <v>177</v>
      </c>
      <c r="J311" s="832"/>
      <c r="K311" s="89" t="s">
        <v>178</v>
      </c>
      <c r="L311" s="545"/>
    </row>
    <row r="312" spans="1:12" ht="16.350000000000001" customHeight="1" x14ac:dyDescent="0.25">
      <c r="A312" s="86"/>
      <c r="B312" s="797" t="s">
        <v>179</v>
      </c>
      <c r="C312" s="797"/>
      <c r="D312" s="797"/>
      <c r="E312" s="797"/>
      <c r="F312" s="797"/>
      <c r="G312" s="77">
        <v>2</v>
      </c>
      <c r="H312" s="31">
        <f>'10 - CUSTOS UN'!J36</f>
        <v>21.349999999999998</v>
      </c>
      <c r="I312" s="798">
        <f>H312/6</f>
        <v>3.5583333333333331</v>
      </c>
      <c r="J312" s="798"/>
      <c r="K312" s="94">
        <f>I312*G312</f>
        <v>7.1166666666666663</v>
      </c>
    </row>
    <row r="313" spans="1:12" ht="16.350000000000001" customHeight="1" x14ac:dyDescent="0.25">
      <c r="A313" s="86"/>
      <c r="B313" s="829" t="s">
        <v>180</v>
      </c>
      <c r="C313" s="829"/>
      <c r="D313" s="829"/>
      <c r="E313" s="829"/>
      <c r="F313" s="829"/>
      <c r="G313" s="282">
        <v>1</v>
      </c>
      <c r="H313" s="114">
        <f>'10 - CUSTOS UN'!J63</f>
        <v>111.56333333333333</v>
      </c>
      <c r="I313" s="807">
        <f>H313/6</f>
        <v>18.593888888888888</v>
      </c>
      <c r="J313" s="807"/>
      <c r="K313" s="284">
        <f>I313*G313</f>
        <v>18.593888888888888</v>
      </c>
    </row>
    <row r="314" spans="1:12" ht="16.350000000000001" customHeight="1" x14ac:dyDescent="0.25">
      <c r="A314" s="86"/>
      <c r="B314" s="801" t="s">
        <v>371</v>
      </c>
      <c r="C314" s="801"/>
      <c r="D314" s="801"/>
      <c r="E314" s="801"/>
      <c r="F314" s="801"/>
      <c r="G314" s="285"/>
      <c r="H314" s="285"/>
      <c r="I314" s="813"/>
      <c r="J314" s="813"/>
      <c r="K314" s="286">
        <f>SUM(K312:K313)</f>
        <v>25.710555555555555</v>
      </c>
    </row>
    <row r="315" spans="1:12" ht="16.350000000000001" customHeight="1" x14ac:dyDescent="0.25">
      <c r="A315" s="86"/>
      <c r="B315" s="805" t="s">
        <v>528</v>
      </c>
      <c r="C315" s="805"/>
      <c r="D315" s="805"/>
      <c r="E315" s="805"/>
      <c r="F315" s="805"/>
      <c r="G315" s="96"/>
      <c r="H315" s="96"/>
      <c r="I315" s="816">
        <f>K314</f>
        <v>25.710555555555555</v>
      </c>
      <c r="J315" s="816"/>
      <c r="K315" s="98">
        <f>K314*2</f>
        <v>51.421111111111109</v>
      </c>
    </row>
    <row r="316" spans="1:12" ht="16.350000000000001" customHeight="1" x14ac:dyDescent="0.25">
      <c r="A316" s="86"/>
      <c r="B316" s="86"/>
      <c r="C316" s="86"/>
      <c r="D316" s="86"/>
      <c r="E316" s="86"/>
      <c r="F316" s="86"/>
      <c r="G316" s="86"/>
      <c r="H316" s="86"/>
      <c r="I316" s="86"/>
      <c r="J316" s="86"/>
      <c r="K316" s="252"/>
    </row>
    <row r="317" spans="1:12" ht="16.350000000000001" customHeight="1" x14ac:dyDescent="0.25">
      <c r="A317" s="86"/>
      <c r="B317" s="752" t="s">
        <v>529</v>
      </c>
      <c r="C317" s="752"/>
      <c r="D317" s="752"/>
      <c r="E317" s="752"/>
      <c r="F317" s="752"/>
      <c r="G317" s="752"/>
      <c r="H317" s="752"/>
      <c r="I317" s="752"/>
      <c r="J317" s="752"/>
      <c r="K317" s="752"/>
    </row>
    <row r="318" spans="1:12" ht="30" x14ac:dyDescent="0.25">
      <c r="A318" s="86"/>
      <c r="B318" s="750" t="s">
        <v>174</v>
      </c>
      <c r="C318" s="750"/>
      <c r="D318" s="750"/>
      <c r="E318" s="750"/>
      <c r="F318" s="750"/>
      <c r="G318" s="253" t="s">
        <v>1678</v>
      </c>
      <c r="H318" s="253" t="s">
        <v>176</v>
      </c>
      <c r="I318" s="832" t="s">
        <v>177</v>
      </c>
      <c r="J318" s="832"/>
      <c r="K318" s="89" t="s">
        <v>178</v>
      </c>
      <c r="L318" s="545"/>
    </row>
    <row r="319" spans="1:12" ht="16.350000000000001" customHeight="1" x14ac:dyDescent="0.25">
      <c r="A319" s="86"/>
      <c r="B319" s="797" t="s">
        <v>179</v>
      </c>
      <c r="C319" s="797"/>
      <c r="D319" s="797"/>
      <c r="E319" s="797"/>
      <c r="F319" s="797"/>
      <c r="G319" s="77">
        <v>2</v>
      </c>
      <c r="H319" s="30">
        <f>'10 - CUSTOS UN'!$J$36</f>
        <v>21.349999999999998</v>
      </c>
      <c r="I319" s="816">
        <f t="shared" ref="I319:I325" si="1">H319/6</f>
        <v>3.5583333333333331</v>
      </c>
      <c r="J319" s="816"/>
      <c r="K319" s="257">
        <f t="shared" ref="K319:K325" si="2">I319*G319</f>
        <v>7.1166666666666663</v>
      </c>
    </row>
    <row r="320" spans="1:12" ht="16.350000000000001" customHeight="1" x14ac:dyDescent="0.25">
      <c r="A320" s="86"/>
      <c r="B320" s="797" t="s">
        <v>184</v>
      </c>
      <c r="C320" s="797"/>
      <c r="D320" s="797"/>
      <c r="E320" s="797"/>
      <c r="F320" s="797"/>
      <c r="G320" s="77">
        <v>1</v>
      </c>
      <c r="H320" s="30">
        <f>'10 - CUSTOS UN'!$J$27</f>
        <v>67.736666666666665</v>
      </c>
      <c r="I320" s="816">
        <f t="shared" si="1"/>
        <v>11.289444444444444</v>
      </c>
      <c r="J320" s="816"/>
      <c r="K320" s="257">
        <f t="shared" si="2"/>
        <v>11.289444444444444</v>
      </c>
    </row>
    <row r="321" spans="1:12" ht="16.350000000000001" customHeight="1" x14ac:dyDescent="0.25">
      <c r="A321" s="86"/>
      <c r="B321" s="797" t="s">
        <v>185</v>
      </c>
      <c r="C321" s="797"/>
      <c r="D321" s="797"/>
      <c r="E321" s="797"/>
      <c r="F321" s="797"/>
      <c r="G321" s="77">
        <v>1</v>
      </c>
      <c r="H321" s="30">
        <f>'10 - CUSTOS UN'!$J$66</f>
        <v>156.05666666666664</v>
      </c>
      <c r="I321" s="816">
        <f t="shared" si="1"/>
        <v>26.009444444444441</v>
      </c>
      <c r="J321" s="816"/>
      <c r="K321" s="257">
        <f t="shared" si="2"/>
        <v>26.009444444444441</v>
      </c>
    </row>
    <row r="322" spans="1:12" ht="16.350000000000001" customHeight="1" x14ac:dyDescent="0.25">
      <c r="A322" s="86"/>
      <c r="B322" s="797" t="s">
        <v>186</v>
      </c>
      <c r="C322" s="797"/>
      <c r="D322" s="797"/>
      <c r="E322" s="797"/>
      <c r="F322" s="797"/>
      <c r="G322" s="77">
        <v>1</v>
      </c>
      <c r="H322" s="30">
        <f>'10 - CUSTOS UN'!$J$30</f>
        <v>84.38</v>
      </c>
      <c r="I322" s="816">
        <f t="shared" si="1"/>
        <v>14.063333333333333</v>
      </c>
      <c r="J322" s="816"/>
      <c r="K322" s="257">
        <f t="shared" si="2"/>
        <v>14.063333333333333</v>
      </c>
    </row>
    <row r="323" spans="1:12" ht="16.350000000000001" customHeight="1" x14ac:dyDescent="0.25">
      <c r="A323" s="86"/>
      <c r="B323" s="797" t="s">
        <v>187</v>
      </c>
      <c r="C323" s="797"/>
      <c r="D323" s="797"/>
      <c r="E323" s="797"/>
      <c r="F323" s="797"/>
      <c r="G323" s="77">
        <v>2</v>
      </c>
      <c r="H323" s="30">
        <f>'10 - CUSTOS UN'!$J$72</f>
        <v>8.2700000000000014</v>
      </c>
      <c r="I323" s="816">
        <f t="shared" si="1"/>
        <v>1.3783333333333336</v>
      </c>
      <c r="J323" s="816"/>
      <c r="K323" s="257">
        <f t="shared" si="2"/>
        <v>2.7566666666666673</v>
      </c>
    </row>
    <row r="324" spans="1:12" ht="16.350000000000001" customHeight="1" x14ac:dyDescent="0.25">
      <c r="A324" s="86"/>
      <c r="B324" s="797" t="s">
        <v>188</v>
      </c>
      <c r="C324" s="797"/>
      <c r="D324" s="797"/>
      <c r="E324" s="797"/>
      <c r="F324" s="797"/>
      <c r="G324" s="77">
        <v>1</v>
      </c>
      <c r="H324" s="30">
        <f>'10 - CUSTOS UN'!$J$51</f>
        <v>212.1933333333333</v>
      </c>
      <c r="I324" s="816">
        <f t="shared" si="1"/>
        <v>35.365555555555552</v>
      </c>
      <c r="J324" s="816"/>
      <c r="K324" s="257">
        <f t="shared" si="2"/>
        <v>35.365555555555552</v>
      </c>
    </row>
    <row r="325" spans="1:12" ht="16.350000000000001" customHeight="1" x14ac:dyDescent="0.25">
      <c r="A325" s="86"/>
      <c r="B325" s="829" t="s">
        <v>189</v>
      </c>
      <c r="C325" s="829"/>
      <c r="D325" s="829"/>
      <c r="E325" s="829"/>
      <c r="F325" s="829"/>
      <c r="G325" s="282">
        <v>1</v>
      </c>
      <c r="H325" s="117">
        <f>'10 - CUSTOS UN'!$J$48</f>
        <v>18.52</v>
      </c>
      <c r="I325" s="822">
        <f t="shared" si="1"/>
        <v>3.0866666666666664</v>
      </c>
      <c r="J325" s="822"/>
      <c r="K325" s="290">
        <f t="shared" si="2"/>
        <v>3.0866666666666664</v>
      </c>
    </row>
    <row r="326" spans="1:12" ht="16.350000000000001" customHeight="1" x14ac:dyDescent="0.25">
      <c r="A326" s="86"/>
      <c r="B326" s="801" t="s">
        <v>371</v>
      </c>
      <c r="C326" s="801"/>
      <c r="D326" s="801"/>
      <c r="E326" s="801"/>
      <c r="F326" s="801"/>
      <c r="G326" s="285"/>
      <c r="H326" s="285"/>
      <c r="I326" s="837"/>
      <c r="J326" s="837"/>
      <c r="K326" s="286">
        <f>SUM(K319:K325)</f>
        <v>99.687777777777768</v>
      </c>
    </row>
    <row r="327" spans="1:12" ht="16.350000000000001" customHeight="1" x14ac:dyDescent="0.25">
      <c r="A327" s="86"/>
      <c r="B327" s="805" t="s">
        <v>528</v>
      </c>
      <c r="C327" s="805"/>
      <c r="D327" s="805"/>
      <c r="E327" s="805"/>
      <c r="F327" s="805"/>
      <c r="G327" s="96"/>
      <c r="H327" s="96"/>
      <c r="I327" s="816">
        <f>K326</f>
        <v>99.687777777777768</v>
      </c>
      <c r="J327" s="816"/>
      <c r="K327" s="98">
        <f>K326*2</f>
        <v>199.37555555555554</v>
      </c>
    </row>
    <row r="328" spans="1:12" ht="16.350000000000001" customHeight="1" x14ac:dyDescent="0.25">
      <c r="A328" s="86"/>
      <c r="B328" s="86"/>
      <c r="C328" s="86"/>
      <c r="D328" s="86"/>
      <c r="E328" s="86"/>
      <c r="F328" s="86"/>
      <c r="G328" s="86"/>
      <c r="H328" s="86"/>
      <c r="I328" s="86"/>
      <c r="J328" s="86"/>
      <c r="K328" s="252"/>
    </row>
    <row r="329" spans="1:12" ht="16.350000000000001" customHeight="1" x14ac:dyDescent="0.25">
      <c r="A329" s="86"/>
      <c r="B329" s="752" t="s">
        <v>190</v>
      </c>
      <c r="C329" s="752"/>
      <c r="D329" s="752"/>
      <c r="E329" s="752"/>
      <c r="F329" s="752"/>
      <c r="G329" s="752"/>
      <c r="H329" s="752"/>
      <c r="I329" s="752"/>
      <c r="J329" s="752"/>
      <c r="K329" s="752"/>
    </row>
    <row r="330" spans="1:12" ht="30" x14ac:dyDescent="0.25">
      <c r="A330" s="86"/>
      <c r="B330" s="750" t="s">
        <v>174</v>
      </c>
      <c r="C330" s="750"/>
      <c r="D330" s="750"/>
      <c r="E330" s="750"/>
      <c r="F330" s="750"/>
      <c r="G330" s="539" t="s">
        <v>1678</v>
      </c>
      <c r="H330" s="253" t="s">
        <v>176</v>
      </c>
      <c r="I330" s="832" t="s">
        <v>177</v>
      </c>
      <c r="J330" s="832"/>
      <c r="K330" s="89" t="s">
        <v>178</v>
      </c>
      <c r="L330" s="545"/>
    </row>
    <row r="331" spans="1:12" ht="16.350000000000001" customHeight="1" x14ac:dyDescent="0.25">
      <c r="A331" s="86"/>
      <c r="B331" s="755" t="s">
        <v>179</v>
      </c>
      <c r="C331" s="755"/>
      <c r="D331" s="755"/>
      <c r="E331" s="755"/>
      <c r="F331" s="755"/>
      <c r="G331" s="103">
        <v>2</v>
      </c>
      <c r="H331" s="30">
        <f>'10 - CUSTOS UN'!$J$36</f>
        <v>21.349999999999998</v>
      </c>
      <c r="I331" s="816">
        <f t="shared" ref="I331:I339" si="3">H331/6</f>
        <v>3.5583333333333331</v>
      </c>
      <c r="J331" s="816"/>
      <c r="K331" s="257">
        <f t="shared" ref="K331:K339" si="4">I331*G331</f>
        <v>7.1166666666666663</v>
      </c>
    </row>
    <row r="332" spans="1:12" ht="16.350000000000001" customHeight="1" x14ac:dyDescent="0.25">
      <c r="A332" s="86"/>
      <c r="B332" s="755" t="s">
        <v>180</v>
      </c>
      <c r="C332" s="755"/>
      <c r="D332" s="755"/>
      <c r="E332" s="755"/>
      <c r="F332" s="755"/>
      <c r="G332" s="103">
        <v>1</v>
      </c>
      <c r="H332" s="118">
        <f>'10 - CUSTOS UN'!$J$63</f>
        <v>111.56333333333333</v>
      </c>
      <c r="I332" s="834">
        <f t="shared" si="3"/>
        <v>18.593888888888888</v>
      </c>
      <c r="J332" s="834"/>
      <c r="K332" s="257">
        <f t="shared" si="4"/>
        <v>18.593888888888888</v>
      </c>
    </row>
    <row r="333" spans="1:12" ht="16.350000000000001" customHeight="1" x14ac:dyDescent="0.25">
      <c r="A333" s="86"/>
      <c r="B333" s="755" t="s">
        <v>191</v>
      </c>
      <c r="C333" s="755"/>
      <c r="D333" s="755"/>
      <c r="E333" s="755"/>
      <c r="F333" s="755"/>
      <c r="G333" s="103">
        <v>1</v>
      </c>
      <c r="H333" s="118">
        <f>'10 - CUSTOS UN'!J78</f>
        <v>146.51999999999998</v>
      </c>
      <c r="I333" s="834">
        <f t="shared" si="3"/>
        <v>24.419999999999998</v>
      </c>
      <c r="J333" s="834"/>
      <c r="K333" s="257">
        <f t="shared" si="4"/>
        <v>24.419999999999998</v>
      </c>
    </row>
    <row r="334" spans="1:12" ht="16.350000000000001" customHeight="1" x14ac:dyDescent="0.25">
      <c r="A334" s="86"/>
      <c r="B334" s="797" t="s">
        <v>192</v>
      </c>
      <c r="C334" s="797"/>
      <c r="D334" s="797"/>
      <c r="E334" s="797"/>
      <c r="F334" s="797"/>
      <c r="G334" s="4">
        <v>1</v>
      </c>
      <c r="H334" s="30">
        <f>'10 - CUSTOS UN'!J81</f>
        <v>134.89000000000001</v>
      </c>
      <c r="I334" s="834">
        <f t="shared" si="3"/>
        <v>22.481666666666669</v>
      </c>
      <c r="J334" s="834"/>
      <c r="K334" s="257">
        <f t="shared" si="4"/>
        <v>22.481666666666669</v>
      </c>
    </row>
    <row r="335" spans="1:12" ht="16.350000000000001" customHeight="1" x14ac:dyDescent="0.25">
      <c r="A335" s="86"/>
      <c r="B335" s="797" t="s">
        <v>193</v>
      </c>
      <c r="C335" s="797"/>
      <c r="D335" s="797"/>
      <c r="E335" s="797"/>
      <c r="F335" s="797"/>
      <c r="G335" s="4">
        <v>2</v>
      </c>
      <c r="H335" s="30">
        <f>'10 - CUSTOS UN'!J54</f>
        <v>10.023333333333333</v>
      </c>
      <c r="I335" s="834">
        <f t="shared" si="3"/>
        <v>1.6705555555555556</v>
      </c>
      <c r="J335" s="834"/>
      <c r="K335" s="257">
        <f t="shared" si="4"/>
        <v>3.3411111111111111</v>
      </c>
    </row>
    <row r="336" spans="1:12" ht="16.350000000000001" customHeight="1" x14ac:dyDescent="0.25">
      <c r="A336" s="86"/>
      <c r="B336" s="797" t="s">
        <v>194</v>
      </c>
      <c r="C336" s="797"/>
      <c r="D336" s="797"/>
      <c r="E336" s="797"/>
      <c r="F336" s="797"/>
      <c r="G336" s="4">
        <v>1</v>
      </c>
      <c r="H336" s="30">
        <f>'10 - CUSTOS UN'!$J$90</f>
        <v>3.0066666666666664</v>
      </c>
      <c r="I336" s="834">
        <f t="shared" si="3"/>
        <v>0.50111111111111106</v>
      </c>
      <c r="J336" s="834"/>
      <c r="K336" s="257">
        <f t="shared" si="4"/>
        <v>0.50111111111111106</v>
      </c>
    </row>
    <row r="337" spans="1:12" ht="16.350000000000001" customHeight="1" x14ac:dyDescent="0.25">
      <c r="A337" s="86"/>
      <c r="B337" s="797" t="s">
        <v>195</v>
      </c>
      <c r="C337" s="797"/>
      <c r="D337" s="797"/>
      <c r="E337" s="797"/>
      <c r="F337" s="797"/>
      <c r="G337" s="4">
        <v>2</v>
      </c>
      <c r="H337" s="30">
        <f>'10 - CUSTOS UN'!J75</f>
        <v>2.8833333333333333</v>
      </c>
      <c r="I337" s="834">
        <f t="shared" si="3"/>
        <v>0.48055555555555557</v>
      </c>
      <c r="J337" s="834"/>
      <c r="K337" s="257">
        <f t="shared" si="4"/>
        <v>0.96111111111111114</v>
      </c>
    </row>
    <row r="338" spans="1:12" ht="16.350000000000001" customHeight="1" x14ac:dyDescent="0.25">
      <c r="A338" s="86"/>
      <c r="B338" s="797" t="s">
        <v>186</v>
      </c>
      <c r="C338" s="797"/>
      <c r="D338" s="797"/>
      <c r="E338" s="797"/>
      <c r="F338" s="797"/>
      <c r="G338" s="4">
        <v>1</v>
      </c>
      <c r="H338" s="30">
        <f>'10 - CUSTOS UN'!$J$30</f>
        <v>84.38</v>
      </c>
      <c r="I338" s="834">
        <f t="shared" si="3"/>
        <v>14.063333333333333</v>
      </c>
      <c r="J338" s="834"/>
      <c r="K338" s="257">
        <f t="shared" si="4"/>
        <v>14.063333333333333</v>
      </c>
    </row>
    <row r="339" spans="1:12" ht="16.350000000000001" customHeight="1" x14ac:dyDescent="0.25">
      <c r="A339" s="86"/>
      <c r="B339" s="829" t="s">
        <v>196</v>
      </c>
      <c r="C339" s="829"/>
      <c r="D339" s="829"/>
      <c r="E339" s="829"/>
      <c r="F339" s="829"/>
      <c r="G339" s="113">
        <v>1</v>
      </c>
      <c r="H339" s="117">
        <f>'10 - CUSTOS UN'!$J$42</f>
        <v>16.393333333333334</v>
      </c>
      <c r="I339" s="835">
        <f t="shared" si="3"/>
        <v>2.7322222222222226</v>
      </c>
      <c r="J339" s="835"/>
      <c r="K339" s="290">
        <f t="shared" si="4"/>
        <v>2.7322222222222226</v>
      </c>
    </row>
    <row r="340" spans="1:12" ht="16.350000000000001" customHeight="1" x14ac:dyDescent="0.25">
      <c r="A340" s="86"/>
      <c r="B340" s="801" t="s">
        <v>371</v>
      </c>
      <c r="C340" s="801"/>
      <c r="D340" s="801"/>
      <c r="E340" s="801"/>
      <c r="F340" s="801"/>
      <c r="G340" s="285"/>
      <c r="H340" s="285"/>
      <c r="I340" s="836"/>
      <c r="J340" s="836"/>
      <c r="K340" s="293">
        <f>SUM(K331:K339)</f>
        <v>94.211111111111094</v>
      </c>
    </row>
    <row r="341" spans="1:12" ht="16.350000000000001" customHeight="1" x14ac:dyDescent="0.25">
      <c r="A341" s="86"/>
      <c r="B341" s="805" t="s">
        <v>530</v>
      </c>
      <c r="C341" s="805"/>
      <c r="D341" s="805"/>
      <c r="E341" s="805"/>
      <c r="F341" s="805"/>
      <c r="G341" s="96"/>
      <c r="H341" s="96"/>
      <c r="I341" s="816">
        <f>K340</f>
        <v>94.211111111111094</v>
      </c>
      <c r="J341" s="816"/>
      <c r="K341" s="294">
        <f>K340*4</f>
        <v>376.84444444444438</v>
      </c>
    </row>
    <row r="342" spans="1:12" ht="16.350000000000001" customHeight="1" x14ac:dyDescent="0.25">
      <c r="A342" s="86"/>
      <c r="B342" s="86"/>
      <c r="C342" s="86"/>
      <c r="D342" s="86"/>
      <c r="E342" s="86"/>
      <c r="F342" s="86"/>
      <c r="G342" s="86"/>
      <c r="H342" s="86"/>
      <c r="I342" s="86"/>
      <c r="J342" s="86"/>
      <c r="K342" s="252"/>
    </row>
    <row r="343" spans="1:12" ht="16.350000000000001" customHeight="1" x14ac:dyDescent="0.25">
      <c r="A343" s="86"/>
      <c r="B343" s="752" t="s">
        <v>197</v>
      </c>
      <c r="C343" s="752"/>
      <c r="D343" s="752"/>
      <c r="E343" s="752"/>
      <c r="F343" s="752"/>
      <c r="G343" s="752"/>
      <c r="H343" s="752"/>
      <c r="I343" s="752"/>
      <c r="J343" s="752"/>
      <c r="K343" s="752"/>
    </row>
    <row r="344" spans="1:12" ht="30" x14ac:dyDescent="0.25">
      <c r="A344" s="86"/>
      <c r="B344" s="750" t="s">
        <v>174</v>
      </c>
      <c r="C344" s="750"/>
      <c r="D344" s="750"/>
      <c r="E344" s="750"/>
      <c r="F344" s="750"/>
      <c r="G344" s="539" t="s">
        <v>1678</v>
      </c>
      <c r="H344" s="253" t="s">
        <v>176</v>
      </c>
      <c r="I344" s="832" t="s">
        <v>177</v>
      </c>
      <c r="J344" s="832"/>
      <c r="K344" s="89" t="s">
        <v>178</v>
      </c>
      <c r="L344" s="545"/>
    </row>
    <row r="345" spans="1:12" ht="16.350000000000001" customHeight="1" x14ac:dyDescent="0.25">
      <c r="A345" s="86"/>
      <c r="B345" s="797" t="s">
        <v>179</v>
      </c>
      <c r="C345" s="797"/>
      <c r="D345" s="797"/>
      <c r="E345" s="797"/>
      <c r="F345" s="797"/>
      <c r="G345" s="4">
        <v>2</v>
      </c>
      <c r="H345" s="30">
        <f>'10 - CUSTOS UN'!$J$36</f>
        <v>21.349999999999998</v>
      </c>
      <c r="I345" s="798">
        <f t="shared" ref="I345:I352" si="5">H345/6</f>
        <v>3.5583333333333331</v>
      </c>
      <c r="J345" s="798"/>
      <c r="K345" s="94">
        <f t="shared" ref="K345:K352" si="6">I345*G345</f>
        <v>7.1166666666666663</v>
      </c>
    </row>
    <row r="346" spans="1:12" ht="16.350000000000001" customHeight="1" x14ac:dyDescent="0.25">
      <c r="A346" s="86"/>
      <c r="B346" s="797" t="s">
        <v>180</v>
      </c>
      <c r="C346" s="797"/>
      <c r="D346" s="797"/>
      <c r="E346" s="797"/>
      <c r="F346" s="797"/>
      <c r="G346" s="4">
        <v>1</v>
      </c>
      <c r="H346" s="118">
        <f>'10 - CUSTOS UN'!$J$63</f>
        <v>111.56333333333333</v>
      </c>
      <c r="I346" s="798">
        <f t="shared" si="5"/>
        <v>18.593888888888888</v>
      </c>
      <c r="J346" s="798"/>
      <c r="K346" s="94">
        <f t="shared" si="6"/>
        <v>18.593888888888888</v>
      </c>
    </row>
    <row r="347" spans="1:12" ht="16.350000000000001" customHeight="1" x14ac:dyDescent="0.25">
      <c r="A347" s="86"/>
      <c r="B347" s="797" t="s">
        <v>184</v>
      </c>
      <c r="C347" s="797"/>
      <c r="D347" s="797"/>
      <c r="E347" s="797"/>
      <c r="F347" s="797"/>
      <c r="G347" s="4">
        <v>2</v>
      </c>
      <c r="H347" s="30">
        <f>'10 - CUSTOS UN'!$J$27</f>
        <v>67.736666666666665</v>
      </c>
      <c r="I347" s="798">
        <f t="shared" si="5"/>
        <v>11.289444444444444</v>
      </c>
      <c r="J347" s="798"/>
      <c r="K347" s="94">
        <f t="shared" si="6"/>
        <v>22.578888888888887</v>
      </c>
    </row>
    <row r="348" spans="1:12" ht="16.350000000000001" customHeight="1" x14ac:dyDescent="0.25">
      <c r="A348" s="86"/>
      <c r="B348" s="797" t="s">
        <v>186</v>
      </c>
      <c r="C348" s="797"/>
      <c r="D348" s="797"/>
      <c r="E348" s="797"/>
      <c r="F348" s="797"/>
      <c r="G348" s="4">
        <v>1</v>
      </c>
      <c r="H348" s="30">
        <f>'10 - CUSTOS UN'!$J$30</f>
        <v>84.38</v>
      </c>
      <c r="I348" s="798">
        <f t="shared" si="5"/>
        <v>14.063333333333333</v>
      </c>
      <c r="J348" s="798"/>
      <c r="K348" s="94">
        <f t="shared" si="6"/>
        <v>14.063333333333333</v>
      </c>
    </row>
    <row r="349" spans="1:12" ht="16.350000000000001" customHeight="1" x14ac:dyDescent="0.25">
      <c r="A349" s="86"/>
      <c r="B349" s="797" t="s">
        <v>198</v>
      </c>
      <c r="C349" s="797"/>
      <c r="D349" s="797"/>
      <c r="E349" s="797"/>
      <c r="F349" s="797"/>
      <c r="G349" s="4">
        <v>12</v>
      </c>
      <c r="H349" s="133">
        <f>'10 - CUSTOS UN'!J69</f>
        <v>5.1333333333333337</v>
      </c>
      <c r="I349" s="798">
        <f t="shared" si="5"/>
        <v>0.85555555555555562</v>
      </c>
      <c r="J349" s="798"/>
      <c r="K349" s="94">
        <f t="shared" si="6"/>
        <v>10.266666666666667</v>
      </c>
    </row>
    <row r="350" spans="1:12" ht="16.350000000000001" customHeight="1" x14ac:dyDescent="0.25">
      <c r="A350" s="86"/>
      <c r="B350" s="797" t="s">
        <v>194</v>
      </c>
      <c r="C350" s="797"/>
      <c r="D350" s="797"/>
      <c r="E350" s="797"/>
      <c r="F350" s="797"/>
      <c r="G350" s="4">
        <v>1</v>
      </c>
      <c r="H350" s="30">
        <f>'10 - CUSTOS UN'!$J$90</f>
        <v>3.0066666666666664</v>
      </c>
      <c r="I350" s="798">
        <f t="shared" si="5"/>
        <v>0.50111111111111106</v>
      </c>
      <c r="J350" s="798"/>
      <c r="K350" s="94">
        <f t="shared" si="6"/>
        <v>0.50111111111111106</v>
      </c>
    </row>
    <row r="351" spans="1:12" ht="16.350000000000001" customHeight="1" x14ac:dyDescent="0.25">
      <c r="A351" s="86"/>
      <c r="B351" s="797" t="s">
        <v>199</v>
      </c>
      <c r="C351" s="797"/>
      <c r="D351" s="797"/>
      <c r="E351" s="797"/>
      <c r="F351" s="797"/>
      <c r="G351" s="4">
        <v>1</v>
      </c>
      <c r="H351" s="133">
        <f>'10 - CUSTOS UN'!J9</f>
        <v>8.4966666666666661</v>
      </c>
      <c r="I351" s="798">
        <f t="shared" si="5"/>
        <v>1.4161111111111111</v>
      </c>
      <c r="J351" s="798"/>
      <c r="K351" s="94">
        <f t="shared" si="6"/>
        <v>1.4161111111111111</v>
      </c>
    </row>
    <row r="352" spans="1:12" ht="16.350000000000001" customHeight="1" x14ac:dyDescent="0.25">
      <c r="A352" s="86"/>
      <c r="B352" s="829" t="s">
        <v>196</v>
      </c>
      <c r="C352" s="829"/>
      <c r="D352" s="829"/>
      <c r="E352" s="829"/>
      <c r="F352" s="829"/>
      <c r="G352" s="113">
        <v>1</v>
      </c>
      <c r="H352" s="117">
        <f>'10 - CUSTOS UN'!$J$42</f>
        <v>16.393333333333334</v>
      </c>
      <c r="I352" s="807">
        <f t="shared" si="5"/>
        <v>2.7322222222222226</v>
      </c>
      <c r="J352" s="807"/>
      <c r="K352" s="284">
        <f t="shared" si="6"/>
        <v>2.7322222222222226</v>
      </c>
    </row>
    <row r="353" spans="1:12" ht="16.350000000000001" customHeight="1" x14ac:dyDescent="0.25">
      <c r="A353" s="86"/>
      <c r="B353" s="801" t="s">
        <v>371</v>
      </c>
      <c r="C353" s="801"/>
      <c r="D353" s="801"/>
      <c r="E353" s="801"/>
      <c r="F353" s="801"/>
      <c r="G353" s="285"/>
      <c r="H353" s="285"/>
      <c r="I353" s="827"/>
      <c r="J353" s="827"/>
      <c r="K353" s="293">
        <f>SUM(K345:K352)</f>
        <v>77.268888888888881</v>
      </c>
    </row>
    <row r="354" spans="1:12" ht="16.350000000000001" customHeight="1" x14ac:dyDescent="0.25">
      <c r="A354" s="86"/>
      <c r="B354" s="805" t="s">
        <v>528</v>
      </c>
      <c r="C354" s="805"/>
      <c r="D354" s="805"/>
      <c r="E354" s="805"/>
      <c r="F354" s="805"/>
      <c r="G354" s="96"/>
      <c r="H354" s="96"/>
      <c r="I354" s="816">
        <f>K353</f>
        <v>77.268888888888881</v>
      </c>
      <c r="J354" s="816"/>
      <c r="K354" s="294">
        <f>K353*2</f>
        <v>154.53777777777776</v>
      </c>
    </row>
    <row r="355" spans="1:12" ht="16.350000000000001" customHeight="1" x14ac:dyDescent="0.25">
      <c r="A355" s="86"/>
      <c r="B355" s="833"/>
      <c r="C355" s="833"/>
      <c r="D355" s="833"/>
      <c r="E355" s="833"/>
      <c r="F355" s="833"/>
      <c r="G355" s="86"/>
      <c r="H355" s="86"/>
      <c r="I355" s="833"/>
      <c r="J355" s="833"/>
      <c r="K355" s="296"/>
    </row>
    <row r="356" spans="1:12" ht="16.350000000000001" customHeight="1" x14ac:dyDescent="0.25">
      <c r="A356" s="86"/>
      <c r="B356" s="752" t="s">
        <v>200</v>
      </c>
      <c r="C356" s="752"/>
      <c r="D356" s="752"/>
      <c r="E356" s="752"/>
      <c r="F356" s="752"/>
      <c r="G356" s="752"/>
      <c r="H356" s="752"/>
      <c r="I356" s="752"/>
      <c r="J356" s="752"/>
      <c r="K356" s="752"/>
    </row>
    <row r="357" spans="1:12" ht="30" x14ac:dyDescent="0.25">
      <c r="A357" s="86"/>
      <c r="B357" s="750" t="s">
        <v>174</v>
      </c>
      <c r="C357" s="750"/>
      <c r="D357" s="750"/>
      <c r="E357" s="750"/>
      <c r="F357" s="750"/>
      <c r="G357" s="539" t="s">
        <v>1678</v>
      </c>
      <c r="H357" s="253" t="s">
        <v>176</v>
      </c>
      <c r="I357" s="832" t="s">
        <v>177</v>
      </c>
      <c r="J357" s="832"/>
      <c r="K357" s="89" t="s">
        <v>178</v>
      </c>
      <c r="L357" s="545"/>
    </row>
    <row r="358" spans="1:12" ht="16.350000000000001" customHeight="1" x14ac:dyDescent="0.25">
      <c r="A358" s="86"/>
      <c r="B358" s="797" t="s">
        <v>179</v>
      </c>
      <c r="C358" s="797"/>
      <c r="D358" s="797"/>
      <c r="E358" s="797"/>
      <c r="F358" s="797"/>
      <c r="G358" s="4">
        <v>2</v>
      </c>
      <c r="H358" s="30">
        <f>'10 - CUSTOS UN'!$J$36</f>
        <v>21.349999999999998</v>
      </c>
      <c r="I358" s="816">
        <f>H358/6</f>
        <v>3.5583333333333331</v>
      </c>
      <c r="J358" s="816"/>
      <c r="K358" s="257">
        <f>I358*G358</f>
        <v>7.1166666666666663</v>
      </c>
    </row>
    <row r="359" spans="1:12" ht="16.350000000000001" customHeight="1" x14ac:dyDescent="0.25">
      <c r="A359" s="86"/>
      <c r="B359" s="797" t="s">
        <v>184</v>
      </c>
      <c r="C359" s="797"/>
      <c r="D359" s="797"/>
      <c r="E359" s="797"/>
      <c r="F359" s="797"/>
      <c r="G359" s="4">
        <v>2</v>
      </c>
      <c r="H359" s="30">
        <f>'10 - CUSTOS UN'!$J$27</f>
        <v>67.736666666666665</v>
      </c>
      <c r="I359" s="816">
        <f>H359/6</f>
        <v>11.289444444444444</v>
      </c>
      <c r="J359" s="816"/>
      <c r="K359" s="257">
        <f>I359*G359</f>
        <v>22.578888888888887</v>
      </c>
    </row>
    <row r="360" spans="1:12" ht="16.350000000000001" customHeight="1" x14ac:dyDescent="0.25">
      <c r="A360" s="86"/>
      <c r="B360" s="669" t="s">
        <v>180</v>
      </c>
      <c r="C360" s="669"/>
      <c r="D360" s="669"/>
      <c r="E360" s="669"/>
      <c r="F360" s="669"/>
      <c r="G360" s="4">
        <v>1</v>
      </c>
      <c r="H360" s="118">
        <f>'10 - CUSTOS UN'!$J$63</f>
        <v>111.56333333333333</v>
      </c>
      <c r="I360" s="816">
        <f>H360/6</f>
        <v>18.593888888888888</v>
      </c>
      <c r="J360" s="816"/>
      <c r="K360" s="257">
        <f>I360*G360</f>
        <v>18.593888888888888</v>
      </c>
    </row>
    <row r="361" spans="1:12" ht="16.350000000000001" customHeight="1" x14ac:dyDescent="0.25">
      <c r="A361" s="86"/>
      <c r="B361" s="797" t="s">
        <v>201</v>
      </c>
      <c r="C361" s="797"/>
      <c r="D361" s="797"/>
      <c r="E361" s="797"/>
      <c r="F361" s="797"/>
      <c r="G361" s="4">
        <v>1</v>
      </c>
      <c r="H361" s="30">
        <f>'10 - CUSTOS UN'!$J$30</f>
        <v>84.38</v>
      </c>
      <c r="I361" s="816">
        <f>H361/6</f>
        <v>14.063333333333333</v>
      </c>
      <c r="J361" s="816"/>
      <c r="K361" s="257">
        <f>I361*G361</f>
        <v>14.063333333333333</v>
      </c>
    </row>
    <row r="362" spans="1:12" ht="16.350000000000001" customHeight="1" x14ac:dyDescent="0.25">
      <c r="A362" s="86"/>
      <c r="B362" s="829" t="s">
        <v>202</v>
      </c>
      <c r="C362" s="829"/>
      <c r="D362" s="829"/>
      <c r="E362" s="829"/>
      <c r="F362" s="829"/>
      <c r="G362" s="113">
        <v>1</v>
      </c>
      <c r="H362" s="137">
        <f>'10 - CUSTOS UN'!J48</f>
        <v>18.52</v>
      </c>
      <c r="I362" s="822">
        <f>H362/6</f>
        <v>3.0866666666666664</v>
      </c>
      <c r="J362" s="822"/>
      <c r="K362" s="290">
        <f>I362*G362</f>
        <v>3.0866666666666664</v>
      </c>
    </row>
    <row r="363" spans="1:12" ht="16.350000000000001" customHeight="1" x14ac:dyDescent="0.25">
      <c r="A363" s="86"/>
      <c r="B363" s="801" t="s">
        <v>371</v>
      </c>
      <c r="C363" s="801"/>
      <c r="D363" s="801"/>
      <c r="E363" s="801"/>
      <c r="F363" s="801"/>
      <c r="G363" s="285"/>
      <c r="H363" s="285"/>
      <c r="I363" s="827"/>
      <c r="J363" s="827"/>
      <c r="K363" s="293">
        <f>SUM(K358:K362)</f>
        <v>65.439444444444447</v>
      </c>
    </row>
    <row r="364" spans="1:12" ht="16.350000000000001" customHeight="1" x14ac:dyDescent="0.25">
      <c r="A364" s="86"/>
      <c r="B364" s="805" t="s">
        <v>530</v>
      </c>
      <c r="C364" s="805"/>
      <c r="D364" s="805"/>
      <c r="E364" s="805"/>
      <c r="F364" s="805"/>
      <c r="G364" s="96"/>
      <c r="H364" s="96"/>
      <c r="I364" s="816">
        <f>K363</f>
        <v>65.439444444444447</v>
      </c>
      <c r="J364" s="816"/>
      <c r="K364" s="294">
        <f>K363*4</f>
        <v>261.75777777777779</v>
      </c>
    </row>
    <row r="365" spans="1:12" ht="16.350000000000001" customHeight="1" x14ac:dyDescent="0.25">
      <c r="A365" s="86"/>
      <c r="B365" s="297"/>
      <c r="C365" s="297"/>
      <c r="D365" s="297"/>
      <c r="E365" s="297"/>
      <c r="F365" s="297"/>
      <c r="G365" s="86"/>
      <c r="H365" s="86"/>
      <c r="I365" s="86"/>
      <c r="J365" s="86"/>
      <c r="K365" s="252"/>
    </row>
    <row r="366" spans="1:12" ht="16.350000000000001" customHeight="1" x14ac:dyDescent="0.25">
      <c r="A366" s="86"/>
      <c r="B366" s="779" t="s">
        <v>531</v>
      </c>
      <c r="C366" s="779"/>
      <c r="D366" s="779"/>
      <c r="E366" s="779"/>
      <c r="F366" s="779"/>
      <c r="G366" s="779"/>
      <c r="H366" s="779"/>
      <c r="I366" s="779"/>
      <c r="J366" s="779"/>
      <c r="K366" s="280">
        <f>K364+K354+K341+K327+K315</f>
        <v>1043.9366666666665</v>
      </c>
    </row>
    <row r="367" spans="1:12" ht="16.350000000000001" customHeight="1" x14ac:dyDescent="0.25">
      <c r="A367" s="86"/>
      <c r="B367" s="86"/>
      <c r="C367" s="86"/>
      <c r="D367" s="86"/>
      <c r="E367" s="86"/>
      <c r="F367" s="86"/>
      <c r="G367" s="86"/>
      <c r="H367" s="86"/>
      <c r="I367" s="86"/>
      <c r="J367" s="86"/>
      <c r="K367" s="252"/>
    </row>
    <row r="368" spans="1:12" ht="16.350000000000001" customHeight="1" x14ac:dyDescent="0.25">
      <c r="A368" s="86"/>
      <c r="B368" s="86"/>
      <c r="C368" s="86"/>
      <c r="D368" s="86"/>
      <c r="E368" s="86"/>
      <c r="F368" s="86"/>
      <c r="G368" s="86"/>
      <c r="H368" s="86"/>
      <c r="I368" s="86"/>
      <c r="J368" s="86"/>
      <c r="K368" s="252"/>
    </row>
    <row r="369" spans="1:12" ht="16.350000000000001" customHeight="1" x14ac:dyDescent="0.25">
      <c r="A369" s="86"/>
      <c r="B369" s="788" t="s">
        <v>205</v>
      </c>
      <c r="C369" s="788"/>
      <c r="D369" s="788"/>
      <c r="E369" s="788"/>
      <c r="F369" s="788"/>
      <c r="G369" s="788"/>
      <c r="H369" s="788"/>
      <c r="I369" s="788"/>
      <c r="J369" s="788"/>
      <c r="K369" s="788"/>
    </row>
    <row r="370" spans="1:12" ht="16.350000000000001" customHeight="1" x14ac:dyDescent="0.25">
      <c r="A370" s="86"/>
      <c r="B370" s="86"/>
      <c r="C370" s="86"/>
      <c r="D370" s="86"/>
      <c r="E370" s="86"/>
      <c r="F370" s="86"/>
      <c r="G370" s="86"/>
      <c r="H370" s="86"/>
      <c r="I370" s="86"/>
      <c r="J370" s="86"/>
      <c r="K370" s="252"/>
    </row>
    <row r="371" spans="1:12" ht="16.350000000000001" customHeight="1" x14ac:dyDescent="0.25">
      <c r="A371" s="86"/>
      <c r="B371" s="830" t="s">
        <v>1679</v>
      </c>
      <c r="C371" s="831"/>
      <c r="D371" s="831"/>
      <c r="E371" s="831"/>
      <c r="F371" s="831"/>
      <c r="G371" s="831"/>
      <c r="H371" s="831"/>
      <c r="I371" s="831"/>
      <c r="J371" s="831"/>
      <c r="K371" s="831"/>
    </row>
    <row r="372" spans="1:12" ht="16.350000000000001" customHeight="1" x14ac:dyDescent="0.25">
      <c r="A372" s="86"/>
      <c r="B372" s="815"/>
      <c r="C372" s="815"/>
      <c r="D372" s="815"/>
      <c r="E372" s="815"/>
      <c r="F372" s="815"/>
      <c r="G372" s="815"/>
      <c r="H372" s="815"/>
      <c r="I372" s="815"/>
      <c r="J372" s="815"/>
      <c r="K372" s="815"/>
    </row>
    <row r="373" spans="1:12" ht="16.350000000000001" customHeight="1" x14ac:dyDescent="0.25">
      <c r="A373" s="86"/>
      <c r="B373" s="808" t="s">
        <v>225</v>
      </c>
      <c r="C373" s="808"/>
      <c r="D373" s="808"/>
      <c r="E373" s="808"/>
      <c r="F373" s="808"/>
      <c r="G373" s="808"/>
      <c r="H373" s="808"/>
      <c r="I373" s="808"/>
      <c r="J373" s="808"/>
      <c r="K373" s="808"/>
      <c r="L373" s="576"/>
    </row>
    <row r="374" spans="1:12" ht="16.350000000000001" customHeight="1" x14ac:dyDescent="0.25">
      <c r="A374" s="86"/>
      <c r="B374" s="753" t="s">
        <v>174</v>
      </c>
      <c r="C374" s="753"/>
      <c r="D374" s="753"/>
      <c r="E374" s="753"/>
      <c r="F374" s="753"/>
      <c r="G374" s="73" t="s">
        <v>128</v>
      </c>
      <c r="H374" s="73" t="s">
        <v>129</v>
      </c>
      <c r="I374" s="753" t="s">
        <v>226</v>
      </c>
      <c r="J374" s="753"/>
      <c r="K374" s="73" t="s">
        <v>227</v>
      </c>
      <c r="L374" s="576"/>
    </row>
    <row r="375" spans="1:12" ht="16.350000000000001" customHeight="1" x14ac:dyDescent="0.25">
      <c r="A375" s="86"/>
      <c r="B375" s="671" t="s">
        <v>228</v>
      </c>
      <c r="C375" s="671"/>
      <c r="D375" s="671"/>
      <c r="E375" s="671"/>
      <c r="F375" s="671"/>
      <c r="G375" s="584">
        <v>1</v>
      </c>
      <c r="H375" s="76" t="s">
        <v>229</v>
      </c>
      <c r="I375" s="828">
        <v>42911</v>
      </c>
      <c r="J375" s="828"/>
      <c r="K375" s="257">
        <f>G375*I375</f>
        <v>42911</v>
      </c>
      <c r="L375" s="576"/>
    </row>
    <row r="376" spans="1:12" ht="16.350000000000001" customHeight="1" x14ac:dyDescent="0.25">
      <c r="A376" s="86"/>
      <c r="B376" s="671" t="s">
        <v>230</v>
      </c>
      <c r="C376" s="671"/>
      <c r="D376" s="671"/>
      <c r="E376" s="671"/>
      <c r="F376" s="671"/>
      <c r="G376" s="76">
        <v>60</v>
      </c>
      <c r="H376" s="76" t="s">
        <v>235</v>
      </c>
      <c r="I376" s="816"/>
      <c r="J376" s="816"/>
      <c r="K376" s="257"/>
      <c r="L376" s="576"/>
    </row>
    <row r="377" spans="1:12" ht="16.350000000000001" customHeight="1" x14ac:dyDescent="0.25">
      <c r="A377" s="86"/>
      <c r="B377" s="755" t="s">
        <v>532</v>
      </c>
      <c r="C377" s="755"/>
      <c r="D377" s="755"/>
      <c r="E377" s="755"/>
      <c r="F377" s="755"/>
      <c r="G377" s="76">
        <v>20</v>
      </c>
      <c r="H377" s="76" t="s">
        <v>89</v>
      </c>
      <c r="I377" s="816">
        <f>I375*(G377/100)</f>
        <v>8582.2000000000007</v>
      </c>
      <c r="J377" s="816"/>
      <c r="K377" s="257"/>
      <c r="L377" s="576"/>
    </row>
    <row r="378" spans="1:12" ht="16.350000000000001" customHeight="1" x14ac:dyDescent="0.25">
      <c r="A378" s="86"/>
      <c r="B378" s="818" t="s">
        <v>533</v>
      </c>
      <c r="C378" s="818"/>
      <c r="D378" s="818"/>
      <c r="E378" s="818"/>
      <c r="F378" s="818"/>
      <c r="G378" s="298">
        <v>80</v>
      </c>
      <c r="H378" s="298" t="s">
        <v>89</v>
      </c>
      <c r="I378" s="822">
        <f>I375</f>
        <v>42911</v>
      </c>
      <c r="J378" s="822"/>
      <c r="K378" s="290">
        <f>I378*G378/100</f>
        <v>34328.800000000003</v>
      </c>
      <c r="L378" s="576"/>
    </row>
    <row r="379" spans="1:12" ht="16.350000000000001" customHeight="1" x14ac:dyDescent="0.25">
      <c r="A379" s="86"/>
      <c r="B379" s="823" t="s">
        <v>534</v>
      </c>
      <c r="C379" s="823"/>
      <c r="D379" s="823"/>
      <c r="E379" s="823"/>
      <c r="F379" s="823"/>
      <c r="G379" s="292">
        <v>60</v>
      </c>
      <c r="H379" s="292" t="s">
        <v>235</v>
      </c>
      <c r="I379" s="827">
        <f>K378</f>
        <v>34328.800000000003</v>
      </c>
      <c r="J379" s="827"/>
      <c r="K379" s="293">
        <f>I379/G379</f>
        <v>572.14666666666676</v>
      </c>
      <c r="L379" s="576"/>
    </row>
    <row r="380" spans="1:12" ht="16.350000000000001" customHeight="1" x14ac:dyDescent="0.25">
      <c r="A380" s="86"/>
      <c r="B380" s="825" t="s">
        <v>535</v>
      </c>
      <c r="C380" s="825"/>
      <c r="D380" s="825"/>
      <c r="E380" s="825"/>
      <c r="F380" s="825"/>
      <c r="G380" s="299">
        <v>1</v>
      </c>
      <c r="H380" s="299" t="s">
        <v>229</v>
      </c>
      <c r="I380" s="826">
        <f>K379</f>
        <v>572.14666666666676</v>
      </c>
      <c r="J380" s="826"/>
      <c r="K380" s="300">
        <f>I380*G380</f>
        <v>572.14666666666676</v>
      </c>
      <c r="L380" s="576"/>
    </row>
    <row r="381" spans="1:12" ht="16.350000000000001" customHeight="1" x14ac:dyDescent="0.25">
      <c r="A381" s="86"/>
      <c r="B381" s="815"/>
      <c r="C381" s="815"/>
      <c r="D381" s="815"/>
      <c r="E381" s="815"/>
      <c r="F381" s="815"/>
      <c r="G381" s="815"/>
      <c r="H381" s="815"/>
      <c r="I381" s="815"/>
      <c r="J381" s="815"/>
      <c r="K381" s="815"/>
    </row>
    <row r="382" spans="1:12" ht="16.350000000000001" customHeight="1" x14ac:dyDescent="0.25">
      <c r="A382" s="86"/>
      <c r="B382" s="808" t="s">
        <v>237</v>
      </c>
      <c r="C382" s="808"/>
      <c r="D382" s="808"/>
      <c r="E382" s="808"/>
      <c r="F382" s="808"/>
      <c r="G382" s="808"/>
      <c r="H382" s="808"/>
      <c r="I382" s="808"/>
      <c r="J382" s="808"/>
      <c r="K382" s="808"/>
      <c r="L382" s="576"/>
    </row>
    <row r="383" spans="1:12" ht="16.350000000000001" customHeight="1" x14ac:dyDescent="0.25">
      <c r="A383" s="86"/>
      <c r="B383" s="753" t="s">
        <v>174</v>
      </c>
      <c r="C383" s="753"/>
      <c r="D383" s="753"/>
      <c r="E383" s="753"/>
      <c r="F383" s="753"/>
      <c r="G383" s="75" t="s">
        <v>128</v>
      </c>
      <c r="H383" s="73" t="s">
        <v>129</v>
      </c>
      <c r="I383" s="753" t="s">
        <v>226</v>
      </c>
      <c r="J383" s="753"/>
      <c r="K383" s="73" t="s">
        <v>227</v>
      </c>
      <c r="L383" s="576"/>
    </row>
    <row r="384" spans="1:12" ht="16.350000000000001" customHeight="1" x14ac:dyDescent="0.25">
      <c r="A384" s="86"/>
      <c r="B384" s="755" t="s">
        <v>536</v>
      </c>
      <c r="C384" s="755"/>
      <c r="D384" s="755"/>
      <c r="E384" s="755"/>
      <c r="F384" s="755"/>
      <c r="G384" s="76"/>
      <c r="H384" s="76"/>
      <c r="I384" s="816">
        <f>I375</f>
        <v>42911</v>
      </c>
      <c r="J384" s="816"/>
      <c r="K384" s="288"/>
      <c r="L384" s="576"/>
    </row>
    <row r="385" spans="1:12" ht="16.350000000000001" customHeight="1" x14ac:dyDescent="0.25">
      <c r="A385" s="86"/>
      <c r="B385" s="755" t="s">
        <v>239</v>
      </c>
      <c r="C385" s="755"/>
      <c r="D385" s="755"/>
      <c r="E385" s="755"/>
      <c r="F385" s="755"/>
      <c r="G385" s="585">
        <v>0.13750000000000001</v>
      </c>
      <c r="H385" s="76" t="s">
        <v>89</v>
      </c>
      <c r="I385" s="754"/>
      <c r="J385" s="754"/>
      <c r="K385" s="288"/>
      <c r="L385" s="576"/>
    </row>
    <row r="386" spans="1:12" ht="16.350000000000001" customHeight="1" x14ac:dyDescent="0.25">
      <c r="A386" s="86"/>
      <c r="B386" s="821" t="s">
        <v>537</v>
      </c>
      <c r="C386" s="821"/>
      <c r="D386" s="821"/>
      <c r="E386" s="821"/>
      <c r="F386" s="821"/>
      <c r="G386" s="298"/>
      <c r="H386" s="298"/>
      <c r="I386" s="822">
        <f>(((I384-I377)*((G376+1)/(2*G376)))+I377)</f>
        <v>26032.673333333336</v>
      </c>
      <c r="J386" s="822"/>
      <c r="K386" s="289"/>
      <c r="L386" s="576"/>
    </row>
    <row r="387" spans="1:12" ht="16.350000000000001" customHeight="1" x14ac:dyDescent="0.25">
      <c r="A387" s="86"/>
      <c r="B387" s="823" t="s">
        <v>538</v>
      </c>
      <c r="C387" s="823"/>
      <c r="D387" s="823"/>
      <c r="E387" s="823"/>
      <c r="F387" s="823"/>
      <c r="G387" s="292"/>
      <c r="H387" s="292"/>
      <c r="I387" s="824"/>
      <c r="J387" s="824"/>
      <c r="K387" s="293">
        <f>(I386*(G385/100))/12</f>
        <v>2.9829104861111113</v>
      </c>
      <c r="L387" s="576"/>
    </row>
    <row r="388" spans="1:12" ht="16.350000000000001" customHeight="1" x14ac:dyDescent="0.25">
      <c r="A388" s="86"/>
      <c r="B388" s="825" t="s">
        <v>539</v>
      </c>
      <c r="C388" s="825"/>
      <c r="D388" s="825"/>
      <c r="E388" s="825"/>
      <c r="F388" s="825"/>
      <c r="G388" s="299">
        <v>1</v>
      </c>
      <c r="H388" s="299" t="s">
        <v>229</v>
      </c>
      <c r="I388" s="826">
        <f>K387</f>
        <v>2.9829104861111113</v>
      </c>
      <c r="J388" s="826"/>
      <c r="K388" s="300">
        <f>I388*G388</f>
        <v>2.9829104861111113</v>
      </c>
      <c r="L388" s="576"/>
    </row>
    <row r="389" spans="1:12" ht="54" customHeight="1" x14ac:dyDescent="0.25">
      <c r="A389" s="86"/>
      <c r="B389" s="810" t="s">
        <v>540</v>
      </c>
      <c r="C389" s="810"/>
      <c r="D389" s="810"/>
      <c r="E389" s="810"/>
      <c r="F389" s="810"/>
      <c r="G389" s="810"/>
      <c r="H389" s="810"/>
      <c r="I389" s="810"/>
      <c r="J389" s="810"/>
      <c r="K389" s="810"/>
    </row>
    <row r="390" spans="1:12" ht="16.350000000000001" customHeight="1" x14ac:dyDescent="0.25">
      <c r="A390" s="86"/>
      <c r="B390" s="815"/>
      <c r="C390" s="815"/>
      <c r="D390" s="815"/>
      <c r="E390" s="815"/>
      <c r="F390" s="815"/>
      <c r="G390" s="815"/>
      <c r="H390" s="815"/>
      <c r="I390" s="815"/>
      <c r="J390" s="815"/>
      <c r="K390" s="815"/>
    </row>
    <row r="391" spans="1:12" ht="16.350000000000001" customHeight="1" x14ac:dyDescent="0.25">
      <c r="A391" s="86"/>
      <c r="B391" s="808" t="s">
        <v>245</v>
      </c>
      <c r="C391" s="808"/>
      <c r="D391" s="808"/>
      <c r="E391" s="808"/>
      <c r="F391" s="808"/>
      <c r="G391" s="808"/>
      <c r="H391" s="808"/>
      <c r="I391" s="808"/>
      <c r="J391" s="808"/>
      <c r="K391" s="808"/>
      <c r="L391" s="643"/>
    </row>
    <row r="392" spans="1:12" ht="16.350000000000001" customHeight="1" x14ac:dyDescent="0.25">
      <c r="A392" s="86"/>
      <c r="B392" s="753" t="s">
        <v>174</v>
      </c>
      <c r="C392" s="753"/>
      <c r="D392" s="753"/>
      <c r="E392" s="753"/>
      <c r="F392" s="753"/>
      <c r="G392" s="75" t="s">
        <v>128</v>
      </c>
      <c r="H392" s="73" t="s">
        <v>129</v>
      </c>
      <c r="I392" s="753" t="s">
        <v>226</v>
      </c>
      <c r="J392" s="753"/>
      <c r="K392" s="73" t="s">
        <v>246</v>
      </c>
      <c r="L392" s="643"/>
    </row>
    <row r="393" spans="1:12" ht="16.350000000000001" customHeight="1" x14ac:dyDescent="0.25">
      <c r="A393" s="86"/>
      <c r="B393" s="671" t="s">
        <v>426</v>
      </c>
      <c r="C393" s="671"/>
      <c r="D393" s="671"/>
      <c r="E393" s="671"/>
      <c r="F393" s="671"/>
      <c r="G393" s="584">
        <v>1</v>
      </c>
      <c r="H393" s="76" t="s">
        <v>229</v>
      </c>
      <c r="I393" s="816">
        <f>I375*0.03</f>
        <v>1287.33</v>
      </c>
      <c r="J393" s="816"/>
      <c r="K393" s="257">
        <f>(I393*G393)/12</f>
        <v>107.27749999999999</v>
      </c>
      <c r="L393" s="643"/>
    </row>
    <row r="394" spans="1:12" ht="16.350000000000001" customHeight="1" x14ac:dyDescent="0.25">
      <c r="A394" s="86"/>
      <c r="B394" s="671" t="s">
        <v>427</v>
      </c>
      <c r="C394" s="671"/>
      <c r="D394" s="671"/>
      <c r="E394" s="671"/>
      <c r="F394" s="671"/>
      <c r="G394" s="584">
        <v>1</v>
      </c>
      <c r="H394" s="76" t="s">
        <v>229</v>
      </c>
      <c r="I394" s="817">
        <v>114.09</v>
      </c>
      <c r="J394" s="817"/>
      <c r="K394" s="257">
        <f>(I394*G394)/12</f>
        <v>9.5075000000000003</v>
      </c>
      <c r="L394" s="643"/>
    </row>
    <row r="395" spans="1:12" ht="16.350000000000001" customHeight="1" x14ac:dyDescent="0.25">
      <c r="A395" s="86"/>
      <c r="B395" s="755" t="s">
        <v>247</v>
      </c>
      <c r="C395" s="755"/>
      <c r="D395" s="755"/>
      <c r="E395" s="755"/>
      <c r="F395" s="755"/>
      <c r="G395" s="584">
        <v>1</v>
      </c>
      <c r="H395" s="76" t="s">
        <v>229</v>
      </c>
      <c r="I395" s="817">
        <v>0</v>
      </c>
      <c r="J395" s="817"/>
      <c r="K395" s="257">
        <f>(I395*G395)/60</f>
        <v>0</v>
      </c>
      <c r="L395" s="643"/>
    </row>
    <row r="396" spans="1:12" ht="16.350000000000001" customHeight="1" x14ac:dyDescent="0.25">
      <c r="A396" s="86"/>
      <c r="B396" s="671" t="s">
        <v>428</v>
      </c>
      <c r="C396" s="671"/>
      <c r="D396" s="671"/>
      <c r="E396" s="671"/>
      <c r="F396" s="671"/>
      <c r="G396" s="584">
        <v>1</v>
      </c>
      <c r="H396" s="76" t="s">
        <v>229</v>
      </c>
      <c r="I396" s="817">
        <f>'10 - CUSTOS UN'!J252</f>
        <v>858.83333333333337</v>
      </c>
      <c r="J396" s="817"/>
      <c r="K396" s="257">
        <f>(I396/12)*G396</f>
        <v>71.569444444444443</v>
      </c>
      <c r="L396" s="643"/>
    </row>
    <row r="397" spans="1:12" ht="16.350000000000001" customHeight="1" x14ac:dyDescent="0.25">
      <c r="A397" s="86"/>
      <c r="B397" s="818" t="s">
        <v>429</v>
      </c>
      <c r="C397" s="818"/>
      <c r="D397" s="818"/>
      <c r="E397" s="818"/>
      <c r="F397" s="818"/>
      <c r="G397" s="586">
        <v>1</v>
      </c>
      <c r="H397" s="298" t="s">
        <v>229</v>
      </c>
      <c r="I397" s="819">
        <f>'10 - CUSTOS UN'!J233</f>
        <v>57.093333333333334</v>
      </c>
      <c r="J397" s="819"/>
      <c r="K397" s="290">
        <f>I397*G397</f>
        <v>57.093333333333334</v>
      </c>
      <c r="L397" s="643"/>
    </row>
    <row r="398" spans="1:12" ht="16.350000000000001" customHeight="1" x14ac:dyDescent="0.25">
      <c r="A398" s="86"/>
      <c r="B398" s="820" t="s">
        <v>248</v>
      </c>
      <c r="C398" s="820"/>
      <c r="D398" s="820"/>
      <c r="E398" s="820"/>
      <c r="F398" s="820"/>
      <c r="G398" s="89"/>
      <c r="H398" s="89"/>
      <c r="I398" s="750"/>
      <c r="J398" s="750"/>
      <c r="K398" s="294">
        <f>SUM(K393:K397)</f>
        <v>245.44777777777776</v>
      </c>
      <c r="L398" s="643"/>
    </row>
    <row r="399" spans="1:12" ht="16.350000000000001" customHeight="1" x14ac:dyDescent="0.25">
      <c r="A399" s="86"/>
      <c r="B399" s="809" t="s">
        <v>249</v>
      </c>
      <c r="C399" s="809"/>
      <c r="D399" s="809"/>
      <c r="E399" s="809"/>
      <c r="F399" s="809"/>
      <c r="G399" s="301">
        <v>1</v>
      </c>
      <c r="H399" s="301" t="s">
        <v>229</v>
      </c>
      <c r="I399" s="804">
        <f>K398</f>
        <v>245.44777777777776</v>
      </c>
      <c r="J399" s="804"/>
      <c r="K399" s="302">
        <f>I399*G399</f>
        <v>245.44777777777776</v>
      </c>
      <c r="L399" s="643"/>
    </row>
    <row r="400" spans="1:12" ht="16.350000000000001" customHeight="1" x14ac:dyDescent="0.25">
      <c r="A400" s="86"/>
      <c r="B400" s="781"/>
      <c r="C400" s="781"/>
      <c r="D400" s="781"/>
      <c r="E400" s="781"/>
      <c r="F400" s="781"/>
      <c r="G400" s="781"/>
      <c r="H400" s="781"/>
      <c r="I400" s="781"/>
      <c r="J400" s="781"/>
      <c r="K400" s="781"/>
    </row>
    <row r="401" spans="1:12" ht="16.350000000000001" customHeight="1" x14ac:dyDescent="0.25">
      <c r="A401" s="86"/>
      <c r="B401" s="808" t="s">
        <v>250</v>
      </c>
      <c r="C401" s="808"/>
      <c r="D401" s="808"/>
      <c r="E401" s="808"/>
      <c r="F401" s="808"/>
      <c r="G401" s="808"/>
      <c r="H401" s="808"/>
      <c r="I401" s="808"/>
      <c r="J401" s="808"/>
      <c r="K401" s="808"/>
      <c r="L401" s="576"/>
    </row>
    <row r="402" spans="1:12" ht="16.350000000000001" customHeight="1" x14ac:dyDescent="0.25">
      <c r="A402" s="86"/>
      <c r="B402" s="753" t="s">
        <v>174</v>
      </c>
      <c r="C402" s="753"/>
      <c r="D402" s="753"/>
      <c r="E402" s="753"/>
      <c r="F402" s="753"/>
      <c r="G402" s="73" t="s">
        <v>128</v>
      </c>
      <c r="H402" s="73" t="s">
        <v>129</v>
      </c>
      <c r="I402" s="753" t="s">
        <v>226</v>
      </c>
      <c r="J402" s="753"/>
      <c r="K402" s="73" t="s">
        <v>251</v>
      </c>
      <c r="L402" s="576"/>
    </row>
    <row r="403" spans="1:12" ht="16.350000000000001" customHeight="1" x14ac:dyDescent="0.25">
      <c r="A403" s="86"/>
      <c r="B403" s="797" t="s">
        <v>252</v>
      </c>
      <c r="C403" s="797"/>
      <c r="D403" s="797"/>
      <c r="E403" s="797"/>
      <c r="F403" s="797"/>
      <c r="G403" s="587">
        <v>1500</v>
      </c>
      <c r="H403" s="77" t="s">
        <v>253</v>
      </c>
      <c r="I403" s="796"/>
      <c r="J403" s="796"/>
      <c r="K403" s="288"/>
      <c r="L403" s="576"/>
    </row>
    <row r="404" spans="1:12" ht="16.350000000000001" customHeight="1" x14ac:dyDescent="0.25">
      <c r="A404" s="86"/>
      <c r="B404" s="669" t="s">
        <v>254</v>
      </c>
      <c r="C404" s="669"/>
      <c r="D404" s="669"/>
      <c r="E404" s="669"/>
      <c r="F404" s="669"/>
      <c r="G404" s="77">
        <v>1</v>
      </c>
      <c r="H404" s="77" t="s">
        <v>229</v>
      </c>
      <c r="I404" s="796"/>
      <c r="J404" s="796"/>
      <c r="K404" s="288"/>
      <c r="L404" s="576"/>
    </row>
    <row r="405" spans="1:12" ht="16.350000000000001" customHeight="1" x14ac:dyDescent="0.25">
      <c r="A405" s="86"/>
      <c r="B405" s="797" t="s">
        <v>541</v>
      </c>
      <c r="C405" s="797"/>
      <c r="D405" s="797"/>
      <c r="E405" s="797"/>
      <c r="F405" s="797"/>
      <c r="G405" s="77">
        <v>12.9</v>
      </c>
      <c r="H405" s="77" t="s">
        <v>256</v>
      </c>
      <c r="I405" s="796"/>
      <c r="J405" s="796"/>
      <c r="K405" s="288"/>
      <c r="L405" s="576"/>
    </row>
    <row r="406" spans="1:12" ht="16.350000000000001" customHeight="1" x14ac:dyDescent="0.25">
      <c r="A406" s="86"/>
      <c r="B406" s="811" t="s">
        <v>542</v>
      </c>
      <c r="C406" s="811"/>
      <c r="D406" s="811"/>
      <c r="E406" s="811"/>
      <c r="F406" s="811"/>
      <c r="G406" s="304">
        <v>1</v>
      </c>
      <c r="H406" s="304" t="s">
        <v>258</v>
      </c>
      <c r="I406" s="812">
        <v>6.62</v>
      </c>
      <c r="J406" s="812"/>
      <c r="K406" s="257"/>
      <c r="L406" s="576"/>
    </row>
    <row r="407" spans="1:12" ht="16.350000000000001" customHeight="1" x14ac:dyDescent="0.25">
      <c r="A407" s="86"/>
      <c r="B407" s="797" t="s">
        <v>259</v>
      </c>
      <c r="C407" s="797"/>
      <c r="D407" s="797"/>
      <c r="E407" s="797"/>
      <c r="F407" s="797"/>
      <c r="G407" s="80">
        <f>G403/G405</f>
        <v>116.27906976744185</v>
      </c>
      <c r="H407" s="77" t="s">
        <v>260</v>
      </c>
      <c r="I407" s="798"/>
      <c r="J407" s="798"/>
      <c r="K407" s="257">
        <f>G407*I406</f>
        <v>769.76744186046506</v>
      </c>
      <c r="L407" s="576"/>
    </row>
    <row r="408" spans="1:12" ht="16.350000000000001" customHeight="1" x14ac:dyDescent="0.25">
      <c r="A408" s="86"/>
      <c r="B408" s="805" t="s">
        <v>261</v>
      </c>
      <c r="C408" s="805"/>
      <c r="D408" s="805"/>
      <c r="E408" s="805"/>
      <c r="F408" s="805"/>
      <c r="G408" s="80">
        <f>G407*G404</f>
        <v>116.27906976744185</v>
      </c>
      <c r="H408" s="77" t="s">
        <v>260</v>
      </c>
      <c r="I408" s="806"/>
      <c r="J408" s="806"/>
      <c r="K408" s="294">
        <f>G408*I406</f>
        <v>769.76744186046506</v>
      </c>
      <c r="L408" s="576"/>
    </row>
    <row r="409" spans="1:12" ht="16.350000000000001" customHeight="1" x14ac:dyDescent="0.25">
      <c r="A409" s="86"/>
      <c r="B409" s="813" t="s">
        <v>262</v>
      </c>
      <c r="C409" s="813"/>
      <c r="D409" s="813"/>
      <c r="E409" s="813"/>
      <c r="F409" s="813"/>
      <c r="G409" s="305">
        <v>0.2</v>
      </c>
      <c r="H409" s="306" t="s">
        <v>263</v>
      </c>
      <c r="I409" s="814"/>
      <c r="J409" s="814"/>
      <c r="K409" s="307"/>
      <c r="L409" s="576"/>
    </row>
    <row r="410" spans="1:12" ht="16.350000000000001" customHeight="1" x14ac:dyDescent="0.25">
      <c r="A410" s="86"/>
      <c r="B410" s="797" t="s">
        <v>264</v>
      </c>
      <c r="C410" s="797"/>
      <c r="D410" s="797"/>
      <c r="E410" s="797"/>
      <c r="F410" s="797"/>
      <c r="G410" s="80">
        <v>1</v>
      </c>
      <c r="H410" s="77" t="s">
        <v>258</v>
      </c>
      <c r="I410" s="798">
        <f>'10 - CUSTOS UN'!J213</f>
        <v>43.476666666666659</v>
      </c>
      <c r="J410" s="798"/>
      <c r="K410" s="294"/>
      <c r="L410" s="576"/>
    </row>
    <row r="411" spans="1:12" ht="16.350000000000001" customHeight="1" x14ac:dyDescent="0.25">
      <c r="A411" s="86"/>
      <c r="B411" s="797" t="s">
        <v>265</v>
      </c>
      <c r="C411" s="797"/>
      <c r="D411" s="797"/>
      <c r="E411" s="797"/>
      <c r="F411" s="797"/>
      <c r="G411" s="80">
        <f>G409*(G403/1000)</f>
        <v>0.30000000000000004</v>
      </c>
      <c r="H411" s="77" t="s">
        <v>266</v>
      </c>
      <c r="I411" s="798"/>
      <c r="J411" s="798"/>
      <c r="K411" s="257">
        <f>G411*I410</f>
        <v>13.042999999999999</v>
      </c>
      <c r="L411" s="576"/>
    </row>
    <row r="412" spans="1:12" ht="16.350000000000001" customHeight="1" x14ac:dyDescent="0.25">
      <c r="A412" s="86"/>
      <c r="B412" s="799" t="s">
        <v>267</v>
      </c>
      <c r="C412" s="799"/>
      <c r="D412" s="799"/>
      <c r="E412" s="799"/>
      <c r="F412" s="799"/>
      <c r="G412" s="308">
        <f>G409*(G403/1000)*G404</f>
        <v>0.30000000000000004</v>
      </c>
      <c r="H412" s="309" t="s">
        <v>266</v>
      </c>
      <c r="I412" s="800"/>
      <c r="J412" s="800"/>
      <c r="K412" s="310">
        <f>G412*I410</f>
        <v>13.042999999999999</v>
      </c>
      <c r="L412" s="576"/>
    </row>
    <row r="413" spans="1:12" ht="16.350000000000001" customHeight="1" x14ac:dyDescent="0.25">
      <c r="A413" s="86"/>
      <c r="B413" s="809" t="s">
        <v>268</v>
      </c>
      <c r="C413" s="809"/>
      <c r="D413" s="809"/>
      <c r="E413" s="809"/>
      <c r="F413" s="809"/>
      <c r="G413" s="311">
        <v>1</v>
      </c>
      <c r="H413" s="301" t="s">
        <v>229</v>
      </c>
      <c r="I413" s="804">
        <f>K411+K407</f>
        <v>782.81044186046506</v>
      </c>
      <c r="J413" s="804"/>
      <c r="K413" s="302">
        <f>I413*G413</f>
        <v>782.81044186046506</v>
      </c>
      <c r="L413" s="576"/>
    </row>
    <row r="414" spans="1:12" ht="45" customHeight="1" x14ac:dyDescent="0.25">
      <c r="A414" s="86"/>
      <c r="B414" s="810" t="s">
        <v>543</v>
      </c>
      <c r="C414" s="810"/>
      <c r="D414" s="810"/>
      <c r="E414" s="810"/>
      <c r="F414" s="810"/>
      <c r="G414" s="810"/>
      <c r="H414" s="810"/>
      <c r="I414" s="810"/>
      <c r="J414" s="810"/>
      <c r="K414" s="810"/>
    </row>
    <row r="415" spans="1:12" ht="16.350000000000001" customHeight="1" x14ac:dyDescent="0.25">
      <c r="A415" s="86"/>
      <c r="B415" s="781"/>
      <c r="C415" s="781"/>
      <c r="D415" s="781"/>
      <c r="E415" s="781"/>
      <c r="F415" s="781"/>
      <c r="G415" s="781"/>
      <c r="H415" s="781"/>
      <c r="I415" s="781"/>
      <c r="J415" s="781"/>
      <c r="K415" s="781"/>
    </row>
    <row r="416" spans="1:12" ht="16.350000000000001" customHeight="1" x14ac:dyDescent="0.25">
      <c r="A416" s="86"/>
      <c r="B416" s="808" t="s">
        <v>270</v>
      </c>
      <c r="C416" s="808"/>
      <c r="D416" s="808"/>
      <c r="E416" s="808"/>
      <c r="F416" s="808"/>
      <c r="G416" s="808"/>
      <c r="H416" s="808"/>
      <c r="I416" s="808"/>
      <c r="J416" s="808"/>
      <c r="K416" s="808"/>
      <c r="L416" s="576"/>
    </row>
    <row r="417" spans="1:12" ht="16.350000000000001" customHeight="1" x14ac:dyDescent="0.25">
      <c r="A417" s="86"/>
      <c r="B417" s="753" t="s">
        <v>174</v>
      </c>
      <c r="C417" s="753"/>
      <c r="D417" s="753"/>
      <c r="E417" s="753"/>
      <c r="F417" s="753"/>
      <c r="G417" s="73" t="s">
        <v>128</v>
      </c>
      <c r="H417" s="73" t="s">
        <v>129</v>
      </c>
      <c r="I417" s="753" t="s">
        <v>226</v>
      </c>
      <c r="J417" s="753"/>
      <c r="K417" s="73" t="s">
        <v>251</v>
      </c>
      <c r="L417" s="576"/>
    </row>
    <row r="418" spans="1:12" ht="16.350000000000001" customHeight="1" x14ac:dyDescent="0.25">
      <c r="A418" s="86"/>
      <c r="B418" s="797" t="s">
        <v>544</v>
      </c>
      <c r="C418" s="797"/>
      <c r="D418" s="797"/>
      <c r="E418" s="797"/>
      <c r="F418" s="797"/>
      <c r="G418" s="312">
        <v>4</v>
      </c>
      <c r="H418" s="77" t="s">
        <v>229</v>
      </c>
      <c r="I418" s="798">
        <f>'10 - CUSTOS UN'!J195</f>
        <v>287.16666666666669</v>
      </c>
      <c r="J418" s="798"/>
      <c r="K418" s="294">
        <f>I418*G418</f>
        <v>1148.6666666666667</v>
      </c>
      <c r="L418" s="576"/>
    </row>
    <row r="419" spans="1:12" ht="16.350000000000001" customHeight="1" x14ac:dyDescent="0.25">
      <c r="A419" s="86"/>
      <c r="B419" s="669" t="s">
        <v>545</v>
      </c>
      <c r="C419" s="669"/>
      <c r="D419" s="669"/>
      <c r="E419" s="669"/>
      <c r="F419" s="669"/>
      <c r="G419" s="303">
        <v>50000</v>
      </c>
      <c r="H419" s="77" t="s">
        <v>260</v>
      </c>
      <c r="I419" s="798"/>
      <c r="J419" s="798"/>
      <c r="K419" s="294"/>
      <c r="L419" s="576"/>
    </row>
    <row r="420" spans="1:12" ht="16.350000000000001" customHeight="1" x14ac:dyDescent="0.25">
      <c r="A420" s="86"/>
      <c r="B420" s="797" t="s">
        <v>252</v>
      </c>
      <c r="C420" s="797"/>
      <c r="D420" s="797"/>
      <c r="E420" s="797"/>
      <c r="F420" s="797"/>
      <c r="G420" s="587">
        <f>G403</f>
        <v>1500</v>
      </c>
      <c r="H420" s="77" t="s">
        <v>260</v>
      </c>
      <c r="I420" s="798"/>
      <c r="J420" s="798"/>
      <c r="K420" s="294"/>
      <c r="L420" s="576"/>
    </row>
    <row r="421" spans="1:12" ht="16.350000000000001" customHeight="1" x14ac:dyDescent="0.25">
      <c r="A421" s="86"/>
      <c r="B421" s="669" t="s">
        <v>546</v>
      </c>
      <c r="C421" s="669"/>
      <c r="D421" s="669"/>
      <c r="E421" s="669"/>
      <c r="F421" s="669"/>
      <c r="G421" s="313">
        <f>(G420/G419)*100</f>
        <v>3</v>
      </c>
      <c r="H421" s="77" t="s">
        <v>89</v>
      </c>
      <c r="I421" s="798"/>
      <c r="J421" s="798"/>
      <c r="K421" s="294"/>
      <c r="L421" s="576"/>
    </row>
    <row r="422" spans="1:12" ht="16.350000000000001" customHeight="1" x14ac:dyDescent="0.25">
      <c r="A422" s="86"/>
      <c r="B422" s="669" t="s">
        <v>278</v>
      </c>
      <c r="C422" s="669"/>
      <c r="D422" s="669"/>
      <c r="E422" s="669"/>
      <c r="F422" s="669"/>
      <c r="G422" s="303">
        <v>1</v>
      </c>
      <c r="H422" s="77" t="s">
        <v>229</v>
      </c>
      <c r="I422" s="798"/>
      <c r="J422" s="798"/>
      <c r="K422" s="294"/>
      <c r="L422" s="576"/>
    </row>
    <row r="423" spans="1:12" ht="16.350000000000001" customHeight="1" x14ac:dyDescent="0.25">
      <c r="A423" s="86"/>
      <c r="B423" s="785" t="s">
        <v>275</v>
      </c>
      <c r="C423" s="785"/>
      <c r="D423" s="785"/>
      <c r="E423" s="785"/>
      <c r="F423" s="785"/>
      <c r="G423" s="314"/>
      <c r="H423" s="282"/>
      <c r="I423" s="807"/>
      <c r="J423" s="807"/>
      <c r="K423" s="310">
        <f>K418*(G421/100)</f>
        <v>34.46</v>
      </c>
      <c r="L423" s="576"/>
    </row>
    <row r="424" spans="1:12" ht="16.350000000000001" customHeight="1" x14ac:dyDescent="0.25">
      <c r="A424" s="86"/>
      <c r="B424" s="803" t="s">
        <v>276</v>
      </c>
      <c r="C424" s="803"/>
      <c r="D424" s="803"/>
      <c r="E424" s="803"/>
      <c r="F424" s="803"/>
      <c r="G424" s="315">
        <f>G421*G422</f>
        <v>3</v>
      </c>
      <c r="H424" s="301" t="s">
        <v>89</v>
      </c>
      <c r="I424" s="804">
        <f>K418</f>
        <v>1148.6666666666667</v>
      </c>
      <c r="J424" s="804"/>
      <c r="K424" s="302">
        <f>G424*(I424/100)</f>
        <v>34.460000000000008</v>
      </c>
      <c r="L424" s="576"/>
    </row>
    <row r="425" spans="1:12" ht="16.350000000000001" customHeight="1" x14ac:dyDescent="0.25">
      <c r="A425" s="86"/>
      <c r="B425" s="781"/>
      <c r="C425" s="781"/>
      <c r="D425" s="781"/>
      <c r="E425" s="781"/>
      <c r="F425" s="781"/>
      <c r="G425" s="781"/>
      <c r="H425" s="781"/>
      <c r="I425" s="781"/>
      <c r="J425" s="781"/>
      <c r="K425" s="781"/>
    </row>
    <row r="426" spans="1:12" ht="16.350000000000001" customHeight="1" x14ac:dyDescent="0.25">
      <c r="A426" s="86"/>
      <c r="B426" s="808" t="s">
        <v>277</v>
      </c>
      <c r="C426" s="808"/>
      <c r="D426" s="808"/>
      <c r="E426" s="808"/>
      <c r="F426" s="808"/>
      <c r="G426" s="808"/>
      <c r="H426" s="808"/>
      <c r="I426" s="808"/>
      <c r="J426" s="808"/>
      <c r="K426" s="808"/>
      <c r="L426" s="576"/>
    </row>
    <row r="427" spans="1:12" ht="16.350000000000001" customHeight="1" x14ac:dyDescent="0.25">
      <c r="A427" s="86"/>
      <c r="B427" s="753" t="s">
        <v>174</v>
      </c>
      <c r="C427" s="753"/>
      <c r="D427" s="753"/>
      <c r="E427" s="753"/>
      <c r="F427" s="753"/>
      <c r="G427" s="73" t="s">
        <v>128</v>
      </c>
      <c r="H427" s="73" t="s">
        <v>129</v>
      </c>
      <c r="I427" s="753" t="s">
        <v>226</v>
      </c>
      <c r="J427" s="753"/>
      <c r="K427" s="73" t="s">
        <v>251</v>
      </c>
      <c r="L427" s="576"/>
    </row>
    <row r="428" spans="1:12" ht="16.350000000000001" customHeight="1" x14ac:dyDescent="0.25">
      <c r="A428" s="86"/>
      <c r="B428" s="797" t="s">
        <v>252</v>
      </c>
      <c r="C428" s="797"/>
      <c r="D428" s="797"/>
      <c r="E428" s="797"/>
      <c r="F428" s="797"/>
      <c r="G428" s="587">
        <f>G403</f>
        <v>1500</v>
      </c>
      <c r="H428" s="77" t="s">
        <v>260</v>
      </c>
      <c r="I428" s="798"/>
      <c r="J428" s="798"/>
      <c r="K428" s="316"/>
      <c r="L428" s="576"/>
    </row>
    <row r="429" spans="1:12" ht="16.350000000000001" customHeight="1" x14ac:dyDescent="0.25">
      <c r="A429" s="86"/>
      <c r="B429" s="669" t="s">
        <v>278</v>
      </c>
      <c r="C429" s="669"/>
      <c r="D429" s="669"/>
      <c r="E429" s="669"/>
      <c r="F429" s="669"/>
      <c r="G429" s="303">
        <v>2</v>
      </c>
      <c r="H429" s="77" t="s">
        <v>229</v>
      </c>
      <c r="I429" s="798"/>
      <c r="J429" s="798"/>
      <c r="K429" s="316"/>
      <c r="L429" s="576"/>
    </row>
    <row r="430" spans="1:12" ht="16.350000000000001" customHeight="1" x14ac:dyDescent="0.25">
      <c r="A430" s="86"/>
      <c r="B430" s="797" t="s">
        <v>279</v>
      </c>
      <c r="C430" s="797"/>
      <c r="D430" s="797"/>
      <c r="E430" s="797"/>
      <c r="F430" s="797"/>
      <c r="G430" s="303">
        <v>10000</v>
      </c>
      <c r="H430" s="77" t="s">
        <v>260</v>
      </c>
      <c r="I430" s="798"/>
      <c r="J430" s="798"/>
      <c r="K430" s="316"/>
      <c r="L430" s="576"/>
    </row>
    <row r="431" spans="1:12" ht="16.350000000000001" customHeight="1" x14ac:dyDescent="0.25">
      <c r="A431" s="86"/>
      <c r="B431" s="797" t="s">
        <v>280</v>
      </c>
      <c r="C431" s="797"/>
      <c r="D431" s="797"/>
      <c r="E431" s="797"/>
      <c r="F431" s="797"/>
      <c r="G431" s="312">
        <v>1</v>
      </c>
      <c r="H431" s="77" t="s">
        <v>281</v>
      </c>
      <c r="I431" s="798">
        <v>1000</v>
      </c>
      <c r="J431" s="798"/>
      <c r="K431" s="316"/>
      <c r="L431" s="576"/>
    </row>
    <row r="432" spans="1:12" ht="16.350000000000001" customHeight="1" x14ac:dyDescent="0.25">
      <c r="A432" s="86"/>
      <c r="B432" s="805" t="s">
        <v>282</v>
      </c>
      <c r="C432" s="805"/>
      <c r="D432" s="805"/>
      <c r="E432" s="805"/>
      <c r="F432" s="805"/>
      <c r="G432" s="317">
        <f>G428/G430</f>
        <v>0.15</v>
      </c>
      <c r="H432" s="87" t="s">
        <v>89</v>
      </c>
      <c r="I432" s="806">
        <v>1000</v>
      </c>
      <c r="J432" s="806"/>
      <c r="K432" s="294">
        <f>G432*I432</f>
        <v>150</v>
      </c>
      <c r="L432" s="576"/>
    </row>
    <row r="433" spans="1:12" ht="16.350000000000001" customHeight="1" x14ac:dyDescent="0.25">
      <c r="A433" s="86"/>
      <c r="B433" s="797" t="s">
        <v>283</v>
      </c>
      <c r="C433" s="797"/>
      <c r="D433" s="797"/>
      <c r="E433" s="797"/>
      <c r="F433" s="797"/>
      <c r="G433" s="303">
        <v>10000</v>
      </c>
      <c r="H433" s="77" t="s">
        <v>260</v>
      </c>
      <c r="I433" s="798"/>
      <c r="J433" s="798"/>
      <c r="K433" s="294"/>
      <c r="L433" s="576"/>
    </row>
    <row r="434" spans="1:12" ht="16.350000000000001" customHeight="1" x14ac:dyDescent="0.25">
      <c r="A434" s="86"/>
      <c r="B434" s="797" t="s">
        <v>284</v>
      </c>
      <c r="C434" s="797"/>
      <c r="D434" s="797"/>
      <c r="E434" s="797"/>
      <c r="F434" s="797"/>
      <c r="G434" s="303">
        <v>1</v>
      </c>
      <c r="H434" s="77" t="s">
        <v>281</v>
      </c>
      <c r="I434" s="798">
        <v>100</v>
      </c>
      <c r="J434" s="798"/>
      <c r="K434" s="294"/>
      <c r="L434" s="576"/>
    </row>
    <row r="435" spans="1:12" ht="16.350000000000001" customHeight="1" x14ac:dyDescent="0.25">
      <c r="A435" s="86"/>
      <c r="B435" s="799" t="s">
        <v>285</v>
      </c>
      <c r="C435" s="799"/>
      <c r="D435" s="799"/>
      <c r="E435" s="799"/>
      <c r="F435" s="799"/>
      <c r="G435" s="308">
        <f>G428/G433</f>
        <v>0.15</v>
      </c>
      <c r="H435" s="309" t="s">
        <v>89</v>
      </c>
      <c r="I435" s="800">
        <f>I434</f>
        <v>100</v>
      </c>
      <c r="J435" s="800"/>
      <c r="K435" s="310">
        <f>G435*I435</f>
        <v>15</v>
      </c>
      <c r="L435" s="576"/>
    </row>
    <row r="436" spans="1:12" ht="16.350000000000001" customHeight="1" x14ac:dyDescent="0.25">
      <c r="A436" s="86"/>
      <c r="B436" s="801" t="s">
        <v>286</v>
      </c>
      <c r="C436" s="801"/>
      <c r="D436" s="801"/>
      <c r="E436" s="801"/>
      <c r="F436" s="801"/>
      <c r="G436" s="305"/>
      <c r="H436" s="306"/>
      <c r="I436" s="802"/>
      <c r="J436" s="802"/>
      <c r="K436" s="293">
        <f>K435+K432</f>
        <v>165</v>
      </c>
      <c r="L436" s="576"/>
    </row>
    <row r="437" spans="1:12" ht="16.350000000000001" customHeight="1" x14ac:dyDescent="0.25">
      <c r="A437" s="86"/>
      <c r="B437" s="803" t="s">
        <v>287</v>
      </c>
      <c r="C437" s="803"/>
      <c r="D437" s="803"/>
      <c r="E437" s="803"/>
      <c r="F437" s="803"/>
      <c r="G437" s="311">
        <v>1</v>
      </c>
      <c r="H437" s="301" t="s">
        <v>229</v>
      </c>
      <c r="I437" s="804">
        <f>K436</f>
        <v>165</v>
      </c>
      <c r="J437" s="804"/>
      <c r="K437" s="302">
        <f>I437*G437</f>
        <v>165</v>
      </c>
      <c r="L437" s="576"/>
    </row>
    <row r="438" spans="1:12" ht="16.350000000000001" customHeight="1" x14ac:dyDescent="0.25">
      <c r="A438" s="86"/>
      <c r="B438" s="792"/>
      <c r="C438" s="792"/>
      <c r="D438" s="792"/>
      <c r="E438" s="792"/>
      <c r="F438" s="792"/>
      <c r="G438" s="792"/>
      <c r="H438" s="792"/>
      <c r="I438" s="792"/>
      <c r="J438" s="792"/>
      <c r="K438" s="792"/>
    </row>
    <row r="439" spans="1:12" ht="16.350000000000001" customHeight="1" x14ac:dyDescent="0.25">
      <c r="A439" s="86"/>
      <c r="B439" s="779" t="s">
        <v>547</v>
      </c>
      <c r="C439" s="779"/>
      <c r="D439" s="779"/>
      <c r="E439" s="779"/>
      <c r="F439" s="779"/>
      <c r="G439" s="779"/>
      <c r="H439" s="779"/>
      <c r="I439" s="779"/>
      <c r="J439" s="779"/>
      <c r="K439" s="280">
        <f>K380+K388+K399+K413+K424+K437</f>
        <v>1802.8477967910208</v>
      </c>
    </row>
    <row r="440" spans="1:12" ht="16.350000000000001" customHeight="1" x14ac:dyDescent="0.25">
      <c r="A440" s="86"/>
      <c r="B440" s="86"/>
      <c r="C440" s="86"/>
      <c r="D440" s="86"/>
      <c r="E440" s="86"/>
      <c r="F440" s="86"/>
      <c r="G440" s="86"/>
      <c r="H440" s="86"/>
      <c r="I440" s="86"/>
      <c r="J440" s="86"/>
      <c r="K440" s="252"/>
    </row>
    <row r="441" spans="1:12" ht="16.350000000000001" customHeight="1" x14ac:dyDescent="0.25">
      <c r="A441" s="86"/>
      <c r="B441" s="86"/>
      <c r="C441" s="86"/>
      <c r="D441" s="86"/>
      <c r="E441" s="86"/>
      <c r="F441" s="86"/>
      <c r="G441" s="86"/>
      <c r="H441" s="86"/>
      <c r="I441" s="86"/>
      <c r="J441" s="86"/>
      <c r="K441" s="252"/>
    </row>
    <row r="442" spans="1:12" ht="16.350000000000001" customHeight="1" x14ac:dyDescent="0.25">
      <c r="A442" s="86"/>
      <c r="B442" s="788" t="s">
        <v>292</v>
      </c>
      <c r="C442" s="788"/>
      <c r="D442" s="788"/>
      <c r="E442" s="788"/>
      <c r="F442" s="788"/>
      <c r="G442" s="788"/>
      <c r="H442" s="788"/>
      <c r="I442" s="788"/>
      <c r="J442" s="788"/>
      <c r="K442" s="788"/>
    </row>
    <row r="443" spans="1:12" ht="16.350000000000001" customHeight="1" x14ac:dyDescent="0.25">
      <c r="A443" s="86"/>
      <c r="B443" s="781"/>
      <c r="C443" s="781"/>
      <c r="D443" s="781"/>
      <c r="E443" s="781"/>
      <c r="F443" s="781"/>
      <c r="G443" s="781"/>
      <c r="H443" s="781"/>
      <c r="I443" s="781"/>
      <c r="J443" s="781"/>
      <c r="K443" s="781"/>
    </row>
    <row r="444" spans="1:12" ht="16.350000000000001" customHeight="1" x14ac:dyDescent="0.25">
      <c r="A444" s="86"/>
      <c r="B444" s="793" t="s">
        <v>174</v>
      </c>
      <c r="C444" s="793"/>
      <c r="D444" s="793"/>
      <c r="E444" s="793"/>
      <c r="F444" s="793"/>
      <c r="G444" s="318" t="s">
        <v>128</v>
      </c>
      <c r="H444" s="318" t="s">
        <v>129</v>
      </c>
      <c r="I444" s="793" t="s">
        <v>226</v>
      </c>
      <c r="J444" s="793"/>
      <c r="K444" s="318" t="s">
        <v>293</v>
      </c>
      <c r="L444" s="541"/>
    </row>
    <row r="445" spans="1:12" ht="16.350000000000001" customHeight="1" x14ac:dyDescent="0.25">
      <c r="A445" s="86"/>
      <c r="B445" s="794" t="s">
        <v>294</v>
      </c>
      <c r="C445" s="794"/>
      <c r="D445" s="794"/>
      <c r="E445" s="794"/>
      <c r="F445" s="794"/>
      <c r="G445" s="285"/>
      <c r="H445" s="285"/>
      <c r="I445" s="795"/>
      <c r="J445" s="795"/>
      <c r="K445" s="319">
        <v>10000</v>
      </c>
      <c r="L445" s="541"/>
    </row>
    <row r="446" spans="1:12" ht="16.350000000000001" customHeight="1" x14ac:dyDescent="0.25">
      <c r="A446" s="86"/>
      <c r="B446" s="669" t="s">
        <v>295</v>
      </c>
      <c r="C446" s="669"/>
      <c r="D446" s="669"/>
      <c r="E446" s="669"/>
      <c r="F446" s="669"/>
      <c r="G446" s="96"/>
      <c r="H446" s="96"/>
      <c r="I446" s="796"/>
      <c r="J446" s="796"/>
      <c r="K446" s="94">
        <v>5000</v>
      </c>
      <c r="L446" s="541"/>
    </row>
    <row r="447" spans="1:12" ht="16.350000000000001" customHeight="1" x14ac:dyDescent="0.25">
      <c r="A447" s="86"/>
      <c r="B447" s="785" t="s">
        <v>296</v>
      </c>
      <c r="C447" s="785"/>
      <c r="D447" s="785"/>
      <c r="E447" s="785"/>
      <c r="F447" s="785"/>
      <c r="G447" s="281"/>
      <c r="H447" s="281"/>
      <c r="I447" s="786"/>
      <c r="J447" s="786"/>
      <c r="K447" s="284">
        <v>2000</v>
      </c>
      <c r="L447" s="541"/>
    </row>
    <row r="448" spans="1:12" ht="16.350000000000001" customHeight="1" x14ac:dyDescent="0.25">
      <c r="A448" s="86"/>
      <c r="B448" s="787" t="s">
        <v>548</v>
      </c>
      <c r="C448" s="787"/>
      <c r="D448" s="787"/>
      <c r="E448" s="787"/>
      <c r="F448" s="787"/>
      <c r="G448" s="787"/>
      <c r="H448" s="787"/>
      <c r="I448" s="787"/>
      <c r="J448" s="787"/>
      <c r="K448" s="320">
        <f>SUM(K445:K447)</f>
        <v>17000</v>
      </c>
      <c r="L448" s="541"/>
    </row>
    <row r="449" spans="1:11" ht="16.350000000000001" customHeight="1" x14ac:dyDescent="0.25">
      <c r="A449" s="86"/>
      <c r="B449" s="321"/>
      <c r="C449" s="321"/>
      <c r="D449" s="321"/>
      <c r="E449" s="321"/>
      <c r="F449" s="321"/>
      <c r="G449" s="86"/>
      <c r="H449" s="86"/>
      <c r="I449" s="252"/>
      <c r="J449" s="252"/>
      <c r="K449" s="279"/>
    </row>
    <row r="450" spans="1:11" ht="16.350000000000001" customHeight="1" x14ac:dyDescent="0.25">
      <c r="A450" s="86"/>
      <c r="B450" s="321"/>
      <c r="C450" s="321"/>
      <c r="D450" s="321"/>
      <c r="E450" s="321"/>
      <c r="F450" s="321"/>
      <c r="G450" s="86"/>
      <c r="H450" s="86"/>
      <c r="I450" s="252"/>
      <c r="J450" s="252"/>
      <c r="K450" s="279"/>
    </row>
    <row r="451" spans="1:11" ht="16.350000000000001" customHeight="1" x14ac:dyDescent="0.25">
      <c r="A451" s="86"/>
      <c r="B451" s="779" t="s">
        <v>549</v>
      </c>
      <c r="C451" s="779"/>
      <c r="D451" s="779"/>
      <c r="E451" s="779"/>
      <c r="F451" s="779"/>
      <c r="G451" s="779"/>
      <c r="H451" s="779"/>
      <c r="I451" s="779"/>
      <c r="J451" s="779"/>
      <c r="K451" s="280">
        <f>K448+K439+K366+K305</f>
        <v>122048.40911560957</v>
      </c>
    </row>
    <row r="452" spans="1:11" ht="16.350000000000001" customHeight="1" x14ac:dyDescent="0.25">
      <c r="A452" s="86"/>
      <c r="B452" s="321"/>
      <c r="C452" s="321"/>
      <c r="D452" s="321"/>
      <c r="E452" s="321"/>
      <c r="F452" s="321"/>
      <c r="G452" s="86"/>
      <c r="H452" s="86"/>
      <c r="I452" s="252"/>
      <c r="J452" s="252"/>
      <c r="K452" s="279"/>
    </row>
    <row r="453" spans="1:11" ht="16.350000000000001" customHeight="1" x14ac:dyDescent="0.25">
      <c r="A453" s="86"/>
      <c r="B453" s="297"/>
      <c r="C453" s="297"/>
      <c r="D453" s="297"/>
      <c r="E453" s="297"/>
      <c r="F453" s="297"/>
      <c r="G453" s="297"/>
      <c r="H453" s="297"/>
      <c r="I453" s="297"/>
      <c r="J453" s="297"/>
      <c r="K453" s="297"/>
    </row>
    <row r="454" spans="1:11" ht="16.350000000000001" customHeight="1" x14ac:dyDescent="0.25">
      <c r="A454" s="86"/>
      <c r="B454" s="788" t="s">
        <v>299</v>
      </c>
      <c r="C454" s="788"/>
      <c r="D454" s="788"/>
      <c r="E454" s="788"/>
      <c r="F454" s="788"/>
      <c r="G454" s="788"/>
      <c r="H454" s="788"/>
      <c r="I454" s="788"/>
      <c r="J454" s="788"/>
      <c r="K454" s="788"/>
    </row>
    <row r="455" spans="1:11" ht="16.350000000000001" customHeight="1" x14ac:dyDescent="0.25">
      <c r="A455" s="86"/>
      <c r="B455" s="322" t="s">
        <v>207</v>
      </c>
      <c r="C455" s="753" t="s">
        <v>174</v>
      </c>
      <c r="D455" s="753"/>
      <c r="E455" s="753"/>
      <c r="F455" s="753"/>
      <c r="G455" s="753"/>
      <c r="H455" s="323" t="s">
        <v>89</v>
      </c>
      <c r="I455" s="789" t="s">
        <v>507</v>
      </c>
      <c r="J455" s="789"/>
      <c r="K455" s="323" t="s">
        <v>301</v>
      </c>
    </row>
    <row r="456" spans="1:11" ht="16.350000000000001" customHeight="1" x14ac:dyDescent="0.25">
      <c r="A456" s="86"/>
      <c r="B456" s="324" t="s">
        <v>6</v>
      </c>
      <c r="C456" s="790" t="s">
        <v>86</v>
      </c>
      <c r="D456" s="790"/>
      <c r="E456" s="790"/>
      <c r="F456" s="790"/>
      <c r="G456" s="790"/>
      <c r="H456" s="326">
        <f>'9 - BDI'!D15</f>
        <v>0.27689893995634196</v>
      </c>
      <c r="I456" s="791">
        <f>K451</f>
        <v>122048.40911560957</v>
      </c>
      <c r="J456" s="791"/>
      <c r="K456" s="327">
        <f>I456*H456</f>
        <v>33795.075107470235</v>
      </c>
    </row>
    <row r="457" spans="1:11" ht="16.350000000000001" customHeight="1" x14ac:dyDescent="0.25">
      <c r="A457" s="86"/>
      <c r="B457" s="773" t="s">
        <v>550</v>
      </c>
      <c r="C457" s="773"/>
      <c r="D457" s="773"/>
      <c r="E457" s="773"/>
      <c r="F457" s="773"/>
      <c r="G457" s="773"/>
      <c r="H457" s="773"/>
      <c r="I457" s="773"/>
      <c r="J457" s="773"/>
      <c r="K457" s="328">
        <f>SUM(K456)</f>
        <v>33795.075107470235</v>
      </c>
    </row>
    <row r="458" spans="1:11" ht="16.350000000000001" customHeight="1" x14ac:dyDescent="0.25">
      <c r="A458" s="86"/>
      <c r="B458" s="86"/>
      <c r="C458" s="86"/>
      <c r="D458" s="86"/>
      <c r="E458" s="86"/>
      <c r="F458" s="86"/>
      <c r="G458" s="266"/>
      <c r="H458" s="266"/>
      <c r="I458" s="329"/>
      <c r="J458" s="329"/>
      <c r="K458" s="330"/>
    </row>
    <row r="459" spans="1:11" ht="16.350000000000001" customHeight="1" x14ac:dyDescent="0.25">
      <c r="A459" s="86"/>
      <c r="B459" s="297"/>
      <c r="C459" s="297"/>
      <c r="D459" s="297"/>
      <c r="E459" s="297"/>
      <c r="F459" s="297"/>
      <c r="G459" s="266"/>
      <c r="H459" s="266"/>
      <c r="I459" s="329"/>
      <c r="J459" s="329"/>
      <c r="K459" s="279"/>
    </row>
    <row r="460" spans="1:11" ht="16.350000000000001" customHeight="1" x14ac:dyDescent="0.25">
      <c r="A460" s="86"/>
      <c r="B460" s="779" t="s">
        <v>551</v>
      </c>
      <c r="C460" s="779"/>
      <c r="D460" s="779"/>
      <c r="E460" s="779"/>
      <c r="F460" s="779"/>
      <c r="G460" s="779"/>
      <c r="H460" s="779"/>
      <c r="I460" s="779"/>
      <c r="J460" s="779"/>
      <c r="K460" s="280">
        <f>K451+K457</f>
        <v>155843.48422307981</v>
      </c>
    </row>
    <row r="461" spans="1:11" ht="16.350000000000001" customHeight="1" x14ac:dyDescent="0.25">
      <c r="A461" s="86"/>
      <c r="B461" s="86"/>
      <c r="C461" s="86"/>
      <c r="D461" s="86"/>
      <c r="E461" s="86"/>
      <c r="F461" s="86"/>
      <c r="G461" s="86"/>
      <c r="H461" s="86"/>
      <c r="I461" s="86"/>
      <c r="J461" s="86"/>
      <c r="K461" s="252"/>
    </row>
    <row r="462" spans="1:11" ht="16.350000000000001" customHeight="1" x14ac:dyDescent="0.25">
      <c r="A462" s="86"/>
      <c r="B462" s="86"/>
      <c r="C462" s="86"/>
      <c r="D462" s="86"/>
      <c r="E462" s="86"/>
      <c r="F462" s="86"/>
      <c r="G462" s="86"/>
      <c r="H462" s="86"/>
      <c r="I462" s="86"/>
      <c r="J462" s="86"/>
      <c r="K462" s="252"/>
    </row>
    <row r="463" spans="1:11" ht="16.350000000000001" customHeight="1" x14ac:dyDescent="0.25">
      <c r="A463" s="86"/>
      <c r="B463" s="780" t="s">
        <v>304</v>
      </c>
      <c r="C463" s="780"/>
      <c r="D463" s="780"/>
      <c r="E463" s="780"/>
      <c r="F463" s="780"/>
      <c r="G463" s="780"/>
      <c r="H463" s="780"/>
      <c r="I463" s="780"/>
      <c r="J463" s="780"/>
      <c r="K463" s="780"/>
    </row>
    <row r="464" spans="1:11" ht="16.350000000000001" customHeight="1" x14ac:dyDescent="0.25">
      <c r="A464" s="86"/>
      <c r="B464" s="781"/>
      <c r="C464" s="781"/>
      <c r="D464" s="781"/>
      <c r="E464" s="781"/>
      <c r="F464" s="781"/>
      <c r="G464" s="781"/>
      <c r="H464" s="781"/>
      <c r="I464" s="781"/>
      <c r="J464" s="781"/>
      <c r="K464" s="781"/>
    </row>
    <row r="465" spans="1:11" ht="30" x14ac:dyDescent="0.25">
      <c r="A465" s="86"/>
      <c r="B465" s="753" t="s">
        <v>305</v>
      </c>
      <c r="C465" s="753"/>
      <c r="D465" s="753"/>
      <c r="E465" s="753"/>
      <c r="F465" s="753"/>
      <c r="G465" s="751" t="s">
        <v>306</v>
      </c>
      <c r="H465" s="751"/>
      <c r="I465" s="753" t="s">
        <v>89</v>
      </c>
      <c r="J465" s="753"/>
      <c r="K465" s="74" t="s">
        <v>307</v>
      </c>
    </row>
    <row r="466" spans="1:11" ht="16.350000000000001" customHeight="1" x14ac:dyDescent="0.25">
      <c r="A466" s="86"/>
      <c r="B466" s="782" t="s">
        <v>308</v>
      </c>
      <c r="C466" s="782"/>
      <c r="D466" s="782"/>
      <c r="E466" s="782"/>
      <c r="F466" s="782"/>
      <c r="G466" s="783">
        <v>1188365.99</v>
      </c>
      <c r="H466" s="783"/>
      <c r="I466" s="784">
        <f>G466/G470</f>
        <v>0.54885365972321676</v>
      </c>
      <c r="J466" s="784"/>
      <c r="K466" s="331">
        <f>K460*I466</f>
        <v>85535.266659854751</v>
      </c>
    </row>
    <row r="467" spans="1:11" ht="16.350000000000001" customHeight="1" x14ac:dyDescent="0.25">
      <c r="A467" s="86"/>
      <c r="B467" s="776" t="s">
        <v>309</v>
      </c>
      <c r="C467" s="776"/>
      <c r="D467" s="776"/>
      <c r="E467" s="776"/>
      <c r="F467" s="776"/>
      <c r="G467" s="777">
        <v>581527.79</v>
      </c>
      <c r="H467" s="777"/>
      <c r="I467" s="778">
        <f>G467/G470</f>
        <v>0.26858195072736329</v>
      </c>
      <c r="J467" s="778"/>
      <c r="K467" s="332">
        <f>K460*I467</f>
        <v>41856.747000783842</v>
      </c>
    </row>
    <row r="468" spans="1:11" ht="16.350000000000001" customHeight="1" x14ac:dyDescent="0.25">
      <c r="B468" s="702" t="s">
        <v>310</v>
      </c>
      <c r="C468" s="702"/>
      <c r="D468" s="702"/>
      <c r="E468" s="702"/>
      <c r="F468" s="702"/>
      <c r="G468" s="703">
        <v>351607.43</v>
      </c>
      <c r="H468" s="703"/>
      <c r="I468" s="704">
        <f>G468/G470</f>
        <v>0.16239191155359028</v>
      </c>
      <c r="J468" s="704"/>
      <c r="K468" s="195">
        <f>K460*I468</f>
        <v>25307.72130615772</v>
      </c>
    </row>
    <row r="469" spans="1:11" ht="16.350000000000001" customHeight="1" x14ac:dyDescent="0.25">
      <c r="B469" s="693" t="s">
        <v>311</v>
      </c>
      <c r="C469" s="693"/>
      <c r="D469" s="693"/>
      <c r="E469" s="693"/>
      <c r="F469" s="693"/>
      <c r="G469" s="694">
        <v>43677.01</v>
      </c>
      <c r="H469" s="694"/>
      <c r="I469" s="695">
        <f>G469/G470</f>
        <v>2.0172477995829833E-2</v>
      </c>
      <c r="J469" s="695"/>
      <c r="K469" s="196">
        <f>K460*I469</f>
        <v>3143.7492562835314</v>
      </c>
    </row>
    <row r="470" spans="1:11" ht="16.350000000000001" customHeight="1" x14ac:dyDescent="0.25">
      <c r="B470" s="773" t="s">
        <v>34</v>
      </c>
      <c r="C470" s="773"/>
      <c r="D470" s="773"/>
      <c r="E470" s="773"/>
      <c r="F470" s="773"/>
      <c r="G470" s="774">
        <f>SUM(G466:H469)</f>
        <v>2165178.2199999997</v>
      </c>
      <c r="H470" s="774"/>
      <c r="I470" s="775">
        <f>SUM(I466:J469)</f>
        <v>1.0000000000000002</v>
      </c>
      <c r="J470" s="775"/>
      <c r="K470" s="333">
        <f>SUM(K466:K469)</f>
        <v>155843.48422307984</v>
      </c>
    </row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548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C18:G18"/>
    <mergeCell ref="I18:J18"/>
    <mergeCell ref="C19:G19"/>
    <mergeCell ref="I19:J19"/>
    <mergeCell ref="C20:G20"/>
    <mergeCell ref="I20:J20"/>
    <mergeCell ref="C21:G21"/>
    <mergeCell ref="I21:J21"/>
    <mergeCell ref="C22:G22"/>
    <mergeCell ref="I22:J22"/>
    <mergeCell ref="C23:G23"/>
    <mergeCell ref="I23:J23"/>
    <mergeCell ref="C24:G24"/>
    <mergeCell ref="I24:J24"/>
    <mergeCell ref="C25:G25"/>
    <mergeCell ref="I25:J25"/>
    <mergeCell ref="C26:G26"/>
    <mergeCell ref="I26:J26"/>
    <mergeCell ref="C27:G27"/>
    <mergeCell ref="I27:J27"/>
    <mergeCell ref="C28:G28"/>
    <mergeCell ref="I28:J28"/>
    <mergeCell ref="B29:J29"/>
    <mergeCell ref="B30:I30"/>
    <mergeCell ref="B31:I31"/>
    <mergeCell ref="B32:I32"/>
    <mergeCell ref="B33:K33"/>
    <mergeCell ref="B36:K36"/>
    <mergeCell ref="B37:K37"/>
    <mergeCell ref="B38:K38"/>
    <mergeCell ref="C39:I39"/>
    <mergeCell ref="C40:I40"/>
    <mergeCell ref="C41:I41"/>
    <mergeCell ref="C42:I42"/>
    <mergeCell ref="C43:I43"/>
    <mergeCell ref="C44:I44"/>
    <mergeCell ref="C45:I45"/>
    <mergeCell ref="C46:I46"/>
    <mergeCell ref="C47:I47"/>
    <mergeCell ref="C48:G48"/>
    <mergeCell ref="C49:G49"/>
    <mergeCell ref="C50:G50"/>
    <mergeCell ref="C51:G51"/>
    <mergeCell ref="C52:I52"/>
    <mergeCell ref="B53:J53"/>
    <mergeCell ref="B54:J54"/>
    <mergeCell ref="B56:K56"/>
    <mergeCell ref="C57:G57"/>
    <mergeCell ref="C58:G58"/>
    <mergeCell ref="C61:G61"/>
    <mergeCell ref="C62:I62"/>
    <mergeCell ref="C63:I63"/>
    <mergeCell ref="C64:I64"/>
    <mergeCell ref="C65:I65"/>
    <mergeCell ref="C66:I66"/>
    <mergeCell ref="C67:I67"/>
    <mergeCell ref="C68:I68"/>
    <mergeCell ref="C69:G69"/>
    <mergeCell ref="C70:G70"/>
    <mergeCell ref="C71:G71"/>
    <mergeCell ref="C72:G72"/>
    <mergeCell ref="C73:I73"/>
    <mergeCell ref="B74:J74"/>
    <mergeCell ref="B75:J75"/>
    <mergeCell ref="B77:K77"/>
    <mergeCell ref="C78:G78"/>
    <mergeCell ref="C79:G79"/>
    <mergeCell ref="B80:B81"/>
    <mergeCell ref="C80:G81"/>
    <mergeCell ref="C86:G86"/>
    <mergeCell ref="C87:I87"/>
    <mergeCell ref="C88:I88"/>
    <mergeCell ref="C89:I89"/>
    <mergeCell ref="C90:I90"/>
    <mergeCell ref="C91:I91"/>
    <mergeCell ref="C92:I92"/>
    <mergeCell ref="C93:I93"/>
    <mergeCell ref="C94:G94"/>
    <mergeCell ref="C95:G95"/>
    <mergeCell ref="C96:G96"/>
    <mergeCell ref="C97:G97"/>
    <mergeCell ref="C98:I98"/>
    <mergeCell ref="B99:J99"/>
    <mergeCell ref="B100:J100"/>
    <mergeCell ref="B102:K102"/>
    <mergeCell ref="C103:I103"/>
    <mergeCell ref="C104:I104"/>
    <mergeCell ref="C105:I105"/>
    <mergeCell ref="C106:I106"/>
    <mergeCell ref="C107:I107"/>
    <mergeCell ref="C108:I108"/>
    <mergeCell ref="C109:I109"/>
    <mergeCell ref="C110:I110"/>
    <mergeCell ref="C111:I111"/>
    <mergeCell ref="C112:G112"/>
    <mergeCell ref="C113:G113"/>
    <mergeCell ref="C114:G114"/>
    <mergeCell ref="C115:G115"/>
    <mergeCell ref="C116:G116"/>
    <mergeCell ref="C117:I117"/>
    <mergeCell ref="B118:J118"/>
    <mergeCell ref="B119:J119"/>
    <mergeCell ref="B121:K121"/>
    <mergeCell ref="C122:G122"/>
    <mergeCell ref="C123:G123"/>
    <mergeCell ref="C126:G126"/>
    <mergeCell ref="C127:I127"/>
    <mergeCell ref="C128:I128"/>
    <mergeCell ref="C129:I129"/>
    <mergeCell ref="C130:I130"/>
    <mergeCell ref="C131:I131"/>
    <mergeCell ref="C132:I132"/>
    <mergeCell ref="C133:I133"/>
    <mergeCell ref="C134:G134"/>
    <mergeCell ref="C135:G135"/>
    <mergeCell ref="C136:G136"/>
    <mergeCell ref="C137:G137"/>
    <mergeCell ref="C138:I138"/>
    <mergeCell ref="B139:J139"/>
    <mergeCell ref="B140:J140"/>
    <mergeCell ref="B142:K142"/>
    <mergeCell ref="C143:G143"/>
    <mergeCell ref="C144:G144"/>
    <mergeCell ref="B145:B146"/>
    <mergeCell ref="C145:G146"/>
    <mergeCell ref="C151:G151"/>
    <mergeCell ref="C152:I152"/>
    <mergeCell ref="C153:I153"/>
    <mergeCell ref="C154:I154"/>
    <mergeCell ref="C155:I155"/>
    <mergeCell ref="C156:I156"/>
    <mergeCell ref="C157:I157"/>
    <mergeCell ref="C158:I158"/>
    <mergeCell ref="C159:G159"/>
    <mergeCell ref="C160:G160"/>
    <mergeCell ref="C161:G161"/>
    <mergeCell ref="C162:G162"/>
    <mergeCell ref="C163:I163"/>
    <mergeCell ref="B164:J164"/>
    <mergeCell ref="B165:J165"/>
    <mergeCell ref="B167:K167"/>
    <mergeCell ref="C168:G168"/>
    <mergeCell ref="C169:G169"/>
    <mergeCell ref="C172:G172"/>
    <mergeCell ref="C173:I173"/>
    <mergeCell ref="C174:I174"/>
    <mergeCell ref="C175:I175"/>
    <mergeCell ref="C176:I176"/>
    <mergeCell ref="C177:I177"/>
    <mergeCell ref="C178:I178"/>
    <mergeCell ref="C179:I179"/>
    <mergeCell ref="C180:G180"/>
    <mergeCell ref="C181:G181"/>
    <mergeCell ref="C182:G182"/>
    <mergeCell ref="C183:G183"/>
    <mergeCell ref="C184:I184"/>
    <mergeCell ref="B185:J185"/>
    <mergeCell ref="B186:J186"/>
    <mergeCell ref="B188:K188"/>
    <mergeCell ref="C189:G189"/>
    <mergeCell ref="C190:G190"/>
    <mergeCell ref="B191:B192"/>
    <mergeCell ref="C191:G192"/>
    <mergeCell ref="C197:G197"/>
    <mergeCell ref="C198:I198"/>
    <mergeCell ref="C199:I199"/>
    <mergeCell ref="C200:I200"/>
    <mergeCell ref="C201:I201"/>
    <mergeCell ref="C202:I202"/>
    <mergeCell ref="C203:I203"/>
    <mergeCell ref="C204:I204"/>
    <mergeCell ref="C205:G205"/>
    <mergeCell ref="C206:G206"/>
    <mergeCell ref="C207:G207"/>
    <mergeCell ref="C208:G208"/>
    <mergeCell ref="C209:I209"/>
    <mergeCell ref="B210:J210"/>
    <mergeCell ref="B211:J211"/>
    <mergeCell ref="B213:K213"/>
    <mergeCell ref="C214:G214"/>
    <mergeCell ref="C215:G215"/>
    <mergeCell ref="C218:G218"/>
    <mergeCell ref="C219:I219"/>
    <mergeCell ref="C220:I220"/>
    <mergeCell ref="C221:I221"/>
    <mergeCell ref="C222:I222"/>
    <mergeCell ref="C223:I223"/>
    <mergeCell ref="C224:I224"/>
    <mergeCell ref="C225:I225"/>
    <mergeCell ref="C226:G226"/>
    <mergeCell ref="C227:G227"/>
    <mergeCell ref="C228:G228"/>
    <mergeCell ref="C229:G229"/>
    <mergeCell ref="C230:G230"/>
    <mergeCell ref="C231:I231"/>
    <mergeCell ref="B232:J232"/>
    <mergeCell ref="B233:J233"/>
    <mergeCell ref="B235:K235"/>
    <mergeCell ref="C236:G236"/>
    <mergeCell ref="C237:G237"/>
    <mergeCell ref="C240:G240"/>
    <mergeCell ref="C241:I241"/>
    <mergeCell ref="C242:I242"/>
    <mergeCell ref="C243:I243"/>
    <mergeCell ref="C244:I244"/>
    <mergeCell ref="C245:I245"/>
    <mergeCell ref="C246:I246"/>
    <mergeCell ref="C247:I247"/>
    <mergeCell ref="C248:G248"/>
    <mergeCell ref="C249:G249"/>
    <mergeCell ref="C250:G250"/>
    <mergeCell ref="C251:G251"/>
    <mergeCell ref="C252:G252"/>
    <mergeCell ref="C253:I253"/>
    <mergeCell ref="B254:J254"/>
    <mergeCell ref="B255:J255"/>
    <mergeCell ref="B257:K257"/>
    <mergeCell ref="C258:G258"/>
    <mergeCell ref="C259:G259"/>
    <mergeCell ref="C262:G262"/>
    <mergeCell ref="C263:I263"/>
    <mergeCell ref="C264:I264"/>
    <mergeCell ref="C265:I265"/>
    <mergeCell ref="C266:I266"/>
    <mergeCell ref="C267:I267"/>
    <mergeCell ref="C268:I268"/>
    <mergeCell ref="C269:I269"/>
    <mergeCell ref="C270:G270"/>
    <mergeCell ref="C271:G271"/>
    <mergeCell ref="C272:G272"/>
    <mergeCell ref="C273:G273"/>
    <mergeCell ref="C274:G274"/>
    <mergeCell ref="C275:I275"/>
    <mergeCell ref="B276:J276"/>
    <mergeCell ref="B277:J277"/>
    <mergeCell ref="B279:K279"/>
    <mergeCell ref="C280:G280"/>
    <mergeCell ref="C281:G281"/>
    <mergeCell ref="B282:B283"/>
    <mergeCell ref="C282:G283"/>
    <mergeCell ref="C288:G288"/>
    <mergeCell ref="C289:I289"/>
    <mergeCell ref="C290:I290"/>
    <mergeCell ref="C291:I291"/>
    <mergeCell ref="C292:I292"/>
    <mergeCell ref="C293:I293"/>
    <mergeCell ref="C294:I294"/>
    <mergeCell ref="C295:I295"/>
    <mergeCell ref="C296:G296"/>
    <mergeCell ref="C297:G297"/>
    <mergeCell ref="C298:G298"/>
    <mergeCell ref="C299:G299"/>
    <mergeCell ref="C300:G300"/>
    <mergeCell ref="C301:I301"/>
    <mergeCell ref="B302:J302"/>
    <mergeCell ref="B303:J303"/>
    <mergeCell ref="B305:J305"/>
    <mergeCell ref="B308:K308"/>
    <mergeCell ref="B310:K310"/>
    <mergeCell ref="B311:F311"/>
    <mergeCell ref="I311:J311"/>
    <mergeCell ref="B312:F312"/>
    <mergeCell ref="I312:J312"/>
    <mergeCell ref="B313:F313"/>
    <mergeCell ref="I313:J313"/>
    <mergeCell ref="B314:F314"/>
    <mergeCell ref="I314:J314"/>
    <mergeCell ref="B315:F315"/>
    <mergeCell ref="I315:J315"/>
    <mergeCell ref="B317:K317"/>
    <mergeCell ref="B318:F318"/>
    <mergeCell ref="I318:J318"/>
    <mergeCell ref="B319:F319"/>
    <mergeCell ref="I319:J319"/>
    <mergeCell ref="B320:F320"/>
    <mergeCell ref="I320:J320"/>
    <mergeCell ref="B321:F321"/>
    <mergeCell ref="I321:J321"/>
    <mergeCell ref="B322:F322"/>
    <mergeCell ref="I322:J322"/>
    <mergeCell ref="B323:F323"/>
    <mergeCell ref="I323:J323"/>
    <mergeCell ref="B324:F324"/>
    <mergeCell ref="I324:J324"/>
    <mergeCell ref="B325:F325"/>
    <mergeCell ref="I325:J325"/>
    <mergeCell ref="B326:F326"/>
    <mergeCell ref="I326:J326"/>
    <mergeCell ref="B327:F327"/>
    <mergeCell ref="I327:J327"/>
    <mergeCell ref="B329:K329"/>
    <mergeCell ref="B330:F330"/>
    <mergeCell ref="I330:J330"/>
    <mergeCell ref="B331:F331"/>
    <mergeCell ref="I331:J331"/>
    <mergeCell ref="B332:F332"/>
    <mergeCell ref="I332:J332"/>
    <mergeCell ref="B333:F333"/>
    <mergeCell ref="I333:J333"/>
    <mergeCell ref="B334:F334"/>
    <mergeCell ref="I334:J334"/>
    <mergeCell ref="B335:F335"/>
    <mergeCell ref="I335:J335"/>
    <mergeCell ref="B336:F336"/>
    <mergeCell ref="I336:J336"/>
    <mergeCell ref="B337:F337"/>
    <mergeCell ref="I337:J337"/>
    <mergeCell ref="B338:F338"/>
    <mergeCell ref="I338:J338"/>
    <mergeCell ref="B339:F339"/>
    <mergeCell ref="I339:J339"/>
    <mergeCell ref="B340:F340"/>
    <mergeCell ref="I340:J340"/>
    <mergeCell ref="B341:F341"/>
    <mergeCell ref="I341:J341"/>
    <mergeCell ref="B343:K343"/>
    <mergeCell ref="B344:F344"/>
    <mergeCell ref="I344:J344"/>
    <mergeCell ref="B345:F345"/>
    <mergeCell ref="I345:J345"/>
    <mergeCell ref="B346:F346"/>
    <mergeCell ref="I346:J346"/>
    <mergeCell ref="B347:F347"/>
    <mergeCell ref="I347:J347"/>
    <mergeCell ref="B348:F348"/>
    <mergeCell ref="I348:J348"/>
    <mergeCell ref="B349:F349"/>
    <mergeCell ref="I349:J349"/>
    <mergeCell ref="B350:F350"/>
    <mergeCell ref="I350:J350"/>
    <mergeCell ref="B351:F351"/>
    <mergeCell ref="I351:J351"/>
    <mergeCell ref="B352:F352"/>
    <mergeCell ref="I352:J352"/>
    <mergeCell ref="B353:F353"/>
    <mergeCell ref="I353:J353"/>
    <mergeCell ref="B354:F354"/>
    <mergeCell ref="I354:J354"/>
    <mergeCell ref="B355:F355"/>
    <mergeCell ref="I355:J355"/>
    <mergeCell ref="B356:K356"/>
    <mergeCell ref="B357:F357"/>
    <mergeCell ref="I357:J357"/>
    <mergeCell ref="B358:F358"/>
    <mergeCell ref="I358:J358"/>
    <mergeCell ref="B359:F359"/>
    <mergeCell ref="I359:J359"/>
    <mergeCell ref="B360:F360"/>
    <mergeCell ref="I360:J360"/>
    <mergeCell ref="B361:F361"/>
    <mergeCell ref="I361:J361"/>
    <mergeCell ref="B362:F362"/>
    <mergeCell ref="I362:J362"/>
    <mergeCell ref="B363:F363"/>
    <mergeCell ref="I363:J363"/>
    <mergeCell ref="B364:F364"/>
    <mergeCell ref="I364:J364"/>
    <mergeCell ref="B366:J366"/>
    <mergeCell ref="B369:K369"/>
    <mergeCell ref="B371:K371"/>
    <mergeCell ref="B372:K372"/>
    <mergeCell ref="B373:K373"/>
    <mergeCell ref="B374:F374"/>
    <mergeCell ref="I374:J374"/>
    <mergeCell ref="B375:F375"/>
    <mergeCell ref="I375:J375"/>
    <mergeCell ref="B376:F376"/>
    <mergeCell ref="I376:J376"/>
    <mergeCell ref="B377:F377"/>
    <mergeCell ref="I377:J377"/>
    <mergeCell ref="B378:F378"/>
    <mergeCell ref="I378:J378"/>
    <mergeCell ref="B379:F379"/>
    <mergeCell ref="I379:J379"/>
    <mergeCell ref="B380:F380"/>
    <mergeCell ref="I380:J380"/>
    <mergeCell ref="B381:K381"/>
    <mergeCell ref="B382:K382"/>
    <mergeCell ref="B383:F383"/>
    <mergeCell ref="I383:J383"/>
    <mergeCell ref="B384:F384"/>
    <mergeCell ref="I384:J384"/>
    <mergeCell ref="B385:F385"/>
    <mergeCell ref="I385:J385"/>
    <mergeCell ref="B386:F386"/>
    <mergeCell ref="I386:J386"/>
    <mergeCell ref="B387:F387"/>
    <mergeCell ref="I387:J387"/>
    <mergeCell ref="B388:F388"/>
    <mergeCell ref="I388:J388"/>
    <mergeCell ref="B389:K389"/>
    <mergeCell ref="B390:K390"/>
    <mergeCell ref="B391:K391"/>
    <mergeCell ref="L391:L399"/>
    <mergeCell ref="B392:F392"/>
    <mergeCell ref="I392:J392"/>
    <mergeCell ref="B393:F393"/>
    <mergeCell ref="I393:J393"/>
    <mergeCell ref="B394:F394"/>
    <mergeCell ref="I394:J394"/>
    <mergeCell ref="B395:F395"/>
    <mergeCell ref="I395:J395"/>
    <mergeCell ref="B396:F396"/>
    <mergeCell ref="I396:J396"/>
    <mergeCell ref="B397:F397"/>
    <mergeCell ref="I397:J397"/>
    <mergeCell ref="B398:F398"/>
    <mergeCell ref="I398:J398"/>
    <mergeCell ref="B399:F399"/>
    <mergeCell ref="I399:J399"/>
    <mergeCell ref="B400:K400"/>
    <mergeCell ref="B401:K401"/>
    <mergeCell ref="B402:F402"/>
    <mergeCell ref="I402:J402"/>
    <mergeCell ref="B403:F403"/>
    <mergeCell ref="I403:J403"/>
    <mergeCell ref="B404:F404"/>
    <mergeCell ref="I404:J404"/>
    <mergeCell ref="B405:F405"/>
    <mergeCell ref="I405:J405"/>
    <mergeCell ref="B406:F406"/>
    <mergeCell ref="I406:J406"/>
    <mergeCell ref="B407:F407"/>
    <mergeCell ref="I407:J407"/>
    <mergeCell ref="B408:F408"/>
    <mergeCell ref="I408:J408"/>
    <mergeCell ref="B409:F409"/>
    <mergeCell ref="I409:J409"/>
    <mergeCell ref="B410:F410"/>
    <mergeCell ref="I410:J410"/>
    <mergeCell ref="B411:F411"/>
    <mergeCell ref="I411:J411"/>
    <mergeCell ref="B412:F412"/>
    <mergeCell ref="I412:J412"/>
    <mergeCell ref="B413:F413"/>
    <mergeCell ref="I413:J413"/>
    <mergeCell ref="B414:K414"/>
    <mergeCell ref="B415:K415"/>
    <mergeCell ref="B416:K416"/>
    <mergeCell ref="B417:F417"/>
    <mergeCell ref="I417:J417"/>
    <mergeCell ref="B418:F418"/>
    <mergeCell ref="I418:J418"/>
    <mergeCell ref="B419:F419"/>
    <mergeCell ref="I419:J419"/>
    <mergeCell ref="B420:F420"/>
    <mergeCell ref="I420:J420"/>
    <mergeCell ref="B421:F421"/>
    <mergeCell ref="I421:J421"/>
    <mergeCell ref="B422:F422"/>
    <mergeCell ref="I422:J422"/>
    <mergeCell ref="B423:F423"/>
    <mergeCell ref="I423:J423"/>
    <mergeCell ref="B424:F424"/>
    <mergeCell ref="I424:J424"/>
    <mergeCell ref="B425:K425"/>
    <mergeCell ref="B426:K426"/>
    <mergeCell ref="B427:F427"/>
    <mergeCell ref="I427:J427"/>
    <mergeCell ref="B428:F428"/>
    <mergeCell ref="I428:J428"/>
    <mergeCell ref="B429:F429"/>
    <mergeCell ref="I429:J429"/>
    <mergeCell ref="B430:F430"/>
    <mergeCell ref="I430:J430"/>
    <mergeCell ref="B431:F431"/>
    <mergeCell ref="I431:J431"/>
    <mergeCell ref="B432:F432"/>
    <mergeCell ref="I432:J432"/>
    <mergeCell ref="B433:F433"/>
    <mergeCell ref="I433:J433"/>
    <mergeCell ref="B434:F434"/>
    <mergeCell ref="I434:J434"/>
    <mergeCell ref="B435:F435"/>
    <mergeCell ref="I435:J435"/>
    <mergeCell ref="B436:F436"/>
    <mergeCell ref="I436:J436"/>
    <mergeCell ref="B437:F437"/>
    <mergeCell ref="I437:J437"/>
    <mergeCell ref="B438:K438"/>
    <mergeCell ref="B439:J439"/>
    <mergeCell ref="B442:K442"/>
    <mergeCell ref="B443:K443"/>
    <mergeCell ref="B444:F444"/>
    <mergeCell ref="I444:J444"/>
    <mergeCell ref="B445:F445"/>
    <mergeCell ref="I445:J445"/>
    <mergeCell ref="B446:F446"/>
    <mergeCell ref="I446:J446"/>
    <mergeCell ref="B447:F447"/>
    <mergeCell ref="I447:J447"/>
    <mergeCell ref="B448:J448"/>
    <mergeCell ref="B451:J451"/>
    <mergeCell ref="B454:K454"/>
    <mergeCell ref="C455:G455"/>
    <mergeCell ref="I455:J455"/>
    <mergeCell ref="C456:G456"/>
    <mergeCell ref="I456:J456"/>
    <mergeCell ref="B457:J457"/>
    <mergeCell ref="B460:J460"/>
    <mergeCell ref="B463:K463"/>
    <mergeCell ref="B464:K464"/>
    <mergeCell ref="B465:F465"/>
    <mergeCell ref="G465:H465"/>
    <mergeCell ref="I465:J465"/>
    <mergeCell ref="B466:F466"/>
    <mergeCell ref="G466:H466"/>
    <mergeCell ref="I466:J466"/>
    <mergeCell ref="B470:F470"/>
    <mergeCell ref="G470:H470"/>
    <mergeCell ref="I470:J470"/>
    <mergeCell ref="B467:F467"/>
    <mergeCell ref="G467:H467"/>
    <mergeCell ref="I467:J467"/>
    <mergeCell ref="B468:F468"/>
    <mergeCell ref="G468:H468"/>
    <mergeCell ref="I468:J468"/>
    <mergeCell ref="B469:F469"/>
    <mergeCell ref="G469:H469"/>
    <mergeCell ref="I469:J469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ignoredErrors>
    <ignoredError sqref="K19 K398 K2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AD1048576"/>
  <sheetViews>
    <sheetView showGridLines="0" topLeftCell="A459" zoomScale="110" zoomScaleNormal="110" workbookViewId="0">
      <selection activeCell="I122" sqref="I122"/>
    </sheetView>
  </sheetViews>
  <sheetFormatPr defaultColWidth="8.7109375" defaultRowHeight="15" customHeight="1" x14ac:dyDescent="0.25"/>
  <cols>
    <col min="1" max="1" width="22.28515625" customWidth="1"/>
    <col min="3" max="3" width="9" customWidth="1"/>
    <col min="5" max="5" width="9.7109375" customWidth="1"/>
    <col min="6" max="6" width="14.42578125" customWidth="1"/>
    <col min="7" max="7" width="13.140625" customWidth="1"/>
    <col min="8" max="8" width="14.42578125" customWidth="1"/>
    <col min="9" max="9" width="10" customWidth="1"/>
    <col min="10" max="10" width="11.42578125" customWidth="1"/>
    <col min="11" max="11" width="18.7109375" customWidth="1"/>
    <col min="12" max="12" width="50" style="535" customWidth="1"/>
    <col min="13" max="13" width="11.5703125" style="536" customWidth="1"/>
    <col min="14" max="14" width="11.7109375" style="536" customWidth="1"/>
    <col min="15" max="15" width="11.140625" customWidth="1"/>
    <col min="18" max="18" width="11.42578125" customWidth="1"/>
  </cols>
  <sheetData>
    <row r="2" spans="2:13" ht="15.75" x14ac:dyDescent="0.25">
      <c r="B2" s="683" t="s">
        <v>552</v>
      </c>
      <c r="C2" s="683"/>
      <c r="D2" s="683"/>
      <c r="E2" s="683"/>
      <c r="F2" s="683"/>
      <c r="G2" s="683"/>
      <c r="H2" s="683"/>
      <c r="I2" s="683"/>
      <c r="J2" s="683"/>
      <c r="K2" s="683"/>
      <c r="L2" s="543"/>
      <c r="M2" s="559"/>
    </row>
    <row r="4" spans="2:13" x14ac:dyDescent="0.25">
      <c r="B4" s="672" t="s">
        <v>36</v>
      </c>
      <c r="C4" s="672"/>
      <c r="D4" s="672"/>
      <c r="E4" s="672"/>
      <c r="F4" s="672"/>
      <c r="G4" s="672"/>
      <c r="H4" s="672"/>
      <c r="I4" s="672"/>
      <c r="J4" s="672"/>
      <c r="K4" s="672"/>
    </row>
    <row r="5" spans="2:13" ht="33" customHeight="1" x14ac:dyDescent="0.25">
      <c r="B5" s="614" t="s">
        <v>37</v>
      </c>
      <c r="C5" s="614"/>
      <c r="D5" s="614"/>
      <c r="E5" s="614"/>
      <c r="F5" s="614"/>
      <c r="G5" s="614"/>
      <c r="H5" s="25" t="s">
        <v>38</v>
      </c>
      <c r="I5" s="664" t="s">
        <v>39</v>
      </c>
      <c r="J5" s="664"/>
      <c r="K5" s="26" t="s">
        <v>40</v>
      </c>
    </row>
    <row r="6" spans="2:13" x14ac:dyDescent="0.25">
      <c r="B6" s="27" t="s">
        <v>553</v>
      </c>
      <c r="C6" s="676" t="s">
        <v>314</v>
      </c>
      <c r="D6" s="676"/>
      <c r="E6" s="676"/>
      <c r="F6" s="676"/>
      <c r="G6" s="676"/>
      <c r="H6" s="204">
        <f>SUM(H7:H10)</f>
        <v>36</v>
      </c>
      <c r="I6" s="678"/>
      <c r="J6" s="678"/>
      <c r="K6" s="205">
        <f>SUM(K7:K10)</f>
        <v>263494.17328472884</v>
      </c>
    </row>
    <row r="7" spans="2:13" x14ac:dyDescent="0.25">
      <c r="B7" s="5" t="s">
        <v>554</v>
      </c>
      <c r="C7" s="594" t="s">
        <v>316</v>
      </c>
      <c r="D7" s="594"/>
      <c r="E7" s="594"/>
      <c r="F7" s="594"/>
      <c r="G7" s="594"/>
      <c r="H7" s="4">
        <v>11</v>
      </c>
      <c r="I7" s="679">
        <f>K49</f>
        <v>6465.5533496361713</v>
      </c>
      <c r="J7" s="679"/>
      <c r="K7" s="133">
        <f>I7*H7</f>
        <v>71121.086845997881</v>
      </c>
    </row>
    <row r="8" spans="2:13" x14ac:dyDescent="0.25">
      <c r="B8" s="5" t="s">
        <v>555</v>
      </c>
      <c r="C8" s="594" t="s">
        <v>318</v>
      </c>
      <c r="D8" s="594"/>
      <c r="E8" s="594"/>
      <c r="F8" s="594"/>
      <c r="G8" s="594"/>
      <c r="H8" s="4">
        <v>11</v>
      </c>
      <c r="I8" s="679">
        <f>K75</f>
        <v>7027.655911265706</v>
      </c>
      <c r="J8" s="679"/>
      <c r="K8" s="133">
        <f>I8*H8</f>
        <v>77304.215023922763</v>
      </c>
    </row>
    <row r="9" spans="2:13" x14ac:dyDescent="0.25">
      <c r="B9" s="5" t="s">
        <v>556</v>
      </c>
      <c r="C9" s="594" t="s">
        <v>320</v>
      </c>
      <c r="D9" s="594"/>
      <c r="E9" s="594"/>
      <c r="F9" s="594"/>
      <c r="G9" s="594"/>
      <c r="H9" s="4">
        <v>7</v>
      </c>
      <c r="I9" s="679">
        <f>K96</f>
        <v>7554.1758915477112</v>
      </c>
      <c r="J9" s="679"/>
      <c r="K9" s="133">
        <f>I9*H9</f>
        <v>52879.231240833979</v>
      </c>
    </row>
    <row r="10" spans="2:13" x14ac:dyDescent="0.25">
      <c r="B10" s="5" t="s">
        <v>557</v>
      </c>
      <c r="C10" s="594" t="s">
        <v>322</v>
      </c>
      <c r="D10" s="594"/>
      <c r="E10" s="594"/>
      <c r="F10" s="594"/>
      <c r="G10" s="594"/>
      <c r="H10" s="4">
        <v>7</v>
      </c>
      <c r="I10" s="679">
        <f>K121</f>
        <v>8884.2343105677428</v>
      </c>
      <c r="J10" s="679"/>
      <c r="K10" s="133">
        <f>I10*H10</f>
        <v>62189.6401739742</v>
      </c>
    </row>
    <row r="11" spans="2:13" x14ac:dyDescent="0.25">
      <c r="B11" s="27" t="s">
        <v>558</v>
      </c>
      <c r="C11" s="678" t="s">
        <v>68</v>
      </c>
      <c r="D11" s="678"/>
      <c r="E11" s="678"/>
      <c r="F11" s="678"/>
      <c r="G11" s="678"/>
      <c r="H11" s="204">
        <f>SUM(H12:H13)</f>
        <v>36</v>
      </c>
      <c r="I11" s="678"/>
      <c r="J11" s="678"/>
      <c r="K11" s="205">
        <f>SUM(K12:K13)</f>
        <v>7440.3355555555554</v>
      </c>
    </row>
    <row r="12" spans="2:13" x14ac:dyDescent="0.25">
      <c r="B12" s="34" t="s">
        <v>559</v>
      </c>
      <c r="C12" s="594" t="s">
        <v>325</v>
      </c>
      <c r="D12" s="594"/>
      <c r="E12" s="594"/>
      <c r="F12" s="594"/>
      <c r="G12" s="594"/>
      <c r="H12" s="4">
        <f>SUM(H7:H8)</f>
        <v>22</v>
      </c>
      <c r="I12" s="645">
        <f>K143</f>
        <v>280.10555555555555</v>
      </c>
      <c r="J12" s="645"/>
      <c r="K12" s="206">
        <f>I12*H12</f>
        <v>6162.3222222222221</v>
      </c>
    </row>
    <row r="13" spans="2:13" ht="15" customHeight="1" x14ac:dyDescent="0.25">
      <c r="B13" s="34" t="s">
        <v>560</v>
      </c>
      <c r="C13" s="670" t="s">
        <v>327</v>
      </c>
      <c r="D13" s="670"/>
      <c r="E13" s="670"/>
      <c r="F13" s="670"/>
      <c r="G13" s="670"/>
      <c r="H13" s="4">
        <f>SUM(H9:H10)</f>
        <v>14</v>
      </c>
      <c r="I13" s="645">
        <f>K156</f>
        <v>91.286666666666676</v>
      </c>
      <c r="J13" s="645"/>
      <c r="K13" s="206">
        <f>I13*H13</f>
        <v>1278.0133333333335</v>
      </c>
    </row>
    <row r="14" spans="2:13" x14ac:dyDescent="0.25">
      <c r="B14" s="27" t="s">
        <v>561</v>
      </c>
      <c r="C14" s="678" t="s">
        <v>80</v>
      </c>
      <c r="D14" s="678"/>
      <c r="E14" s="678"/>
      <c r="F14" s="678"/>
      <c r="G14" s="678"/>
      <c r="H14" s="204">
        <f>SUM(H15:H18)</f>
        <v>857</v>
      </c>
      <c r="I14" s="678"/>
      <c r="J14" s="678"/>
      <c r="K14" s="205">
        <f>SUM(K15:K18)</f>
        <v>194870.32731718151</v>
      </c>
    </row>
    <row r="15" spans="2:13" x14ac:dyDescent="0.25">
      <c r="B15" s="5" t="s">
        <v>562</v>
      </c>
      <c r="C15" s="594" t="s">
        <v>332</v>
      </c>
      <c r="D15" s="594"/>
      <c r="E15" s="594"/>
      <c r="F15" s="594"/>
      <c r="G15" s="594"/>
      <c r="H15" s="582">
        <v>3</v>
      </c>
      <c r="I15" s="645">
        <f>I166</f>
        <v>27554.556522514958</v>
      </c>
      <c r="J15" s="645"/>
      <c r="K15" s="133">
        <f>K166</f>
        <v>82663.669567544857</v>
      </c>
      <c r="L15" s="575"/>
    </row>
    <row r="16" spans="2:13" x14ac:dyDescent="0.25">
      <c r="B16" s="5" t="s">
        <v>563</v>
      </c>
      <c r="C16" s="594" t="s">
        <v>564</v>
      </c>
      <c r="D16" s="594"/>
      <c r="E16" s="594"/>
      <c r="F16" s="594"/>
      <c r="G16" s="594"/>
      <c r="H16" s="582">
        <v>1</v>
      </c>
      <c r="I16" s="645">
        <f>I174</f>
        <v>21585.172487640833</v>
      </c>
      <c r="J16" s="645"/>
      <c r="K16" s="133">
        <f>K174</f>
        <v>21585.172487640833</v>
      </c>
    </row>
    <row r="17" spans="2:11" x14ac:dyDescent="0.25">
      <c r="B17" s="5" t="s">
        <v>565</v>
      </c>
      <c r="C17" s="604" t="s">
        <v>334</v>
      </c>
      <c r="D17" s="604"/>
      <c r="E17" s="604"/>
      <c r="F17" s="604"/>
      <c r="G17" s="604"/>
      <c r="H17" s="582">
        <v>3</v>
      </c>
      <c r="I17" s="679">
        <f>I182</f>
        <v>3851.0556993111109</v>
      </c>
      <c r="J17" s="679"/>
      <c r="K17" s="133">
        <f>K182</f>
        <v>11553.167097933332</v>
      </c>
    </row>
    <row r="18" spans="2:11" x14ac:dyDescent="0.25">
      <c r="B18" s="5" t="s">
        <v>566</v>
      </c>
      <c r="C18" s="604" t="s">
        <v>567</v>
      </c>
      <c r="D18" s="604"/>
      <c r="E18" s="604"/>
      <c r="F18" s="604"/>
      <c r="G18" s="604"/>
      <c r="H18" s="582">
        <v>850</v>
      </c>
      <c r="I18" s="679">
        <f>I190</f>
        <v>7498.7636507812504</v>
      </c>
      <c r="J18" s="679"/>
      <c r="K18" s="133">
        <f>K190</f>
        <v>79068.318164062497</v>
      </c>
    </row>
    <row r="19" spans="2:11" x14ac:dyDescent="0.25">
      <c r="B19" s="27" t="s">
        <v>568</v>
      </c>
      <c r="C19" s="676" t="s">
        <v>336</v>
      </c>
      <c r="D19" s="676"/>
      <c r="E19" s="676"/>
      <c r="F19" s="676"/>
      <c r="G19" s="676"/>
      <c r="H19" s="207"/>
      <c r="I19" s="677"/>
      <c r="J19" s="677"/>
      <c r="K19" s="205">
        <f>K468</f>
        <v>2270.3212222222219</v>
      </c>
    </row>
    <row r="20" spans="2:11" x14ac:dyDescent="0.25">
      <c r="B20" s="27" t="s">
        <v>569</v>
      </c>
      <c r="C20" s="678" t="s">
        <v>570</v>
      </c>
      <c r="D20" s="678"/>
      <c r="E20" s="678"/>
      <c r="F20" s="678"/>
      <c r="G20" s="678"/>
      <c r="H20" s="204"/>
      <c r="I20" s="678"/>
      <c r="J20" s="678"/>
      <c r="K20" s="205">
        <f>SUM(K21:K22)</f>
        <v>285452.99912141339</v>
      </c>
    </row>
    <row r="21" spans="2:11" x14ac:dyDescent="0.25">
      <c r="B21" s="5" t="s">
        <v>571</v>
      </c>
      <c r="C21" s="604" t="s">
        <v>572</v>
      </c>
      <c r="D21" s="604"/>
      <c r="E21" s="604"/>
      <c r="F21" s="604"/>
      <c r="G21" s="604"/>
      <c r="H21" s="4">
        <v>1</v>
      </c>
      <c r="I21" s="679">
        <f>K477</f>
        <v>155843.48422307981</v>
      </c>
      <c r="J21" s="679"/>
      <c r="K21" s="133">
        <f>I21*H21</f>
        <v>155843.48422307981</v>
      </c>
    </row>
    <row r="22" spans="2:11" x14ac:dyDescent="0.25">
      <c r="B22" s="5" t="s">
        <v>573</v>
      </c>
      <c r="C22" s="604" t="s">
        <v>86</v>
      </c>
      <c r="D22" s="604"/>
      <c r="E22" s="604"/>
      <c r="F22" s="604"/>
      <c r="G22" s="604"/>
      <c r="H22" s="4">
        <v>1</v>
      </c>
      <c r="I22" s="679">
        <f>K478</f>
        <v>129609.51489833357</v>
      </c>
      <c r="J22" s="679"/>
      <c r="K22" s="133">
        <f>I22*H22</f>
        <v>129609.51489833357</v>
      </c>
    </row>
    <row r="23" spans="2:11" x14ac:dyDescent="0.25">
      <c r="B23" s="672" t="s">
        <v>341</v>
      </c>
      <c r="C23" s="672"/>
      <c r="D23" s="672"/>
      <c r="E23" s="672"/>
      <c r="F23" s="672"/>
      <c r="G23" s="672"/>
      <c r="H23" s="672"/>
      <c r="I23" s="672"/>
      <c r="J23" s="672"/>
      <c r="K23" s="159">
        <f>K20+K14+K11+K6+K19</f>
        <v>753528.15650110145</v>
      </c>
    </row>
    <row r="24" spans="2:11" x14ac:dyDescent="0.25">
      <c r="B24" s="672" t="s">
        <v>342</v>
      </c>
      <c r="C24" s="672"/>
      <c r="D24" s="672"/>
      <c r="E24" s="672"/>
      <c r="F24" s="672"/>
      <c r="G24" s="672"/>
      <c r="H24" s="672"/>
      <c r="I24" s="672"/>
      <c r="J24" s="672"/>
      <c r="K24" s="159">
        <f>K23*6</f>
        <v>4521168.9390066089</v>
      </c>
    </row>
    <row r="25" spans="2:11" x14ac:dyDescent="0.25">
      <c r="B25" s="673" t="s">
        <v>574</v>
      </c>
      <c r="C25" s="673"/>
      <c r="D25" s="673"/>
      <c r="E25" s="673"/>
      <c r="F25" s="673"/>
      <c r="G25" s="673"/>
      <c r="H25" s="208">
        <v>850</v>
      </c>
      <c r="I25" s="674" t="s">
        <v>22</v>
      </c>
      <c r="J25" s="674"/>
      <c r="K25" s="209">
        <f>$K$23/H25</f>
        <v>886.50371353070761</v>
      </c>
    </row>
    <row r="26" spans="2:11" x14ac:dyDescent="0.25"/>
    <row r="27" spans="2:11" x14ac:dyDescent="0.25"/>
    <row r="28" spans="2:11" ht="15" customHeight="1" x14ac:dyDescent="0.25">
      <c r="B28" s="601" t="s">
        <v>575</v>
      </c>
      <c r="C28" s="601"/>
      <c r="D28" s="601"/>
      <c r="E28" s="601"/>
      <c r="F28" s="601"/>
      <c r="G28" s="601"/>
      <c r="H28" s="601"/>
      <c r="I28" s="601"/>
      <c r="J28" s="601"/>
      <c r="K28" s="601"/>
    </row>
    <row r="29" spans="2:11" ht="15" customHeight="1" x14ac:dyDescent="0.25">
      <c r="B29" s="675"/>
      <c r="C29" s="675"/>
      <c r="D29" s="675"/>
      <c r="E29" s="675"/>
      <c r="F29" s="675"/>
      <c r="G29" s="675"/>
      <c r="H29" s="675"/>
      <c r="I29" s="675"/>
      <c r="J29" s="675"/>
      <c r="K29" s="675"/>
    </row>
    <row r="30" spans="2:11" x14ac:dyDescent="0.25">
      <c r="B30" s="663" t="s">
        <v>576</v>
      </c>
      <c r="C30" s="663"/>
      <c r="D30" s="663"/>
      <c r="E30" s="663"/>
      <c r="F30" s="663"/>
      <c r="G30" s="663"/>
      <c r="H30" s="663"/>
      <c r="I30" s="663"/>
      <c r="J30" s="663"/>
      <c r="K30" s="663"/>
    </row>
    <row r="31" spans="2:11" x14ac:dyDescent="0.25">
      <c r="B31" s="3" t="s">
        <v>95</v>
      </c>
      <c r="C31" s="602" t="s">
        <v>96</v>
      </c>
      <c r="D31" s="602"/>
      <c r="E31" s="602"/>
      <c r="F31" s="602"/>
      <c r="G31" s="602"/>
      <c r="H31" s="53" t="s">
        <v>128</v>
      </c>
      <c r="I31" s="61" t="s">
        <v>129</v>
      </c>
      <c r="J31" s="45" t="s">
        <v>115</v>
      </c>
      <c r="K31" s="45" t="s">
        <v>97</v>
      </c>
    </row>
    <row r="32" spans="2:11" x14ac:dyDescent="0.25">
      <c r="B32" s="8" t="s">
        <v>98</v>
      </c>
      <c r="C32" s="622" t="s">
        <v>99</v>
      </c>
      <c r="D32" s="622"/>
      <c r="E32" s="622"/>
      <c r="F32" s="622"/>
      <c r="G32" s="622"/>
      <c r="H32" s="4">
        <v>220</v>
      </c>
      <c r="I32" s="8" t="s">
        <v>130</v>
      </c>
      <c r="J32" s="62">
        <f>K32/H32</f>
        <v>9.4650454545454537</v>
      </c>
      <c r="K32" s="67">
        <f>'6 - DADOS CC MO'!E10</f>
        <v>2082.31</v>
      </c>
    </row>
    <row r="33" spans="2:11" x14ac:dyDescent="0.25">
      <c r="B33" s="8" t="s">
        <v>135</v>
      </c>
      <c r="C33" s="63" t="s">
        <v>132</v>
      </c>
      <c r="D33" s="64"/>
      <c r="E33" s="64"/>
      <c r="F33" s="64"/>
      <c r="G33" s="65"/>
      <c r="H33" s="66">
        <f>7+1/3</f>
        <v>7.333333333333333</v>
      </c>
      <c r="I33" s="8" t="s">
        <v>130</v>
      </c>
      <c r="J33" s="62">
        <f>J32*2</f>
        <v>18.930090909090907</v>
      </c>
      <c r="K33" s="67">
        <f>H33*J33</f>
        <v>138.82066666666665</v>
      </c>
    </row>
    <row r="34" spans="2:11" x14ac:dyDescent="0.25">
      <c r="B34" s="8" t="s">
        <v>148</v>
      </c>
      <c r="C34" s="63" t="s">
        <v>134</v>
      </c>
      <c r="D34" s="64"/>
      <c r="E34" s="64"/>
      <c r="F34" s="64"/>
      <c r="G34" s="65"/>
      <c r="H34" s="66"/>
      <c r="I34" s="8"/>
      <c r="J34" s="62">
        <f>61/304*(SUM(K33))</f>
        <v>27.855462719298245</v>
      </c>
      <c r="K34" s="67">
        <f>J34</f>
        <v>27.855462719298245</v>
      </c>
    </row>
    <row r="35" spans="2:11" x14ac:dyDescent="0.25">
      <c r="B35" s="8" t="s">
        <v>347</v>
      </c>
      <c r="C35" s="622" t="s">
        <v>136</v>
      </c>
      <c r="D35" s="622"/>
      <c r="E35" s="622"/>
      <c r="F35" s="622"/>
      <c r="G35" s="622"/>
      <c r="H35" s="4">
        <v>40</v>
      </c>
      <c r="I35" s="8" t="s">
        <v>89</v>
      </c>
      <c r="J35" s="46"/>
      <c r="K35" s="67">
        <f>K32*40%</f>
        <v>832.92399999999998</v>
      </c>
    </row>
    <row r="36" spans="2:11" x14ac:dyDescent="0.25">
      <c r="B36" s="4"/>
      <c r="C36" s="661" t="s">
        <v>100</v>
      </c>
      <c r="D36" s="661"/>
      <c r="E36" s="661"/>
      <c r="F36" s="661"/>
      <c r="G36" s="661"/>
      <c r="H36" s="661"/>
      <c r="I36" s="661"/>
      <c r="J36" s="48"/>
      <c r="K36" s="210">
        <f>SUM(K32:K35)</f>
        <v>3081.9101293859649</v>
      </c>
    </row>
    <row r="37" spans="2:11" x14ac:dyDescent="0.25">
      <c r="B37" s="45" t="s">
        <v>101</v>
      </c>
      <c r="C37" s="602" t="s">
        <v>102</v>
      </c>
      <c r="D37" s="602"/>
      <c r="E37" s="602"/>
      <c r="F37" s="602"/>
      <c r="G37" s="602"/>
      <c r="H37" s="602"/>
      <c r="I37" s="602"/>
      <c r="J37" s="45" t="s">
        <v>89</v>
      </c>
      <c r="K37" s="45" t="s">
        <v>97</v>
      </c>
    </row>
    <row r="38" spans="2:11" x14ac:dyDescent="0.25">
      <c r="B38" s="8" t="s">
        <v>103</v>
      </c>
      <c r="C38" s="622" t="s">
        <v>104</v>
      </c>
      <c r="D38" s="622"/>
      <c r="E38" s="622"/>
      <c r="F38" s="622"/>
      <c r="G38" s="622"/>
      <c r="H38" s="622"/>
      <c r="I38" s="622"/>
      <c r="J38" s="50">
        <f>'7 - ENCARGOS SOCIAIS'!$D$13</f>
        <v>0.36800000000000005</v>
      </c>
      <c r="K38" s="67">
        <f>J38*$K$36</f>
        <v>1134.1429276140352</v>
      </c>
    </row>
    <row r="39" spans="2:11" x14ac:dyDescent="0.25">
      <c r="B39" s="8" t="s">
        <v>105</v>
      </c>
      <c r="C39" s="622" t="s">
        <v>106</v>
      </c>
      <c r="D39" s="622"/>
      <c r="E39" s="622"/>
      <c r="F39" s="622"/>
      <c r="G39" s="622"/>
      <c r="H39" s="622"/>
      <c r="I39" s="622"/>
      <c r="J39" s="50">
        <f>'7 - ENCARGOS SOCIAIS'!$D$21</f>
        <v>0.15387245147090212</v>
      </c>
      <c r="K39" s="67">
        <f>J39*$K$36</f>
        <v>474.22106682162354</v>
      </c>
    </row>
    <row r="40" spans="2:11" x14ac:dyDescent="0.25">
      <c r="B40" s="8" t="s">
        <v>107</v>
      </c>
      <c r="C40" s="622" t="s">
        <v>108</v>
      </c>
      <c r="D40" s="622"/>
      <c r="E40" s="622"/>
      <c r="F40" s="622"/>
      <c r="G40" s="622"/>
      <c r="H40" s="622"/>
      <c r="I40" s="622"/>
      <c r="J40" s="50">
        <f>'7 - ENCARGOS SOCIAIS'!$D$28</f>
        <v>0.12666581537651095</v>
      </c>
      <c r="K40" s="67">
        <f>J40*$K$36</f>
        <v>390.37265945580157</v>
      </c>
    </row>
    <row r="41" spans="2:11" x14ac:dyDescent="0.25">
      <c r="B41" s="8" t="s">
        <v>109</v>
      </c>
      <c r="C41" s="622" t="s">
        <v>110</v>
      </c>
      <c r="D41" s="622"/>
      <c r="E41" s="622"/>
      <c r="F41" s="622"/>
      <c r="G41" s="622"/>
      <c r="H41" s="622"/>
      <c r="I41" s="622"/>
      <c r="J41" s="50">
        <f>'7 - ENCARGOS SOCIAIS'!$D$32</f>
        <v>5.9231502118822603E-2</v>
      </c>
      <c r="K41" s="67">
        <f>J41*$K$36</f>
        <v>182.54616635874561</v>
      </c>
    </row>
    <row r="42" spans="2:11" x14ac:dyDescent="0.25">
      <c r="B42" s="25"/>
      <c r="C42" s="614" t="s">
        <v>111</v>
      </c>
      <c r="D42" s="614"/>
      <c r="E42" s="614"/>
      <c r="F42" s="614"/>
      <c r="G42" s="614"/>
      <c r="H42" s="614"/>
      <c r="I42" s="614"/>
      <c r="J42" s="51">
        <f>SUM(J38:J41)</f>
        <v>0.70776976896623567</v>
      </c>
      <c r="K42" s="211">
        <f>SUM(K38:K41)</f>
        <v>2181.282820250206</v>
      </c>
    </row>
    <row r="43" spans="2:11" ht="23.25" customHeight="1" x14ac:dyDescent="0.25">
      <c r="B43" s="45" t="s">
        <v>112</v>
      </c>
      <c r="C43" s="667" t="s">
        <v>113</v>
      </c>
      <c r="D43" s="667"/>
      <c r="E43" s="667"/>
      <c r="F43" s="667"/>
      <c r="G43" s="667"/>
      <c r="H43" s="53" t="s">
        <v>114</v>
      </c>
      <c r="I43" s="45" t="s">
        <v>115</v>
      </c>
      <c r="J43" s="45" t="s">
        <v>116</v>
      </c>
      <c r="K43" s="45" t="s">
        <v>97</v>
      </c>
    </row>
    <row r="44" spans="2:11" ht="15" customHeight="1" x14ac:dyDescent="0.25">
      <c r="B44" s="8" t="s">
        <v>117</v>
      </c>
      <c r="C44" s="670" t="s">
        <v>118</v>
      </c>
      <c r="D44" s="670"/>
      <c r="E44" s="670"/>
      <c r="F44" s="670"/>
      <c r="G44" s="670"/>
      <c r="H44" s="8">
        <v>26</v>
      </c>
      <c r="I44" s="54">
        <v>27.15</v>
      </c>
      <c r="J44" s="69">
        <v>0.19</v>
      </c>
      <c r="K44" s="133">
        <f>(H44*I44)-((H44*I44)*J44)</f>
        <v>571.779</v>
      </c>
    </row>
    <row r="45" spans="2:11" x14ac:dyDescent="0.25">
      <c r="B45" s="8" t="s">
        <v>119</v>
      </c>
      <c r="C45" s="622" t="s">
        <v>151</v>
      </c>
      <c r="D45" s="622"/>
      <c r="E45" s="622"/>
      <c r="F45" s="622"/>
      <c r="G45" s="622"/>
      <c r="H45" s="8">
        <f>H44*4</f>
        <v>104</v>
      </c>
      <c r="I45" s="56">
        <v>6.25</v>
      </c>
      <c r="J45" s="69">
        <v>0.06</v>
      </c>
      <c r="K45" s="133">
        <f>(H45*I45)-(K32*J45)</f>
        <v>525.06140000000005</v>
      </c>
    </row>
    <row r="46" spans="2:11" x14ac:dyDescent="0.25">
      <c r="B46" s="8" t="s">
        <v>121</v>
      </c>
      <c r="C46" s="622" t="s">
        <v>122</v>
      </c>
      <c r="D46" s="622"/>
      <c r="E46" s="622"/>
      <c r="F46" s="622"/>
      <c r="G46" s="622"/>
      <c r="H46" s="4">
        <v>1</v>
      </c>
      <c r="I46" s="54">
        <v>25.52</v>
      </c>
      <c r="J46" s="5"/>
      <c r="K46" s="32">
        <f>I46</f>
        <v>25.52</v>
      </c>
    </row>
    <row r="47" spans="2:11" x14ac:dyDescent="0.25">
      <c r="B47" s="8" t="s">
        <v>152</v>
      </c>
      <c r="C47" s="622" t="s">
        <v>348</v>
      </c>
      <c r="D47" s="622"/>
      <c r="E47" s="622"/>
      <c r="F47" s="622"/>
      <c r="G47" s="622"/>
      <c r="H47" s="4">
        <v>1</v>
      </c>
      <c r="I47" s="54">
        <v>80</v>
      </c>
      <c r="J47" s="5"/>
      <c r="K47" s="32">
        <f>I47</f>
        <v>80</v>
      </c>
    </row>
    <row r="48" spans="2:11" x14ac:dyDescent="0.25">
      <c r="B48" s="5"/>
      <c r="C48" s="661" t="s">
        <v>123</v>
      </c>
      <c r="D48" s="661"/>
      <c r="E48" s="661"/>
      <c r="F48" s="661"/>
      <c r="G48" s="661"/>
      <c r="H48" s="661"/>
      <c r="I48" s="661"/>
      <c r="J48" s="48"/>
      <c r="K48" s="206">
        <f>SUM(K44:K47)</f>
        <v>1202.3604</v>
      </c>
    </row>
    <row r="49" spans="2:12" x14ac:dyDescent="0.25">
      <c r="B49" s="665" t="s">
        <v>349</v>
      </c>
      <c r="C49" s="665"/>
      <c r="D49" s="665"/>
      <c r="E49" s="665"/>
      <c r="F49" s="665"/>
      <c r="G49" s="665"/>
      <c r="H49" s="665"/>
      <c r="I49" s="665"/>
      <c r="J49" s="665"/>
      <c r="K49" s="212">
        <f>K48+K42+K36</f>
        <v>6465.5533496361713</v>
      </c>
    </row>
    <row r="50" spans="2:12" ht="15" customHeight="1" x14ac:dyDescent="0.25">
      <c r="B50" s="666" t="s">
        <v>125</v>
      </c>
      <c r="C50" s="666"/>
      <c r="D50" s="666"/>
      <c r="E50" s="666"/>
      <c r="F50" s="666"/>
      <c r="G50" s="666"/>
      <c r="H50" s="666"/>
      <c r="I50" s="59">
        <f>H7</f>
        <v>11</v>
      </c>
      <c r="J50" s="59" t="s">
        <v>126</v>
      </c>
      <c r="K50" s="213">
        <f>K49*I50</f>
        <v>71121.086845997881</v>
      </c>
      <c r="L50" s="541"/>
    </row>
    <row r="51" spans="2:12" x14ac:dyDescent="0.25"/>
    <row r="52" spans="2:12" x14ac:dyDescent="0.25">
      <c r="B52" s="663" t="s">
        <v>577</v>
      </c>
      <c r="C52" s="663"/>
      <c r="D52" s="663"/>
      <c r="E52" s="663"/>
      <c r="F52" s="663"/>
      <c r="G52" s="663"/>
      <c r="H52" s="663"/>
      <c r="I52" s="663"/>
      <c r="J52" s="663"/>
      <c r="K52" s="663"/>
    </row>
    <row r="53" spans="2:12" x14ac:dyDescent="0.25">
      <c r="B53" s="3" t="s">
        <v>95</v>
      </c>
      <c r="C53" s="602" t="s">
        <v>96</v>
      </c>
      <c r="D53" s="602"/>
      <c r="E53" s="602"/>
      <c r="F53" s="602"/>
      <c r="G53" s="602"/>
      <c r="H53" s="53" t="s">
        <v>128</v>
      </c>
      <c r="I53" s="61" t="s">
        <v>129</v>
      </c>
      <c r="J53" s="45" t="s">
        <v>115</v>
      </c>
      <c r="K53" s="45" t="s">
        <v>97</v>
      </c>
    </row>
    <row r="54" spans="2:12" x14ac:dyDescent="0.25">
      <c r="B54" s="8" t="s">
        <v>98</v>
      </c>
      <c r="C54" s="622" t="s">
        <v>99</v>
      </c>
      <c r="D54" s="622"/>
      <c r="E54" s="622"/>
      <c r="F54" s="622"/>
      <c r="G54" s="622"/>
      <c r="H54" s="4">
        <v>220</v>
      </c>
      <c r="I54" s="8" t="s">
        <v>130</v>
      </c>
      <c r="J54" s="62">
        <f>K54/H54</f>
        <v>9.4650454545454537</v>
      </c>
      <c r="K54" s="67">
        <f>'6 - DADOS CC MO'!E10</f>
        <v>2082.31</v>
      </c>
    </row>
    <row r="55" spans="2:12" x14ac:dyDescent="0.25">
      <c r="B55" s="668" t="s">
        <v>135</v>
      </c>
      <c r="C55" s="615" t="s">
        <v>139</v>
      </c>
      <c r="D55" s="615"/>
      <c r="E55" s="615"/>
      <c r="F55" s="615"/>
      <c r="G55" s="615"/>
      <c r="H55" s="66">
        <v>112.67</v>
      </c>
      <c r="I55" s="8" t="s">
        <v>140</v>
      </c>
      <c r="J55" s="62"/>
      <c r="K55" s="67"/>
    </row>
    <row r="56" spans="2:12" x14ac:dyDescent="0.25">
      <c r="B56" s="668"/>
      <c r="C56" s="615"/>
      <c r="D56" s="615"/>
      <c r="E56" s="615"/>
      <c r="F56" s="615"/>
      <c r="G56" s="615"/>
      <c r="H56" s="66">
        <f>H55*8/7</f>
        <v>128.7657142857143</v>
      </c>
      <c r="I56" s="8" t="s">
        <v>141</v>
      </c>
      <c r="J56" s="62">
        <f>J54*0.2</f>
        <v>1.8930090909090909</v>
      </c>
      <c r="K56" s="67">
        <f>H56*J56</f>
        <v>243.75466774025975</v>
      </c>
    </row>
    <row r="57" spans="2:12" x14ac:dyDescent="0.25">
      <c r="B57" s="8" t="s">
        <v>142</v>
      </c>
      <c r="C57" s="63" t="s">
        <v>132</v>
      </c>
      <c r="D57" s="64"/>
      <c r="E57" s="64"/>
      <c r="F57" s="64"/>
      <c r="G57" s="65"/>
      <c r="H57" s="66">
        <v>3</v>
      </c>
      <c r="I57" s="8" t="s">
        <v>130</v>
      </c>
      <c r="J57" s="62">
        <f>J54*2</f>
        <v>18.930090909090907</v>
      </c>
      <c r="K57" s="67">
        <f>H57*J57</f>
        <v>56.790272727272722</v>
      </c>
    </row>
    <row r="58" spans="2:12" x14ac:dyDescent="0.25">
      <c r="B58" s="8" t="s">
        <v>143</v>
      </c>
      <c r="C58" s="63" t="s">
        <v>144</v>
      </c>
      <c r="D58" s="64"/>
      <c r="E58" s="64"/>
      <c r="F58" s="64"/>
      <c r="G58" s="65"/>
      <c r="H58" s="66">
        <v>4.33</v>
      </c>
      <c r="I58" s="8" t="s">
        <v>130</v>
      </c>
      <c r="J58" s="62"/>
      <c r="K58" s="67"/>
    </row>
    <row r="59" spans="2:12" x14ac:dyDescent="0.25">
      <c r="B59" s="8" t="s">
        <v>145</v>
      </c>
      <c r="C59" s="63" t="s">
        <v>146</v>
      </c>
      <c r="D59" s="64"/>
      <c r="E59" s="64"/>
      <c r="F59" s="64"/>
      <c r="G59" s="65"/>
      <c r="H59" s="66">
        <f>H58*8/7</f>
        <v>4.9485714285714284</v>
      </c>
      <c r="I59" s="8" t="s">
        <v>130</v>
      </c>
      <c r="J59" s="62">
        <f>J54*2*1.2</f>
        <v>22.716109090909089</v>
      </c>
      <c r="K59" s="67">
        <f>H59*J59</f>
        <v>112.4122884155844</v>
      </c>
    </row>
    <row r="60" spans="2:12" x14ac:dyDescent="0.25">
      <c r="B60" s="8" t="s">
        <v>147</v>
      </c>
      <c r="C60" s="63" t="s">
        <v>134</v>
      </c>
      <c r="D60" s="64"/>
      <c r="E60" s="64"/>
      <c r="F60" s="64"/>
      <c r="G60" s="65"/>
      <c r="H60" s="66"/>
      <c r="I60" s="8"/>
      <c r="J60" s="62">
        <f>61/304*(SUM(K56:K59))</f>
        <v>82.863128164046472</v>
      </c>
      <c r="K60" s="67">
        <f>J60</f>
        <v>82.863128164046472</v>
      </c>
    </row>
    <row r="61" spans="2:12" x14ac:dyDescent="0.25">
      <c r="B61" s="8" t="s">
        <v>148</v>
      </c>
      <c r="C61" s="622" t="s">
        <v>136</v>
      </c>
      <c r="D61" s="622"/>
      <c r="E61" s="622"/>
      <c r="F61" s="622"/>
      <c r="G61" s="622"/>
      <c r="H61" s="4">
        <v>40</v>
      </c>
      <c r="I61" s="8" t="s">
        <v>89</v>
      </c>
      <c r="J61" s="46"/>
      <c r="K61" s="67">
        <f>K54*40%</f>
        <v>832.92399999999998</v>
      </c>
    </row>
    <row r="62" spans="2:12" x14ac:dyDescent="0.25">
      <c r="B62" s="4"/>
      <c r="C62" s="661" t="s">
        <v>100</v>
      </c>
      <c r="D62" s="661"/>
      <c r="E62" s="661"/>
      <c r="F62" s="661"/>
      <c r="G62" s="661"/>
      <c r="H62" s="661"/>
      <c r="I62" s="661"/>
      <c r="J62" s="48"/>
      <c r="K62" s="210">
        <f>SUM(K54:K61)</f>
        <v>3411.0543570471632</v>
      </c>
    </row>
    <row r="63" spans="2:12" x14ac:dyDescent="0.25">
      <c r="B63" s="45" t="s">
        <v>101</v>
      </c>
      <c r="C63" s="602" t="s">
        <v>102</v>
      </c>
      <c r="D63" s="602"/>
      <c r="E63" s="602"/>
      <c r="F63" s="602"/>
      <c r="G63" s="602"/>
      <c r="H63" s="602"/>
      <c r="I63" s="602"/>
      <c r="J63" s="45" t="s">
        <v>89</v>
      </c>
      <c r="K63" s="45" t="s">
        <v>97</v>
      </c>
    </row>
    <row r="64" spans="2:12" x14ac:dyDescent="0.25">
      <c r="B64" s="4" t="s">
        <v>103</v>
      </c>
      <c r="C64" s="594" t="s">
        <v>104</v>
      </c>
      <c r="D64" s="594"/>
      <c r="E64" s="594"/>
      <c r="F64" s="594"/>
      <c r="G64" s="594"/>
      <c r="H64" s="594"/>
      <c r="I64" s="594"/>
      <c r="J64" s="334">
        <f>'7 - ENCARGOS SOCIAIS'!$D$13</f>
        <v>0.36800000000000005</v>
      </c>
      <c r="K64" s="32">
        <f>J64*$K$62</f>
        <v>1255.2680033933561</v>
      </c>
    </row>
    <row r="65" spans="2:11" x14ac:dyDescent="0.25">
      <c r="B65" s="4" t="s">
        <v>105</v>
      </c>
      <c r="C65" s="594" t="s">
        <v>106</v>
      </c>
      <c r="D65" s="594"/>
      <c r="E65" s="594"/>
      <c r="F65" s="594"/>
      <c r="G65" s="594"/>
      <c r="H65" s="594"/>
      <c r="I65" s="594"/>
      <c r="J65" s="334">
        <f>'7 - ENCARGOS SOCIAIS'!$D$21</f>
        <v>0.15387245147090212</v>
      </c>
      <c r="K65" s="32">
        <f>J65*$K$62</f>
        <v>524.86729601934883</v>
      </c>
    </row>
    <row r="66" spans="2:11" x14ac:dyDescent="0.25">
      <c r="B66" s="4" t="s">
        <v>107</v>
      </c>
      <c r="C66" s="594" t="s">
        <v>108</v>
      </c>
      <c r="D66" s="594"/>
      <c r="E66" s="594"/>
      <c r="F66" s="594"/>
      <c r="G66" s="594"/>
      <c r="H66" s="594"/>
      <c r="I66" s="594"/>
      <c r="J66" s="334">
        <f>'7 - ENCARGOS SOCIAIS'!$D$28</f>
        <v>0.12666581537651095</v>
      </c>
      <c r="K66" s="32">
        <f>J66*$K$62</f>
        <v>432.06398142897922</v>
      </c>
    </row>
    <row r="67" spans="2:11" x14ac:dyDescent="0.25">
      <c r="B67" s="4" t="s">
        <v>109</v>
      </c>
      <c r="C67" s="594" t="s">
        <v>110</v>
      </c>
      <c r="D67" s="594"/>
      <c r="E67" s="594"/>
      <c r="F67" s="594"/>
      <c r="G67" s="594"/>
      <c r="H67" s="594"/>
      <c r="I67" s="594"/>
      <c r="J67" s="334">
        <f>'7 - ENCARGOS SOCIAIS'!$D$32</f>
        <v>5.9231502118822603E-2</v>
      </c>
      <c r="K67" s="32">
        <f>J67*$K$62</f>
        <v>202.04187337685812</v>
      </c>
    </row>
    <row r="68" spans="2:11" x14ac:dyDescent="0.25">
      <c r="B68" s="25"/>
      <c r="C68" s="614" t="s">
        <v>111</v>
      </c>
      <c r="D68" s="614"/>
      <c r="E68" s="614"/>
      <c r="F68" s="614"/>
      <c r="G68" s="614"/>
      <c r="H68" s="614"/>
      <c r="I68" s="614"/>
      <c r="J68" s="51">
        <f>SUM(J64:J67)</f>
        <v>0.70776976896623567</v>
      </c>
      <c r="K68" s="211">
        <f>SUM(K64:K67)</f>
        <v>2414.2411542185428</v>
      </c>
    </row>
    <row r="69" spans="2:11" ht="24.75" customHeight="1" x14ac:dyDescent="0.25">
      <c r="B69" s="45" t="s">
        <v>112</v>
      </c>
      <c r="C69" s="667" t="s">
        <v>113</v>
      </c>
      <c r="D69" s="667"/>
      <c r="E69" s="667"/>
      <c r="F69" s="667"/>
      <c r="G69" s="667"/>
      <c r="H69" s="53" t="s">
        <v>114</v>
      </c>
      <c r="I69" s="45" t="s">
        <v>115</v>
      </c>
      <c r="J69" s="45" t="s">
        <v>116</v>
      </c>
      <c r="K69" s="45" t="s">
        <v>97</v>
      </c>
    </row>
    <row r="70" spans="2:11" ht="15" customHeight="1" x14ac:dyDescent="0.25">
      <c r="B70" s="8" t="s">
        <v>117</v>
      </c>
      <c r="C70" s="670" t="s">
        <v>118</v>
      </c>
      <c r="D70" s="670"/>
      <c r="E70" s="670"/>
      <c r="F70" s="670"/>
      <c r="G70" s="670"/>
      <c r="H70" s="8">
        <v>26</v>
      </c>
      <c r="I70" s="54">
        <v>27.15</v>
      </c>
      <c r="J70" s="69">
        <v>0.19</v>
      </c>
      <c r="K70" s="133">
        <f>(H70*I70)-((H70*I70)*J70)</f>
        <v>571.779</v>
      </c>
    </row>
    <row r="71" spans="2:11" ht="15" customHeight="1" x14ac:dyDescent="0.25">
      <c r="B71" s="8" t="s">
        <v>119</v>
      </c>
      <c r="C71" s="622" t="s">
        <v>151</v>
      </c>
      <c r="D71" s="622"/>
      <c r="E71" s="622"/>
      <c r="F71" s="622"/>
      <c r="G71" s="622"/>
      <c r="H71" s="8">
        <f>H70*4</f>
        <v>104</v>
      </c>
      <c r="I71" s="56">
        <v>6.25</v>
      </c>
      <c r="J71" s="69">
        <v>0.06</v>
      </c>
      <c r="K71" s="133">
        <f>(H71*I71)-(K54*J71)</f>
        <v>525.06140000000005</v>
      </c>
    </row>
    <row r="72" spans="2:11" x14ac:dyDescent="0.25">
      <c r="B72" s="8" t="s">
        <v>121</v>
      </c>
      <c r="C72" s="622" t="s">
        <v>122</v>
      </c>
      <c r="D72" s="622"/>
      <c r="E72" s="622"/>
      <c r="F72" s="622"/>
      <c r="G72" s="622"/>
      <c r="H72" s="4">
        <v>1</v>
      </c>
      <c r="I72" s="54">
        <v>25.52</v>
      </c>
      <c r="J72" s="5"/>
      <c r="K72" s="32">
        <f>I72</f>
        <v>25.52</v>
      </c>
    </row>
    <row r="73" spans="2:11" x14ac:dyDescent="0.25">
      <c r="B73" s="8" t="s">
        <v>152</v>
      </c>
      <c r="C73" s="671" t="s">
        <v>153</v>
      </c>
      <c r="D73" s="671"/>
      <c r="E73" s="671"/>
      <c r="F73" s="671"/>
      <c r="G73" s="671"/>
      <c r="H73" s="4">
        <v>1</v>
      </c>
      <c r="I73" s="54">
        <v>80</v>
      </c>
      <c r="J73" s="5"/>
      <c r="K73" s="32">
        <f>I73</f>
        <v>80</v>
      </c>
    </row>
    <row r="74" spans="2:11" x14ac:dyDescent="0.25">
      <c r="B74" s="5"/>
      <c r="C74" s="661" t="s">
        <v>123</v>
      </c>
      <c r="D74" s="661"/>
      <c r="E74" s="661"/>
      <c r="F74" s="661"/>
      <c r="G74" s="661"/>
      <c r="H74" s="661"/>
      <c r="I74" s="661"/>
      <c r="J74" s="48"/>
      <c r="K74" s="206">
        <f>SUM(K70:K73)</f>
        <v>1202.3604</v>
      </c>
    </row>
    <row r="75" spans="2:11" x14ac:dyDescent="0.25">
      <c r="B75" s="665" t="s">
        <v>351</v>
      </c>
      <c r="C75" s="665"/>
      <c r="D75" s="665"/>
      <c r="E75" s="665"/>
      <c r="F75" s="665"/>
      <c r="G75" s="665"/>
      <c r="H75" s="665"/>
      <c r="I75" s="665"/>
      <c r="J75" s="665"/>
      <c r="K75" s="212">
        <f>K74+K68+K62</f>
        <v>7027.655911265706</v>
      </c>
    </row>
    <row r="76" spans="2:11" x14ac:dyDescent="0.25">
      <c r="B76" s="666" t="s">
        <v>125</v>
      </c>
      <c r="C76" s="666"/>
      <c r="D76" s="666"/>
      <c r="E76" s="666"/>
      <c r="F76" s="666"/>
      <c r="G76" s="666"/>
      <c r="H76" s="666"/>
      <c r="I76" s="59">
        <f>H8</f>
        <v>11</v>
      </c>
      <c r="J76" s="59" t="s">
        <v>126</v>
      </c>
      <c r="K76" s="213">
        <f>K75*I76</f>
        <v>77304.215023922763</v>
      </c>
    </row>
    <row r="77" spans="2:11" x14ac:dyDescent="0.25"/>
    <row r="78" spans="2:11" x14ac:dyDescent="0.25">
      <c r="B78" s="663" t="s">
        <v>578</v>
      </c>
      <c r="C78" s="663"/>
      <c r="D78" s="663"/>
      <c r="E78" s="663"/>
      <c r="F78" s="663"/>
      <c r="G78" s="663"/>
      <c r="H78" s="663"/>
      <c r="I78" s="663"/>
      <c r="J78" s="663"/>
      <c r="K78" s="663"/>
    </row>
    <row r="79" spans="2:11" x14ac:dyDescent="0.25">
      <c r="B79" s="3" t="s">
        <v>95</v>
      </c>
      <c r="C79" s="602" t="s">
        <v>96</v>
      </c>
      <c r="D79" s="602"/>
      <c r="E79" s="602"/>
      <c r="F79" s="602"/>
      <c r="G79" s="602"/>
      <c r="H79" s="53" t="s">
        <v>128</v>
      </c>
      <c r="I79" s="61" t="s">
        <v>129</v>
      </c>
      <c r="J79" s="45" t="s">
        <v>115</v>
      </c>
      <c r="K79" s="45" t="s">
        <v>97</v>
      </c>
    </row>
    <row r="80" spans="2:11" x14ac:dyDescent="0.25">
      <c r="B80" s="4" t="s">
        <v>98</v>
      </c>
      <c r="C80" s="594" t="s">
        <v>99</v>
      </c>
      <c r="D80" s="594"/>
      <c r="E80" s="594"/>
      <c r="F80" s="594"/>
      <c r="G80" s="594"/>
      <c r="H80" s="4">
        <v>220</v>
      </c>
      <c r="I80" s="4" t="s">
        <v>130</v>
      </c>
      <c r="J80" s="54">
        <f>K80/H80</f>
        <v>11.441227272727273</v>
      </c>
      <c r="K80" s="67">
        <f>'6 - DADOS CC MO'!E22</f>
        <v>2517.0700000000002</v>
      </c>
    </row>
    <row r="81" spans="2:11" x14ac:dyDescent="0.25">
      <c r="B81" s="4" t="s">
        <v>131</v>
      </c>
      <c r="C81" s="244" t="s">
        <v>132</v>
      </c>
      <c r="D81" s="134"/>
      <c r="E81" s="134"/>
      <c r="F81" s="134"/>
      <c r="G81" s="245"/>
      <c r="H81" s="66">
        <f>7+1/3</f>
        <v>7.333333333333333</v>
      </c>
      <c r="I81" s="4" t="s">
        <v>130</v>
      </c>
      <c r="J81" s="54">
        <f>J80*2</f>
        <v>22.882454545454546</v>
      </c>
      <c r="K81" s="67">
        <f>H81*J81</f>
        <v>167.80466666666666</v>
      </c>
    </row>
    <row r="82" spans="2:11" x14ac:dyDescent="0.25">
      <c r="B82" s="4" t="s">
        <v>133</v>
      </c>
      <c r="C82" s="244" t="s">
        <v>134</v>
      </c>
      <c r="D82" s="134"/>
      <c r="E82" s="134"/>
      <c r="F82" s="134"/>
      <c r="G82" s="245"/>
      <c r="H82" s="66"/>
      <c r="I82" s="4"/>
      <c r="J82" s="54">
        <f>61/304*(SUM(K81))</f>
        <v>33.67133114035088</v>
      </c>
      <c r="K82" s="67">
        <f>J82</f>
        <v>33.67133114035088</v>
      </c>
    </row>
    <row r="83" spans="2:11" x14ac:dyDescent="0.25">
      <c r="B83" s="8" t="s">
        <v>135</v>
      </c>
      <c r="C83" s="622" t="s">
        <v>136</v>
      </c>
      <c r="D83" s="622"/>
      <c r="E83" s="622"/>
      <c r="F83" s="622"/>
      <c r="G83" s="622"/>
      <c r="H83" s="4">
        <v>40</v>
      </c>
      <c r="I83" s="8" t="s">
        <v>89</v>
      </c>
      <c r="J83" s="46"/>
      <c r="K83" s="67">
        <f>K80*40%</f>
        <v>1006.8280000000001</v>
      </c>
    </row>
    <row r="84" spans="2:11" x14ac:dyDescent="0.25">
      <c r="B84" s="4"/>
      <c r="C84" s="661" t="s">
        <v>100</v>
      </c>
      <c r="D84" s="661"/>
      <c r="E84" s="661"/>
      <c r="F84" s="661"/>
      <c r="G84" s="661"/>
      <c r="H84" s="661"/>
      <c r="I84" s="661"/>
      <c r="J84" s="48"/>
      <c r="K84" s="210">
        <f>SUM(K80:K83)</f>
        <v>3725.3739978070175</v>
      </c>
    </row>
    <row r="85" spans="2:11" x14ac:dyDescent="0.25">
      <c r="B85" s="45" t="s">
        <v>101</v>
      </c>
      <c r="C85" s="602" t="s">
        <v>102</v>
      </c>
      <c r="D85" s="602"/>
      <c r="E85" s="602"/>
      <c r="F85" s="602"/>
      <c r="G85" s="602"/>
      <c r="H85" s="602"/>
      <c r="I85" s="602"/>
      <c r="J85" s="45" t="s">
        <v>89</v>
      </c>
      <c r="K85" s="45" t="s">
        <v>97</v>
      </c>
    </row>
    <row r="86" spans="2:11" x14ac:dyDescent="0.25">
      <c r="B86" s="8" t="s">
        <v>103</v>
      </c>
      <c r="C86" s="622" t="s">
        <v>104</v>
      </c>
      <c r="D86" s="622"/>
      <c r="E86" s="622"/>
      <c r="F86" s="622"/>
      <c r="G86" s="622"/>
      <c r="H86" s="622"/>
      <c r="I86" s="622"/>
      <c r="J86" s="334">
        <f>'7 - ENCARGOS SOCIAIS'!$D$13</f>
        <v>0.36800000000000005</v>
      </c>
      <c r="K86" s="67">
        <f>J86*$K$84</f>
        <v>1370.9376311929827</v>
      </c>
    </row>
    <row r="87" spans="2:11" x14ac:dyDescent="0.25">
      <c r="B87" s="8" t="s">
        <v>105</v>
      </c>
      <c r="C87" s="622" t="s">
        <v>106</v>
      </c>
      <c r="D87" s="622"/>
      <c r="E87" s="622"/>
      <c r="F87" s="622"/>
      <c r="G87" s="622"/>
      <c r="H87" s="622"/>
      <c r="I87" s="622"/>
      <c r="J87" s="334">
        <f>'7 - ENCARGOS SOCIAIS'!$D$21</f>
        <v>0.15387245147090212</v>
      </c>
      <c r="K87" s="67">
        <f>J87*$K$84</f>
        <v>573.23242968852094</v>
      </c>
    </row>
    <row r="88" spans="2:11" ht="15" customHeight="1" x14ac:dyDescent="0.25">
      <c r="B88" s="8" t="s">
        <v>107</v>
      </c>
      <c r="C88" s="622" t="s">
        <v>108</v>
      </c>
      <c r="D88" s="622"/>
      <c r="E88" s="622"/>
      <c r="F88" s="622"/>
      <c r="G88" s="622"/>
      <c r="H88" s="622"/>
      <c r="I88" s="622"/>
      <c r="J88" s="334">
        <f>'7 - ENCARGOS SOCIAIS'!$D$28</f>
        <v>0.12666581537651095</v>
      </c>
      <c r="K88" s="67">
        <f>J88*$K$84</f>
        <v>471.87753501467819</v>
      </c>
    </row>
    <row r="89" spans="2:11" x14ac:dyDescent="0.25">
      <c r="B89" s="8" t="s">
        <v>109</v>
      </c>
      <c r="C89" s="622" t="s">
        <v>110</v>
      </c>
      <c r="D89" s="622"/>
      <c r="E89" s="622"/>
      <c r="F89" s="622"/>
      <c r="G89" s="622"/>
      <c r="H89" s="622"/>
      <c r="I89" s="622"/>
      <c r="J89" s="334">
        <f>'7 - ENCARGOS SOCIAIS'!$D$32</f>
        <v>5.9231502118822603E-2</v>
      </c>
      <c r="K89" s="67">
        <f>J89*$K$84</f>
        <v>220.659497844513</v>
      </c>
    </row>
    <row r="90" spans="2:11" x14ac:dyDescent="0.25">
      <c r="B90" s="25"/>
      <c r="C90" s="614" t="s">
        <v>111</v>
      </c>
      <c r="D90" s="614"/>
      <c r="E90" s="614"/>
      <c r="F90" s="614"/>
      <c r="G90" s="614"/>
      <c r="H90" s="614"/>
      <c r="I90" s="614"/>
      <c r="J90" s="51">
        <f>SUM(J86:J89)</f>
        <v>0.70776976896623567</v>
      </c>
      <c r="K90" s="211">
        <f>SUM(K86:K89)</f>
        <v>2636.7070937406943</v>
      </c>
    </row>
    <row r="91" spans="2:11" ht="28.9" customHeight="1" x14ac:dyDescent="0.25">
      <c r="B91" s="45" t="s">
        <v>112</v>
      </c>
      <c r="C91" s="667" t="s">
        <v>113</v>
      </c>
      <c r="D91" s="667"/>
      <c r="E91" s="667"/>
      <c r="F91" s="667"/>
      <c r="G91" s="667"/>
      <c r="H91" s="53" t="s">
        <v>114</v>
      </c>
      <c r="I91" s="45" t="s">
        <v>115</v>
      </c>
      <c r="J91" s="45" t="s">
        <v>116</v>
      </c>
      <c r="K91" s="45" t="s">
        <v>97</v>
      </c>
    </row>
    <row r="92" spans="2:11" x14ac:dyDescent="0.25">
      <c r="B92" s="8" t="s">
        <v>117</v>
      </c>
      <c r="C92" s="622" t="s">
        <v>156</v>
      </c>
      <c r="D92" s="622"/>
      <c r="E92" s="622"/>
      <c r="F92" s="622"/>
      <c r="G92" s="622"/>
      <c r="H92" s="8">
        <v>26</v>
      </c>
      <c r="I92" s="54">
        <v>27.15</v>
      </c>
      <c r="J92" s="69">
        <v>0.19</v>
      </c>
      <c r="K92" s="133">
        <f>(H92*I92)-((H92*I92)*J92)</f>
        <v>571.779</v>
      </c>
    </row>
    <row r="93" spans="2:11" x14ac:dyDescent="0.25">
      <c r="B93" s="8" t="s">
        <v>119</v>
      </c>
      <c r="C93" s="622" t="s">
        <v>120</v>
      </c>
      <c r="D93" s="622"/>
      <c r="E93" s="622"/>
      <c r="F93" s="622"/>
      <c r="G93" s="622"/>
      <c r="H93" s="8">
        <f>H92*4</f>
        <v>104</v>
      </c>
      <c r="I93" s="56">
        <v>6.25</v>
      </c>
      <c r="J93" s="69">
        <v>0.06</v>
      </c>
      <c r="K93" s="133">
        <f>(H93*I93)-(K80*J93)</f>
        <v>498.97579999999999</v>
      </c>
    </row>
    <row r="94" spans="2:11" x14ac:dyDescent="0.25">
      <c r="B94" s="8" t="s">
        <v>121</v>
      </c>
      <c r="C94" s="622" t="s">
        <v>353</v>
      </c>
      <c r="D94" s="622"/>
      <c r="E94" s="622"/>
      <c r="F94" s="622"/>
      <c r="G94" s="622"/>
      <c r="H94" s="8">
        <v>1</v>
      </c>
      <c r="I94" s="56">
        <v>121.34</v>
      </c>
      <c r="J94" s="69"/>
      <c r="K94" s="133">
        <f>I94</f>
        <v>121.34</v>
      </c>
    </row>
    <row r="95" spans="2:11" x14ac:dyDescent="0.25">
      <c r="B95" s="5"/>
      <c r="C95" s="661" t="s">
        <v>123</v>
      </c>
      <c r="D95" s="661"/>
      <c r="E95" s="661"/>
      <c r="F95" s="661"/>
      <c r="G95" s="661"/>
      <c r="H95" s="661"/>
      <c r="I95" s="661"/>
      <c r="J95" s="48"/>
      <c r="K95" s="206">
        <f>SUM(K92:K94)</f>
        <v>1192.0947999999999</v>
      </c>
    </row>
    <row r="96" spans="2:11" x14ac:dyDescent="0.25">
      <c r="B96" s="665" t="s">
        <v>354</v>
      </c>
      <c r="C96" s="665"/>
      <c r="D96" s="665"/>
      <c r="E96" s="665"/>
      <c r="F96" s="665"/>
      <c r="G96" s="665"/>
      <c r="H96" s="665"/>
      <c r="I96" s="665"/>
      <c r="J96" s="665"/>
      <c r="K96" s="212">
        <f>K95+K90+K84</f>
        <v>7554.1758915477112</v>
      </c>
    </row>
    <row r="97" spans="2:11" x14ac:dyDescent="0.25">
      <c r="B97" s="666" t="s">
        <v>125</v>
      </c>
      <c r="C97" s="666"/>
      <c r="D97" s="666"/>
      <c r="E97" s="666"/>
      <c r="F97" s="666"/>
      <c r="G97" s="666"/>
      <c r="H97" s="666"/>
      <c r="I97" s="59">
        <f>H9</f>
        <v>7</v>
      </c>
      <c r="J97" s="59" t="s">
        <v>126</v>
      </c>
      <c r="K97" s="213">
        <f>K96*I97</f>
        <v>52879.231240833979</v>
      </c>
    </row>
    <row r="98" spans="2:11" x14ac:dyDescent="0.25"/>
    <row r="99" spans="2:11" x14ac:dyDescent="0.25">
      <c r="B99" s="663" t="s">
        <v>579</v>
      </c>
      <c r="C99" s="663"/>
      <c r="D99" s="663"/>
      <c r="E99" s="663"/>
      <c r="F99" s="663"/>
      <c r="G99" s="663"/>
      <c r="H99" s="663"/>
      <c r="I99" s="663"/>
      <c r="J99" s="663"/>
      <c r="K99" s="663"/>
    </row>
    <row r="100" spans="2:11" x14ac:dyDescent="0.25">
      <c r="B100" s="3" t="s">
        <v>95</v>
      </c>
      <c r="C100" s="602" t="s">
        <v>96</v>
      </c>
      <c r="D100" s="602"/>
      <c r="E100" s="602"/>
      <c r="F100" s="602"/>
      <c r="G100" s="602"/>
      <c r="H100" s="53" t="s">
        <v>128</v>
      </c>
      <c r="I100" s="61" t="s">
        <v>129</v>
      </c>
      <c r="J100" s="45" t="s">
        <v>115</v>
      </c>
      <c r="K100" s="45" t="s">
        <v>97</v>
      </c>
    </row>
    <row r="101" spans="2:11" x14ac:dyDescent="0.25">
      <c r="B101" s="8" t="s">
        <v>98</v>
      </c>
      <c r="C101" s="622" t="s">
        <v>99</v>
      </c>
      <c r="D101" s="622"/>
      <c r="E101" s="622"/>
      <c r="F101" s="622"/>
      <c r="G101" s="622"/>
      <c r="H101" s="4">
        <v>220</v>
      </c>
      <c r="I101" s="8" t="s">
        <v>130</v>
      </c>
      <c r="J101" s="62">
        <f>K101/H101</f>
        <v>11.441227272727273</v>
      </c>
      <c r="K101" s="67">
        <f>'6 - DADOS CC MO'!E22</f>
        <v>2517.0700000000002</v>
      </c>
    </row>
    <row r="102" spans="2:11" x14ac:dyDescent="0.25">
      <c r="B102" s="668" t="s">
        <v>135</v>
      </c>
      <c r="C102" s="615" t="s">
        <v>139</v>
      </c>
      <c r="D102" s="615"/>
      <c r="E102" s="615"/>
      <c r="F102" s="615"/>
      <c r="G102" s="615"/>
      <c r="H102" s="66">
        <v>112.67</v>
      </c>
      <c r="I102" s="8" t="s">
        <v>140</v>
      </c>
      <c r="J102" s="62"/>
      <c r="K102" s="67"/>
    </row>
    <row r="103" spans="2:11" x14ac:dyDescent="0.25">
      <c r="B103" s="668"/>
      <c r="C103" s="615"/>
      <c r="D103" s="615"/>
      <c r="E103" s="615"/>
      <c r="F103" s="615"/>
      <c r="G103" s="615"/>
      <c r="H103" s="66">
        <f>H102*8/7</f>
        <v>128.7657142857143</v>
      </c>
      <c r="I103" s="8" t="s">
        <v>141</v>
      </c>
      <c r="J103" s="62">
        <f>J101*0.4</f>
        <v>4.5764909090909098</v>
      </c>
      <c r="K103" s="67">
        <f>H103*J103</f>
        <v>589.29512083116902</v>
      </c>
    </row>
    <row r="104" spans="2:11" x14ac:dyDescent="0.25">
      <c r="B104" s="8" t="s">
        <v>142</v>
      </c>
      <c r="C104" s="63" t="s">
        <v>132</v>
      </c>
      <c r="D104" s="64"/>
      <c r="E104" s="64"/>
      <c r="F104" s="64"/>
      <c r="G104" s="65"/>
      <c r="H104" s="335">
        <v>3</v>
      </c>
      <c r="I104" s="8" t="s">
        <v>130</v>
      </c>
      <c r="J104" s="62">
        <f>J101*2</f>
        <v>22.882454545454546</v>
      </c>
      <c r="K104" s="67">
        <f>H104*J104</f>
        <v>68.647363636363636</v>
      </c>
    </row>
    <row r="105" spans="2:11" x14ac:dyDescent="0.25">
      <c r="B105" s="8" t="s">
        <v>143</v>
      </c>
      <c r="C105" s="63" t="s">
        <v>144</v>
      </c>
      <c r="D105" s="64"/>
      <c r="E105" s="64"/>
      <c r="F105" s="64"/>
      <c r="G105" s="65"/>
      <c r="H105" s="66">
        <v>4.33</v>
      </c>
      <c r="I105" s="8" t="s">
        <v>130</v>
      </c>
      <c r="J105" s="62"/>
      <c r="K105" s="67"/>
    </row>
    <row r="106" spans="2:11" x14ac:dyDescent="0.25">
      <c r="B106" s="8" t="s">
        <v>145</v>
      </c>
      <c r="C106" s="63" t="s">
        <v>146</v>
      </c>
      <c r="D106" s="64"/>
      <c r="E106" s="64"/>
      <c r="F106" s="64"/>
      <c r="G106" s="65"/>
      <c r="H106" s="66">
        <f>H105*8/7</f>
        <v>4.9485714285714284</v>
      </c>
      <c r="I106" s="8" t="s">
        <v>130</v>
      </c>
      <c r="J106" s="62">
        <f>J101*2*1.4</f>
        <v>32.035436363636364</v>
      </c>
      <c r="K106" s="67">
        <f>H106*J106</f>
        <v>158.5296450909091</v>
      </c>
    </row>
    <row r="107" spans="2:11" x14ac:dyDescent="0.25">
      <c r="B107" s="8" t="s">
        <v>147</v>
      </c>
      <c r="C107" s="669" t="s">
        <v>159</v>
      </c>
      <c r="D107" s="669"/>
      <c r="E107" s="669"/>
      <c r="F107" s="669"/>
      <c r="G107" s="669"/>
      <c r="H107" s="81"/>
      <c r="I107" s="8"/>
      <c r="J107" s="215">
        <f>61/304*(SUM(K102:K106))</f>
        <v>163.83157862850311</v>
      </c>
      <c r="K107" s="67">
        <f>J107</f>
        <v>163.83157862850311</v>
      </c>
    </row>
    <row r="108" spans="2:11" ht="15" customHeight="1" x14ac:dyDescent="0.25">
      <c r="B108" s="8" t="s">
        <v>148</v>
      </c>
      <c r="C108" s="622" t="s">
        <v>136</v>
      </c>
      <c r="D108" s="622"/>
      <c r="E108" s="622"/>
      <c r="F108" s="622"/>
      <c r="G108" s="622"/>
      <c r="H108" s="4">
        <v>40</v>
      </c>
      <c r="I108" s="8" t="s">
        <v>89</v>
      </c>
      <c r="J108" s="46"/>
      <c r="K108" s="67">
        <f>K101*40%</f>
        <v>1006.8280000000001</v>
      </c>
    </row>
    <row r="109" spans="2:11" ht="15" customHeight="1" x14ac:dyDescent="0.25">
      <c r="B109" s="4"/>
      <c r="C109" s="661" t="s">
        <v>100</v>
      </c>
      <c r="D109" s="661"/>
      <c r="E109" s="661"/>
      <c r="F109" s="661"/>
      <c r="G109" s="661"/>
      <c r="H109" s="661"/>
      <c r="I109" s="661"/>
      <c r="J109" s="48"/>
      <c r="K109" s="210">
        <f>SUM(K101:K108)</f>
        <v>4504.2017081869453</v>
      </c>
    </row>
    <row r="110" spans="2:11" ht="15" customHeight="1" x14ac:dyDescent="0.25">
      <c r="B110" s="45" t="s">
        <v>101</v>
      </c>
      <c r="C110" s="602" t="s">
        <v>102</v>
      </c>
      <c r="D110" s="602"/>
      <c r="E110" s="602"/>
      <c r="F110" s="602"/>
      <c r="G110" s="602"/>
      <c r="H110" s="602"/>
      <c r="I110" s="602"/>
      <c r="J110" s="45" t="s">
        <v>89</v>
      </c>
      <c r="K110" s="45" t="s">
        <v>97</v>
      </c>
    </row>
    <row r="111" spans="2:11" ht="15" customHeight="1" x14ac:dyDescent="0.25">
      <c r="B111" s="4" t="s">
        <v>103</v>
      </c>
      <c r="C111" s="594" t="s">
        <v>104</v>
      </c>
      <c r="D111" s="594"/>
      <c r="E111" s="594"/>
      <c r="F111" s="594"/>
      <c r="G111" s="594"/>
      <c r="H111" s="594"/>
      <c r="I111" s="594"/>
      <c r="J111" s="334">
        <f>'7 - ENCARGOS SOCIAIS'!$D$13</f>
        <v>0.36800000000000005</v>
      </c>
      <c r="K111" s="32">
        <f>K109*J111</f>
        <v>1657.5462286127961</v>
      </c>
    </row>
    <row r="112" spans="2:11" x14ac:dyDescent="0.25">
      <c r="B112" s="4" t="s">
        <v>105</v>
      </c>
      <c r="C112" s="594" t="s">
        <v>106</v>
      </c>
      <c r="D112" s="594"/>
      <c r="E112" s="594"/>
      <c r="F112" s="594"/>
      <c r="G112" s="594"/>
      <c r="H112" s="594"/>
      <c r="I112" s="594"/>
      <c r="J112" s="334">
        <f>'7 - ENCARGOS SOCIAIS'!$D$21</f>
        <v>0.15387245147090212</v>
      </c>
      <c r="K112" s="32">
        <f>K109*J112</f>
        <v>693.07255875815019</v>
      </c>
    </row>
    <row r="113" spans="2:23" ht="15" customHeight="1" x14ac:dyDescent="0.25">
      <c r="B113" s="4" t="s">
        <v>107</v>
      </c>
      <c r="C113" s="594" t="s">
        <v>108</v>
      </c>
      <c r="D113" s="594"/>
      <c r="E113" s="594"/>
      <c r="F113" s="594"/>
      <c r="G113" s="594"/>
      <c r="H113" s="594"/>
      <c r="I113" s="594"/>
      <c r="J113" s="334">
        <f>'7 - ENCARGOS SOCIAIS'!$D$28</f>
        <v>0.12666581537651095</v>
      </c>
      <c r="K113" s="32">
        <f>K109*J113</f>
        <v>570.52838198777283</v>
      </c>
    </row>
    <row r="114" spans="2:23" x14ac:dyDescent="0.25">
      <c r="B114" s="4" t="s">
        <v>109</v>
      </c>
      <c r="C114" s="594" t="s">
        <v>110</v>
      </c>
      <c r="D114" s="594"/>
      <c r="E114" s="594"/>
      <c r="F114" s="594"/>
      <c r="G114" s="594"/>
      <c r="H114" s="594"/>
      <c r="I114" s="594"/>
      <c r="J114" s="334">
        <f>'7 - ENCARGOS SOCIAIS'!$D$32</f>
        <v>5.9231502118822603E-2</v>
      </c>
      <c r="K114" s="32">
        <f>K109*J114</f>
        <v>266.79063302207942</v>
      </c>
    </row>
    <row r="115" spans="2:23" x14ac:dyDescent="0.25">
      <c r="B115" s="48"/>
      <c r="C115" s="661" t="s">
        <v>111</v>
      </c>
      <c r="D115" s="661"/>
      <c r="E115" s="661"/>
      <c r="F115" s="661"/>
      <c r="G115" s="661"/>
      <c r="H115" s="661"/>
      <c r="I115" s="661"/>
      <c r="J115" s="336">
        <f>SUM(J111:J114)</f>
        <v>0.70776976896623567</v>
      </c>
      <c r="K115" s="210">
        <f>SUM(K111:K114)</f>
        <v>3187.9378023807985</v>
      </c>
    </row>
    <row r="116" spans="2:23" ht="31.9" customHeight="1" x14ac:dyDescent="0.25">
      <c r="B116" s="45" t="s">
        <v>112</v>
      </c>
      <c r="C116" s="667" t="s">
        <v>113</v>
      </c>
      <c r="D116" s="667"/>
      <c r="E116" s="667"/>
      <c r="F116" s="667"/>
      <c r="G116" s="667"/>
      <c r="H116" s="53" t="s">
        <v>114</v>
      </c>
      <c r="I116" s="45" t="s">
        <v>115</v>
      </c>
      <c r="J116" s="45" t="s">
        <v>116</v>
      </c>
      <c r="K116" s="45" t="s">
        <v>97</v>
      </c>
      <c r="T116" s="12"/>
      <c r="U116" s="12"/>
      <c r="V116" s="12"/>
      <c r="W116" s="12"/>
    </row>
    <row r="117" spans="2:23" x14ac:dyDescent="0.25">
      <c r="B117" s="8" t="s">
        <v>117</v>
      </c>
      <c r="C117" s="622" t="s">
        <v>156</v>
      </c>
      <c r="D117" s="622"/>
      <c r="E117" s="622"/>
      <c r="F117" s="622"/>
      <c r="G117" s="622"/>
      <c r="H117" s="8">
        <v>26</v>
      </c>
      <c r="I117" s="54">
        <v>27.15</v>
      </c>
      <c r="J117" s="69">
        <v>0.19</v>
      </c>
      <c r="K117" s="133">
        <f>(H117*I117)-((H117*I117)*J117)</f>
        <v>571.779</v>
      </c>
      <c r="T117" s="12"/>
      <c r="U117" s="12"/>
      <c r="V117" s="12"/>
      <c r="W117" s="12"/>
    </row>
    <row r="118" spans="2:23" x14ac:dyDescent="0.25">
      <c r="B118" s="8" t="s">
        <v>119</v>
      </c>
      <c r="C118" s="622" t="s">
        <v>120</v>
      </c>
      <c r="D118" s="622"/>
      <c r="E118" s="622"/>
      <c r="F118" s="622"/>
      <c r="G118" s="622"/>
      <c r="H118" s="8">
        <f>H117*4</f>
        <v>104</v>
      </c>
      <c r="I118" s="56">
        <v>6.25</v>
      </c>
      <c r="J118" s="69">
        <v>0.06</v>
      </c>
      <c r="K118" s="133">
        <f>(H118*I118)-(K101*J118)</f>
        <v>498.97579999999999</v>
      </c>
      <c r="T118" s="12"/>
      <c r="U118" s="12"/>
      <c r="V118" s="12"/>
      <c r="W118" s="12"/>
    </row>
    <row r="119" spans="2:23" x14ac:dyDescent="0.25">
      <c r="B119" s="8" t="s">
        <v>121</v>
      </c>
      <c r="C119" s="622" t="s">
        <v>353</v>
      </c>
      <c r="D119" s="622"/>
      <c r="E119" s="622"/>
      <c r="F119" s="622"/>
      <c r="G119" s="622"/>
      <c r="H119" s="8">
        <v>1</v>
      </c>
      <c r="I119" s="56">
        <v>121.34</v>
      </c>
      <c r="J119" s="69"/>
      <c r="K119" s="133">
        <f>(H119*I119)-(K104*J119)</f>
        <v>121.34</v>
      </c>
      <c r="T119" s="12"/>
      <c r="U119" s="12"/>
      <c r="V119" s="12"/>
      <c r="W119" s="12"/>
    </row>
    <row r="120" spans="2:23" x14ac:dyDescent="0.25">
      <c r="B120" s="5"/>
      <c r="C120" s="661" t="s">
        <v>123</v>
      </c>
      <c r="D120" s="661"/>
      <c r="E120" s="661"/>
      <c r="F120" s="661"/>
      <c r="G120" s="661"/>
      <c r="H120" s="661"/>
      <c r="I120" s="661"/>
      <c r="J120" s="48"/>
      <c r="K120" s="206">
        <f>SUM(K117:K119)</f>
        <v>1192.0947999999999</v>
      </c>
      <c r="T120" s="12"/>
      <c r="U120" s="12"/>
      <c r="V120" s="12"/>
      <c r="W120" s="12"/>
    </row>
    <row r="121" spans="2:23" x14ac:dyDescent="0.25">
      <c r="B121" s="665" t="s">
        <v>357</v>
      </c>
      <c r="C121" s="665"/>
      <c r="D121" s="665"/>
      <c r="E121" s="665"/>
      <c r="F121" s="665"/>
      <c r="G121" s="665"/>
      <c r="H121" s="665"/>
      <c r="I121" s="665"/>
      <c r="J121" s="665"/>
      <c r="K121" s="212">
        <f>K120+K115+K109</f>
        <v>8884.2343105677428</v>
      </c>
      <c r="T121" s="12"/>
      <c r="U121" s="12"/>
      <c r="V121" s="12"/>
      <c r="W121" s="12"/>
    </row>
    <row r="122" spans="2:23" x14ac:dyDescent="0.25">
      <c r="B122" s="666" t="s">
        <v>125</v>
      </c>
      <c r="C122" s="666"/>
      <c r="D122" s="666"/>
      <c r="E122" s="666"/>
      <c r="F122" s="666"/>
      <c r="G122" s="666"/>
      <c r="H122" s="666"/>
      <c r="I122" s="59">
        <f>H10</f>
        <v>7</v>
      </c>
      <c r="J122" s="59" t="s">
        <v>126</v>
      </c>
      <c r="K122" s="213">
        <f>K121*I122</f>
        <v>62189.6401739742</v>
      </c>
      <c r="T122" s="12"/>
      <c r="U122" s="12"/>
      <c r="V122" s="12"/>
      <c r="W122" s="12"/>
    </row>
    <row r="123" spans="2:23" x14ac:dyDescent="0.25">
      <c r="T123" s="12"/>
      <c r="U123" s="12"/>
      <c r="V123" s="12"/>
      <c r="W123" s="12"/>
    </row>
    <row r="124" spans="2:23" ht="15" customHeight="1" x14ac:dyDescent="0.25">
      <c r="B124" s="597" t="s">
        <v>580</v>
      </c>
      <c r="C124" s="597"/>
      <c r="D124" s="597"/>
      <c r="E124" s="597"/>
      <c r="F124" s="597"/>
      <c r="G124" s="597"/>
      <c r="H124" s="597"/>
      <c r="I124" s="597"/>
      <c r="J124" s="597"/>
      <c r="K124" s="111">
        <f>K50+K76+K97+K122</f>
        <v>263494.17328472884</v>
      </c>
      <c r="L124" s="541"/>
      <c r="T124" s="12"/>
      <c r="U124" s="12"/>
      <c r="V124" s="12"/>
      <c r="W124" s="12"/>
    </row>
    <row r="125" spans="2:23" x14ac:dyDescent="0.25">
      <c r="T125" s="12"/>
      <c r="U125" s="12"/>
      <c r="V125" s="12"/>
      <c r="W125" s="12"/>
    </row>
    <row r="126" spans="2:23" x14ac:dyDescent="0.25"/>
    <row r="127" spans="2:23" x14ac:dyDescent="0.25">
      <c r="B127" s="601" t="s">
        <v>581</v>
      </c>
      <c r="C127" s="601"/>
      <c r="D127" s="601"/>
      <c r="E127" s="601"/>
      <c r="F127" s="601"/>
      <c r="G127" s="601"/>
      <c r="H127" s="601"/>
      <c r="I127" s="601"/>
      <c r="J127" s="601"/>
      <c r="K127" s="601"/>
    </row>
    <row r="129" spans="2:12" x14ac:dyDescent="0.25">
      <c r="B129" s="663" t="s">
        <v>582</v>
      </c>
      <c r="C129" s="663"/>
      <c r="D129" s="663"/>
      <c r="E129" s="663"/>
      <c r="F129" s="663"/>
      <c r="G129" s="663"/>
      <c r="H129" s="663"/>
      <c r="I129" s="663"/>
      <c r="J129" s="663"/>
      <c r="K129" s="663"/>
      <c r="L129" s="541"/>
    </row>
    <row r="130" spans="2:12" ht="29.45" customHeight="1" x14ac:dyDescent="0.25">
      <c r="B130" s="614" t="s">
        <v>174</v>
      </c>
      <c r="C130" s="614"/>
      <c r="D130" s="614"/>
      <c r="E130" s="614"/>
      <c r="F130" s="614"/>
      <c r="G130" s="26" t="s">
        <v>1678</v>
      </c>
      <c r="H130" s="26" t="s">
        <v>176</v>
      </c>
      <c r="I130" s="664" t="s">
        <v>177</v>
      </c>
      <c r="J130" s="664"/>
      <c r="K130" s="25" t="s">
        <v>178</v>
      </c>
      <c r="L130" s="541"/>
    </row>
    <row r="131" spans="2:12" x14ac:dyDescent="0.25">
      <c r="B131" s="594" t="s">
        <v>362</v>
      </c>
      <c r="C131" s="594"/>
      <c r="D131" s="594"/>
      <c r="E131" s="594"/>
      <c r="F131" s="594"/>
      <c r="G131" s="4">
        <v>2</v>
      </c>
      <c r="H131" s="133">
        <f>'10 - CUSTOS UN'!$J$39</f>
        <v>42.74</v>
      </c>
      <c r="I131" s="645">
        <f t="shared" ref="I131:I142" si="0">H131/6</f>
        <v>7.123333333333334</v>
      </c>
      <c r="J131" s="645"/>
      <c r="K131" s="133">
        <f t="shared" ref="K131:K142" si="1">I131*G131</f>
        <v>14.246666666666668</v>
      </c>
    </row>
    <row r="132" spans="2:12" x14ac:dyDescent="0.25">
      <c r="B132" s="594" t="s">
        <v>363</v>
      </c>
      <c r="C132" s="594"/>
      <c r="D132" s="594"/>
      <c r="E132" s="594"/>
      <c r="F132" s="594"/>
      <c r="G132" s="4">
        <v>2</v>
      </c>
      <c r="H132" s="133">
        <f>'10 - CUSTOS UN'!J$33</f>
        <v>44.47</v>
      </c>
      <c r="I132" s="645">
        <f t="shared" si="0"/>
        <v>7.4116666666666662</v>
      </c>
      <c r="J132" s="645"/>
      <c r="K132" s="133">
        <f t="shared" si="1"/>
        <v>14.823333333333332</v>
      </c>
      <c r="L132" s="541"/>
    </row>
    <row r="133" spans="2:12" x14ac:dyDescent="0.25">
      <c r="B133" s="594" t="s">
        <v>364</v>
      </c>
      <c r="C133" s="594"/>
      <c r="D133" s="594"/>
      <c r="E133" s="594"/>
      <c r="F133" s="594"/>
      <c r="G133" s="4">
        <v>2</v>
      </c>
      <c r="H133" s="133">
        <f>'10 - CUSTOS UN'!J$24</f>
        <v>55.079999999999991</v>
      </c>
      <c r="I133" s="645">
        <f t="shared" si="0"/>
        <v>9.1799999999999979</v>
      </c>
      <c r="J133" s="645"/>
      <c r="K133" s="133">
        <f t="shared" si="1"/>
        <v>18.359999999999996</v>
      </c>
      <c r="L133" s="541"/>
    </row>
    <row r="134" spans="2:12" x14ac:dyDescent="0.25">
      <c r="B134" s="594" t="s">
        <v>365</v>
      </c>
      <c r="C134" s="594"/>
      <c r="D134" s="594"/>
      <c r="E134" s="594"/>
      <c r="F134" s="594"/>
      <c r="G134" s="4">
        <v>2</v>
      </c>
      <c r="H134" s="133">
        <f>'10 - CUSTOS UN'!J$15</f>
        <v>44.393333333333338</v>
      </c>
      <c r="I134" s="645">
        <f t="shared" si="0"/>
        <v>7.39888888888889</v>
      </c>
      <c r="J134" s="645"/>
      <c r="K134" s="133">
        <f t="shared" si="1"/>
        <v>14.79777777777778</v>
      </c>
      <c r="L134" s="541"/>
    </row>
    <row r="135" spans="2:12" x14ac:dyDescent="0.25">
      <c r="B135" s="594" t="s">
        <v>366</v>
      </c>
      <c r="C135" s="594"/>
      <c r="D135" s="594"/>
      <c r="E135" s="594"/>
      <c r="F135" s="594"/>
      <c r="G135" s="4">
        <v>6</v>
      </c>
      <c r="H135" s="133">
        <f>'10 - CUSTOS UN'!J$84</f>
        <v>17.73</v>
      </c>
      <c r="I135" s="645">
        <f t="shared" si="0"/>
        <v>2.9550000000000001</v>
      </c>
      <c r="J135" s="645"/>
      <c r="K135" s="133">
        <f t="shared" si="1"/>
        <v>17.73</v>
      </c>
      <c r="L135" s="541"/>
    </row>
    <row r="136" spans="2:12" x14ac:dyDescent="0.25">
      <c r="B136" s="594" t="s">
        <v>367</v>
      </c>
      <c r="C136" s="594"/>
      <c r="D136" s="594"/>
      <c r="E136" s="594"/>
      <c r="F136" s="594"/>
      <c r="G136" s="4">
        <v>2</v>
      </c>
      <c r="H136" s="133">
        <f>'10 - CUSTOS UN'!J$21</f>
        <v>9.2099999999999991</v>
      </c>
      <c r="I136" s="645">
        <f t="shared" si="0"/>
        <v>1.5349999999999999</v>
      </c>
      <c r="J136" s="645"/>
      <c r="K136" s="133">
        <f t="shared" si="1"/>
        <v>3.07</v>
      </c>
      <c r="L136" s="541"/>
    </row>
    <row r="137" spans="2:12" x14ac:dyDescent="0.25">
      <c r="B137" s="594" t="s">
        <v>185</v>
      </c>
      <c r="C137" s="594"/>
      <c r="D137" s="594"/>
      <c r="E137" s="594"/>
      <c r="F137" s="594"/>
      <c r="G137" s="4">
        <v>1</v>
      </c>
      <c r="H137" s="133">
        <f>'10 - CUSTOS UN'!J$66</f>
        <v>156.05666666666664</v>
      </c>
      <c r="I137" s="645">
        <f t="shared" si="0"/>
        <v>26.009444444444441</v>
      </c>
      <c r="J137" s="645"/>
      <c r="K137" s="133">
        <f t="shared" si="1"/>
        <v>26.009444444444441</v>
      </c>
      <c r="L137" s="541"/>
    </row>
    <row r="138" spans="2:12" x14ac:dyDescent="0.25">
      <c r="B138" s="594" t="s">
        <v>368</v>
      </c>
      <c r="C138" s="594"/>
      <c r="D138" s="594"/>
      <c r="E138" s="594"/>
      <c r="F138" s="594"/>
      <c r="G138" s="4">
        <v>2</v>
      </c>
      <c r="H138" s="133">
        <f>'10 - CUSTOS UN'!J$111</f>
        <v>116.83</v>
      </c>
      <c r="I138" s="645">
        <f t="shared" si="0"/>
        <v>19.471666666666668</v>
      </c>
      <c r="J138" s="645"/>
      <c r="K138" s="133">
        <f t="shared" si="1"/>
        <v>38.943333333333335</v>
      </c>
      <c r="L138" s="541"/>
    </row>
    <row r="139" spans="2:12" x14ac:dyDescent="0.25">
      <c r="B139" s="594" t="s">
        <v>369</v>
      </c>
      <c r="C139" s="594"/>
      <c r="D139" s="594"/>
      <c r="E139" s="594"/>
      <c r="F139" s="594"/>
      <c r="G139" s="219">
        <v>1</v>
      </c>
      <c r="H139" s="220">
        <f>'10 - CUSTOS UN'!J$87</f>
        <v>4.7966666666666669</v>
      </c>
      <c r="I139" s="645">
        <f t="shared" si="0"/>
        <v>0.79944444444444451</v>
      </c>
      <c r="J139" s="645"/>
      <c r="K139" s="133">
        <f t="shared" si="1"/>
        <v>0.79944444444444451</v>
      </c>
      <c r="L139" s="541"/>
    </row>
    <row r="140" spans="2:12" x14ac:dyDescent="0.25">
      <c r="B140" s="594" t="s">
        <v>188</v>
      </c>
      <c r="C140" s="594"/>
      <c r="D140" s="594"/>
      <c r="E140" s="594"/>
      <c r="F140" s="594"/>
      <c r="G140" s="219">
        <v>1</v>
      </c>
      <c r="H140" s="220">
        <f>'10 - CUSTOS UN'!J$51</f>
        <v>212.1933333333333</v>
      </c>
      <c r="I140" s="645">
        <f t="shared" si="0"/>
        <v>35.365555555555552</v>
      </c>
      <c r="J140" s="645"/>
      <c r="K140" s="133">
        <f t="shared" si="1"/>
        <v>35.365555555555552</v>
      </c>
      <c r="L140" s="541"/>
    </row>
    <row r="141" spans="2:12" x14ac:dyDescent="0.25">
      <c r="B141" s="594" t="s">
        <v>187</v>
      </c>
      <c r="C141" s="594"/>
      <c r="D141" s="594"/>
      <c r="E141" s="594"/>
      <c r="F141" s="594"/>
      <c r="G141" s="219">
        <v>48</v>
      </c>
      <c r="H141" s="220">
        <f>'10 - CUSTOS UN'!J$72</f>
        <v>8.2700000000000014</v>
      </c>
      <c r="I141" s="645">
        <f t="shared" si="0"/>
        <v>1.3783333333333336</v>
      </c>
      <c r="J141" s="645"/>
      <c r="K141" s="133">
        <f t="shared" si="1"/>
        <v>66.160000000000011</v>
      </c>
      <c r="L141" s="541"/>
    </row>
    <row r="142" spans="2:12" ht="15" customHeight="1" x14ac:dyDescent="0.25">
      <c r="B142" s="648" t="s">
        <v>370</v>
      </c>
      <c r="C142" s="648"/>
      <c r="D142" s="648"/>
      <c r="E142" s="648"/>
      <c r="F142" s="648"/>
      <c r="G142" s="113">
        <v>12</v>
      </c>
      <c r="H142" s="137">
        <f>'10 - CUSTOS UN'!J$99</f>
        <v>14.9</v>
      </c>
      <c r="I142" s="649">
        <f t="shared" si="0"/>
        <v>2.4833333333333334</v>
      </c>
      <c r="J142" s="649"/>
      <c r="K142" s="137">
        <f t="shared" si="1"/>
        <v>29.8</v>
      </c>
      <c r="L142" s="541"/>
    </row>
    <row r="143" spans="2:12" ht="15" customHeight="1" x14ac:dyDescent="0.25">
      <c r="B143" s="660" t="s">
        <v>371</v>
      </c>
      <c r="C143" s="660"/>
      <c r="D143" s="660"/>
      <c r="E143" s="660"/>
      <c r="F143" s="660"/>
      <c r="G143" s="115"/>
      <c r="H143" s="115"/>
      <c r="I143" s="662"/>
      <c r="J143" s="662"/>
      <c r="K143" s="221">
        <f>SUM(K131:K142)</f>
        <v>280.10555555555555</v>
      </c>
      <c r="L143" s="541"/>
    </row>
    <row r="144" spans="2:12" ht="15" customHeight="1" x14ac:dyDescent="0.25">
      <c r="B144" s="661" t="s">
        <v>182</v>
      </c>
      <c r="C144" s="661"/>
      <c r="D144" s="661"/>
      <c r="E144" s="661"/>
      <c r="F144" s="661"/>
      <c r="G144" s="582">
        <f>H7+H8</f>
        <v>22</v>
      </c>
      <c r="H144" s="4" t="s">
        <v>126</v>
      </c>
      <c r="I144" s="645">
        <f>K143</f>
        <v>280.10555555555555</v>
      </c>
      <c r="J144" s="645"/>
      <c r="K144" s="206">
        <f>K143*G144</f>
        <v>6162.3222222222221</v>
      </c>
      <c r="L144" s="541"/>
    </row>
    <row r="145" spans="2:23" x14ac:dyDescent="0.25"/>
    <row r="146" spans="2:23" ht="15" customHeight="1" x14ac:dyDescent="0.25">
      <c r="B146" s="663" t="s">
        <v>583</v>
      </c>
      <c r="C146" s="663"/>
      <c r="D146" s="663"/>
      <c r="E146" s="663"/>
      <c r="F146" s="663"/>
      <c r="G146" s="663"/>
      <c r="H146" s="663"/>
      <c r="I146" s="663"/>
      <c r="J146" s="663"/>
      <c r="K146" s="663"/>
      <c r="L146" s="541"/>
    </row>
    <row r="147" spans="2:23" ht="27.6" customHeight="1" x14ac:dyDescent="0.25">
      <c r="B147" s="614" t="s">
        <v>174</v>
      </c>
      <c r="C147" s="614"/>
      <c r="D147" s="614"/>
      <c r="E147" s="614"/>
      <c r="F147" s="614"/>
      <c r="G147" s="26" t="s">
        <v>1678</v>
      </c>
      <c r="H147" s="26" t="s">
        <v>176</v>
      </c>
      <c r="I147" s="664" t="s">
        <v>177</v>
      </c>
      <c r="J147" s="664"/>
      <c r="K147" s="25" t="s">
        <v>178</v>
      </c>
      <c r="L147" s="573"/>
      <c r="M147" s="548"/>
      <c r="N147" s="548"/>
      <c r="O147" s="119"/>
      <c r="P147" s="119"/>
      <c r="Q147" s="119"/>
      <c r="R147" s="119"/>
      <c r="S147" s="119"/>
      <c r="T147" s="119"/>
      <c r="U147" s="119"/>
      <c r="V147" s="119"/>
      <c r="W147" s="119"/>
    </row>
    <row r="148" spans="2:23" x14ac:dyDescent="0.25">
      <c r="B148" s="594" t="s">
        <v>179</v>
      </c>
      <c r="C148" s="594"/>
      <c r="D148" s="594"/>
      <c r="E148" s="594"/>
      <c r="F148" s="594"/>
      <c r="G148" s="4">
        <v>2</v>
      </c>
      <c r="H148" s="133">
        <f>'10 - CUSTOS UN'!$J$36</f>
        <v>21.349999999999998</v>
      </c>
      <c r="I148" s="645">
        <f t="shared" ref="I148:I155" si="2">H148/6</f>
        <v>3.5583333333333331</v>
      </c>
      <c r="J148" s="645"/>
      <c r="K148" s="133">
        <f t="shared" ref="K148:K155" si="3">I148*G148</f>
        <v>7.1166666666666663</v>
      </c>
      <c r="M148" s="548"/>
      <c r="N148" s="548"/>
      <c r="O148" s="119"/>
      <c r="P148" s="119"/>
      <c r="Q148" s="119"/>
      <c r="R148" s="119"/>
      <c r="S148" s="119"/>
      <c r="T148" s="119"/>
      <c r="U148" s="119"/>
      <c r="V148" s="119"/>
      <c r="W148" s="119"/>
    </row>
    <row r="149" spans="2:23" x14ac:dyDescent="0.25">
      <c r="B149" s="594" t="s">
        <v>184</v>
      </c>
      <c r="C149" s="594"/>
      <c r="D149" s="594"/>
      <c r="E149" s="594"/>
      <c r="F149" s="594"/>
      <c r="G149" s="4">
        <v>2</v>
      </c>
      <c r="H149" s="133">
        <f>'10 - CUSTOS UN'!$J$27</f>
        <v>67.736666666666665</v>
      </c>
      <c r="I149" s="645">
        <f t="shared" si="2"/>
        <v>11.289444444444444</v>
      </c>
      <c r="J149" s="645"/>
      <c r="K149" s="133">
        <f t="shared" si="3"/>
        <v>22.578888888888887</v>
      </c>
      <c r="L149" s="541"/>
      <c r="M149" s="549"/>
      <c r="T149" s="121"/>
      <c r="U149" s="121"/>
      <c r="V149" s="12"/>
      <c r="W149" s="12"/>
    </row>
    <row r="150" spans="2:23" x14ac:dyDescent="0.25">
      <c r="B150" s="594" t="s">
        <v>185</v>
      </c>
      <c r="C150" s="594"/>
      <c r="D150" s="594"/>
      <c r="E150" s="594"/>
      <c r="F150" s="594"/>
      <c r="G150" s="4">
        <v>1</v>
      </c>
      <c r="H150" s="133">
        <f>'10 - CUSTOS UN'!$J$66</f>
        <v>156.05666666666664</v>
      </c>
      <c r="I150" s="645">
        <f t="shared" si="2"/>
        <v>26.009444444444441</v>
      </c>
      <c r="J150" s="645"/>
      <c r="K150" s="133">
        <f t="shared" si="3"/>
        <v>26.009444444444441</v>
      </c>
      <c r="L150" s="541"/>
      <c r="T150" s="121"/>
      <c r="U150" s="121"/>
      <c r="V150" s="12"/>
      <c r="W150" s="12"/>
    </row>
    <row r="151" spans="2:23" x14ac:dyDescent="0.25">
      <c r="B151" s="594" t="s">
        <v>186</v>
      </c>
      <c r="C151" s="594"/>
      <c r="D151" s="594"/>
      <c r="E151" s="594"/>
      <c r="F151" s="594"/>
      <c r="G151" s="4">
        <v>1</v>
      </c>
      <c r="H151" s="133">
        <f>'10 - CUSTOS UN'!$J$30</f>
        <v>84.38</v>
      </c>
      <c r="I151" s="645">
        <f t="shared" si="2"/>
        <v>14.063333333333333</v>
      </c>
      <c r="J151" s="645"/>
      <c r="K151" s="133">
        <f t="shared" si="3"/>
        <v>14.063333333333333</v>
      </c>
      <c r="L151" s="541"/>
    </row>
    <row r="152" spans="2:23" x14ac:dyDescent="0.25">
      <c r="B152" s="594" t="s">
        <v>369</v>
      </c>
      <c r="C152" s="594"/>
      <c r="D152" s="594"/>
      <c r="E152" s="594"/>
      <c r="F152" s="594"/>
      <c r="G152" s="4">
        <v>1</v>
      </c>
      <c r="H152" s="220">
        <f>'10 - CUSTOS UN'!$J$87</f>
        <v>4.7966666666666669</v>
      </c>
      <c r="I152" s="645">
        <f t="shared" si="2"/>
        <v>0.79944444444444451</v>
      </c>
      <c r="J152" s="645"/>
      <c r="K152" s="133">
        <f t="shared" si="3"/>
        <v>0.79944444444444451</v>
      </c>
      <c r="L152" s="541"/>
    </row>
    <row r="153" spans="2:23" x14ac:dyDescent="0.25">
      <c r="B153" s="657" t="s">
        <v>196</v>
      </c>
      <c r="C153" s="657"/>
      <c r="D153" s="657"/>
      <c r="E153" s="657"/>
      <c r="F153" s="657"/>
      <c r="G153" s="4">
        <v>1</v>
      </c>
      <c r="H153" s="133">
        <f>'10 - CUSTOS UN'!$J$42</f>
        <v>16.393333333333334</v>
      </c>
      <c r="I153" s="645">
        <f t="shared" si="2"/>
        <v>2.7322222222222226</v>
      </c>
      <c r="J153" s="645"/>
      <c r="K153" s="133">
        <f t="shared" si="3"/>
        <v>2.7322222222222226</v>
      </c>
      <c r="L153" s="541"/>
    </row>
    <row r="154" spans="2:23" x14ac:dyDescent="0.25">
      <c r="B154" s="594" t="s">
        <v>370</v>
      </c>
      <c r="C154" s="594"/>
      <c r="D154" s="594"/>
      <c r="E154" s="594"/>
      <c r="F154" s="594"/>
      <c r="G154" s="4">
        <v>6</v>
      </c>
      <c r="H154" s="133">
        <f>'10 - CUSTOS UN'!$J$99</f>
        <v>14.9</v>
      </c>
      <c r="I154" s="645">
        <f t="shared" si="2"/>
        <v>2.4833333333333334</v>
      </c>
      <c r="J154" s="645"/>
      <c r="K154" s="133">
        <f t="shared" si="3"/>
        <v>14.9</v>
      </c>
      <c r="L154" s="541"/>
      <c r="N154" s="549"/>
      <c r="O154" s="120"/>
      <c r="P154" s="120"/>
      <c r="Q154" s="120"/>
      <c r="V154" s="12"/>
      <c r="W154" s="12"/>
    </row>
    <row r="155" spans="2:23" ht="15" customHeight="1" x14ac:dyDescent="0.25">
      <c r="B155" s="658" t="s">
        <v>373</v>
      </c>
      <c r="C155" s="658"/>
      <c r="D155" s="658"/>
      <c r="E155" s="658"/>
      <c r="F155" s="658"/>
      <c r="G155" s="113">
        <v>1</v>
      </c>
      <c r="H155" s="137">
        <f>'10 - CUSTOS UN'!$J$48</f>
        <v>18.52</v>
      </c>
      <c r="I155" s="659">
        <f t="shared" si="2"/>
        <v>3.0866666666666664</v>
      </c>
      <c r="J155" s="659"/>
      <c r="K155" s="137">
        <f t="shared" si="3"/>
        <v>3.0866666666666664</v>
      </c>
      <c r="L155" s="573"/>
    </row>
    <row r="156" spans="2:23" x14ac:dyDescent="0.25">
      <c r="B156" s="660" t="s">
        <v>371</v>
      </c>
      <c r="C156" s="660"/>
      <c r="D156" s="660"/>
      <c r="E156" s="660"/>
      <c r="F156" s="660"/>
      <c r="G156" s="115"/>
      <c r="H156" s="115"/>
      <c r="I156" s="606"/>
      <c r="J156" s="606"/>
      <c r="K156" s="221">
        <f>SUM(K148:K155)</f>
        <v>91.286666666666676</v>
      </c>
      <c r="L156" s="573"/>
      <c r="M156" s="548"/>
      <c r="N156" s="548"/>
      <c r="O156" s="119"/>
      <c r="P156" s="119"/>
      <c r="Q156" s="119"/>
      <c r="R156" s="119"/>
      <c r="S156" s="119"/>
      <c r="T156" s="119"/>
      <c r="U156" s="119"/>
      <c r="V156" s="119"/>
      <c r="W156" s="119"/>
    </row>
    <row r="157" spans="2:23" x14ac:dyDescent="0.25">
      <c r="B157" s="661" t="s">
        <v>182</v>
      </c>
      <c r="C157" s="661"/>
      <c r="D157" s="661"/>
      <c r="E157" s="661"/>
      <c r="F157" s="661"/>
      <c r="G157" s="582">
        <v>14</v>
      </c>
      <c r="H157" s="4" t="s">
        <v>126</v>
      </c>
      <c r="I157" s="645">
        <f>K156</f>
        <v>91.286666666666676</v>
      </c>
      <c r="J157" s="645"/>
      <c r="K157" s="206">
        <f>I157*G157</f>
        <v>1278.0133333333335</v>
      </c>
      <c r="L157" s="541"/>
      <c r="M157" s="548"/>
      <c r="N157" s="548"/>
      <c r="O157" s="119"/>
      <c r="P157" s="119"/>
      <c r="Q157" s="119"/>
      <c r="R157" s="119"/>
      <c r="S157" s="119"/>
      <c r="T157" s="119"/>
      <c r="U157" s="119"/>
      <c r="V157" s="119"/>
      <c r="W157" s="119"/>
    </row>
    <row r="158" spans="2:23" x14ac:dyDescent="0.25">
      <c r="B158" s="654"/>
      <c r="C158" s="654"/>
      <c r="D158" s="654"/>
      <c r="E158" s="654"/>
      <c r="F158" s="654"/>
      <c r="I158" s="654"/>
      <c r="J158" s="654"/>
      <c r="M158" s="549"/>
      <c r="N158" s="549"/>
      <c r="O158" s="120"/>
      <c r="P158" s="120"/>
      <c r="Q158" s="120"/>
      <c r="R158" s="120"/>
      <c r="S158" s="120"/>
      <c r="T158" s="124"/>
      <c r="U158" s="124"/>
      <c r="V158" s="124"/>
      <c r="W158" s="124"/>
    </row>
    <row r="159" spans="2:23" ht="15" customHeight="1" x14ac:dyDescent="0.25">
      <c r="B159" s="597" t="s">
        <v>375</v>
      </c>
      <c r="C159" s="597"/>
      <c r="D159" s="597"/>
      <c r="E159" s="597"/>
      <c r="F159" s="597"/>
      <c r="G159" s="597"/>
      <c r="H159" s="597"/>
      <c r="I159" s="597"/>
      <c r="J159" s="597"/>
      <c r="K159" s="111">
        <f>K157+K144</f>
        <v>7440.3355555555554</v>
      </c>
    </row>
    <row r="160" spans="2:23" ht="15.75" customHeight="1" x14ac:dyDescent="0.25"/>
    <row r="161" spans="2:23" x14ac:dyDescent="0.25">
      <c r="T161" s="12"/>
      <c r="U161" s="12"/>
      <c r="V161" s="12"/>
      <c r="W161" s="12"/>
    </row>
    <row r="162" spans="2:23" x14ac:dyDescent="0.25">
      <c r="B162" s="601" t="s">
        <v>584</v>
      </c>
      <c r="C162" s="601"/>
      <c r="D162" s="601"/>
      <c r="E162" s="601"/>
      <c r="F162" s="601"/>
      <c r="G162" s="601"/>
      <c r="H162" s="601"/>
      <c r="I162" s="601"/>
      <c r="J162" s="601"/>
      <c r="K162" s="601"/>
      <c r="T162" s="12"/>
      <c r="U162" s="12"/>
      <c r="V162" s="124"/>
      <c r="W162" s="124"/>
    </row>
    <row r="163" spans="2:23" x14ac:dyDescent="0.25">
      <c r="M163" s="549"/>
      <c r="N163" s="549"/>
      <c r="O163" s="120"/>
      <c r="P163" s="120"/>
      <c r="Q163" s="120"/>
      <c r="R163" s="120"/>
      <c r="S163" s="120"/>
      <c r="T163" s="120"/>
      <c r="U163" s="120"/>
      <c r="V163" s="120"/>
      <c r="W163" s="120"/>
    </row>
    <row r="164" spans="2:23" x14ac:dyDescent="0.25">
      <c r="B164" s="655" t="s">
        <v>206</v>
      </c>
      <c r="C164" s="655"/>
      <c r="D164" s="655"/>
      <c r="E164" s="655"/>
      <c r="F164" s="655"/>
      <c r="G164" s="655"/>
      <c r="H164" s="655"/>
      <c r="I164" s="655"/>
      <c r="J164" s="655"/>
      <c r="K164" s="655"/>
    </row>
    <row r="165" spans="2:23" ht="24.75" customHeight="1" x14ac:dyDescent="0.25">
      <c r="B165" s="138" t="s">
        <v>207</v>
      </c>
      <c r="C165" s="605" t="s">
        <v>174</v>
      </c>
      <c r="D165" s="605"/>
      <c r="E165" s="605"/>
      <c r="F165" s="605"/>
      <c r="G165" s="605"/>
      <c r="H165" s="605"/>
      <c r="I165" s="656" t="s">
        <v>208</v>
      </c>
      <c r="J165" s="656"/>
      <c r="K165" s="337" t="s">
        <v>209</v>
      </c>
    </row>
    <row r="166" spans="2:23" x14ac:dyDescent="0.25">
      <c r="B166" s="140" t="s">
        <v>562</v>
      </c>
      <c r="C166" s="650" t="s">
        <v>387</v>
      </c>
      <c r="D166" s="650"/>
      <c r="E166" s="650"/>
      <c r="F166" s="650"/>
      <c r="G166" s="650"/>
      <c r="H166" s="650"/>
      <c r="I166" s="651">
        <f>K279</f>
        <v>27554.556522514958</v>
      </c>
      <c r="J166" s="651"/>
      <c r="K166" s="141">
        <f>K280</f>
        <v>82663.669567544857</v>
      </c>
    </row>
    <row r="167" spans="2:23" x14ac:dyDescent="0.25">
      <c r="B167" s="5" t="s">
        <v>585</v>
      </c>
      <c r="C167" s="594" t="s">
        <v>212</v>
      </c>
      <c r="D167" s="594"/>
      <c r="E167" s="594"/>
      <c r="F167" s="594"/>
      <c r="G167" s="594"/>
      <c r="H167" s="594"/>
      <c r="I167" s="645">
        <f>I211</f>
        <v>4437.2126666666663</v>
      </c>
      <c r="J167" s="645"/>
      <c r="K167" s="142">
        <f>K211</f>
        <v>13311.637999999999</v>
      </c>
    </row>
    <row r="168" spans="2:23" x14ac:dyDescent="0.25">
      <c r="B168" s="5" t="s">
        <v>586</v>
      </c>
      <c r="C168" s="594" t="s">
        <v>214</v>
      </c>
      <c r="D168" s="594"/>
      <c r="E168" s="594"/>
      <c r="F168" s="594"/>
      <c r="G168" s="594"/>
      <c r="H168" s="594"/>
      <c r="I168" s="645">
        <f>I226</f>
        <v>1677.821039583333</v>
      </c>
      <c r="J168" s="645"/>
      <c r="K168" s="142">
        <f>K226</f>
        <v>5033.463118749999</v>
      </c>
    </row>
    <row r="169" spans="2:23" x14ac:dyDescent="0.25">
      <c r="B169" s="5" t="s">
        <v>587</v>
      </c>
      <c r="C169" s="594" t="s">
        <v>216</v>
      </c>
      <c r="D169" s="594"/>
      <c r="E169" s="594"/>
      <c r="F169" s="594"/>
      <c r="G169" s="594"/>
      <c r="H169" s="594"/>
      <c r="I169" s="645">
        <f>I236</f>
        <v>564.30555555555554</v>
      </c>
      <c r="J169" s="645"/>
      <c r="K169" s="142">
        <f>K236</f>
        <v>1692.9166666666665</v>
      </c>
    </row>
    <row r="170" spans="2:23" x14ac:dyDescent="0.25">
      <c r="B170" s="5" t="s">
        <v>588</v>
      </c>
      <c r="C170" s="594" t="s">
        <v>382</v>
      </c>
      <c r="D170" s="594"/>
      <c r="E170" s="594"/>
      <c r="F170" s="594"/>
      <c r="G170" s="594"/>
      <c r="H170" s="594"/>
      <c r="I170" s="645">
        <f>I244</f>
        <v>13998.54</v>
      </c>
      <c r="J170" s="645"/>
      <c r="K170" s="142">
        <f>K244</f>
        <v>41995.62</v>
      </c>
    </row>
    <row r="171" spans="2:23" x14ac:dyDescent="0.25">
      <c r="B171" s="5" t="s">
        <v>589</v>
      </c>
      <c r="C171" s="594" t="s">
        <v>384</v>
      </c>
      <c r="D171" s="594"/>
      <c r="E171" s="594"/>
      <c r="F171" s="594"/>
      <c r="G171" s="594"/>
      <c r="H171" s="594"/>
      <c r="I171" s="645">
        <f>I257</f>
        <v>1422.8550005555555</v>
      </c>
      <c r="J171" s="645"/>
      <c r="K171" s="142">
        <f>K257</f>
        <v>4268.5650016666668</v>
      </c>
    </row>
    <row r="172" spans="2:23" x14ac:dyDescent="0.25">
      <c r="B172" s="5" t="s">
        <v>590</v>
      </c>
      <c r="C172" s="594" t="s">
        <v>220</v>
      </c>
      <c r="D172" s="594"/>
      <c r="E172" s="594"/>
      <c r="F172" s="594"/>
      <c r="G172" s="594"/>
      <c r="H172" s="594"/>
      <c r="I172" s="645">
        <f>I268</f>
        <v>890.76226015384611</v>
      </c>
      <c r="J172" s="645"/>
      <c r="K172" s="142">
        <f>K268</f>
        <v>2672.2867804615385</v>
      </c>
    </row>
    <row r="173" spans="2:23" x14ac:dyDescent="0.25">
      <c r="B173" s="5" t="s">
        <v>591</v>
      </c>
      <c r="C173" s="594" t="s">
        <v>222</v>
      </c>
      <c r="D173" s="594"/>
      <c r="E173" s="594"/>
      <c r="F173" s="594"/>
      <c r="G173" s="594"/>
      <c r="H173" s="594"/>
      <c r="I173" s="645">
        <f>I273</f>
        <v>4563.0599999999995</v>
      </c>
      <c r="J173" s="645"/>
      <c r="K173" s="142">
        <f>K273</f>
        <v>13689.179999999998</v>
      </c>
    </row>
    <row r="174" spans="2:23" x14ac:dyDescent="0.25">
      <c r="B174" s="140" t="s">
        <v>563</v>
      </c>
      <c r="C174" s="652" t="s">
        <v>592</v>
      </c>
      <c r="D174" s="652"/>
      <c r="E174" s="652"/>
      <c r="F174" s="652"/>
      <c r="G174" s="652"/>
      <c r="H174" s="652"/>
      <c r="I174" s="653">
        <f>K358</f>
        <v>21585.172487640833</v>
      </c>
      <c r="J174" s="653"/>
      <c r="K174" s="141">
        <f>K359</f>
        <v>21585.172487640833</v>
      </c>
    </row>
    <row r="175" spans="2:23" x14ac:dyDescent="0.25">
      <c r="B175" s="5" t="s">
        <v>593</v>
      </c>
      <c r="C175" s="594" t="s">
        <v>212</v>
      </c>
      <c r="D175" s="594"/>
      <c r="E175" s="594"/>
      <c r="F175" s="594"/>
      <c r="G175" s="594"/>
      <c r="H175" s="594"/>
      <c r="I175" s="645">
        <f>I297</f>
        <v>9013.902467532469</v>
      </c>
      <c r="J175" s="645"/>
      <c r="K175" s="142">
        <f>K297</f>
        <v>9013.902467532469</v>
      </c>
    </row>
    <row r="176" spans="2:23" x14ac:dyDescent="0.25">
      <c r="B176" s="5" t="s">
        <v>594</v>
      </c>
      <c r="C176" s="594" t="s">
        <v>214</v>
      </c>
      <c r="D176" s="594"/>
      <c r="E176" s="594"/>
      <c r="F176" s="594"/>
      <c r="G176" s="594"/>
      <c r="H176" s="594"/>
      <c r="I176" s="645">
        <f>I312</f>
        <v>3408.3818705357139</v>
      </c>
      <c r="J176" s="645"/>
      <c r="K176" s="142">
        <f>K312</f>
        <v>3408.3818705357139</v>
      </c>
    </row>
    <row r="177" spans="2:23" x14ac:dyDescent="0.25">
      <c r="B177" s="5" t="s">
        <v>595</v>
      </c>
      <c r="C177" s="594" t="s">
        <v>216</v>
      </c>
      <c r="D177" s="594"/>
      <c r="E177" s="594"/>
      <c r="F177" s="594"/>
      <c r="G177" s="594"/>
      <c r="H177" s="594"/>
      <c r="I177" s="645">
        <f>I320</f>
        <v>539.30555555555554</v>
      </c>
      <c r="J177" s="645"/>
      <c r="K177" s="142">
        <f>K320</f>
        <v>539.30555555555554</v>
      </c>
    </row>
    <row r="178" spans="2:23" x14ac:dyDescent="0.25">
      <c r="B178" s="5" t="s">
        <v>596</v>
      </c>
      <c r="C178" s="594" t="s">
        <v>382</v>
      </c>
      <c r="D178" s="594"/>
      <c r="E178" s="594"/>
      <c r="F178" s="594"/>
      <c r="G178" s="594"/>
      <c r="H178" s="594"/>
      <c r="I178" s="645">
        <f>I328</f>
        <v>5430</v>
      </c>
      <c r="J178" s="645"/>
      <c r="K178" s="142">
        <f>K328</f>
        <v>5430</v>
      </c>
      <c r="M178" s="549"/>
      <c r="N178" s="549"/>
      <c r="O178" s="120"/>
      <c r="P178" s="120"/>
      <c r="Q178" s="120"/>
      <c r="R178" s="120"/>
      <c r="S178" s="120"/>
      <c r="T178" s="120"/>
      <c r="U178" s="120"/>
      <c r="V178" s="120"/>
      <c r="W178" s="120"/>
    </row>
    <row r="179" spans="2:23" x14ac:dyDescent="0.25">
      <c r="B179" s="5" t="s">
        <v>597</v>
      </c>
      <c r="C179" s="594" t="s">
        <v>384</v>
      </c>
      <c r="D179" s="594"/>
      <c r="E179" s="594"/>
      <c r="F179" s="594"/>
      <c r="G179" s="594"/>
      <c r="H179" s="594"/>
      <c r="I179" s="645">
        <f>I340</f>
        <v>1078.0580555555555</v>
      </c>
      <c r="J179" s="645"/>
      <c r="K179" s="142">
        <f>K340</f>
        <v>1078.0580555555555</v>
      </c>
    </row>
    <row r="180" spans="2:23" x14ac:dyDescent="0.25">
      <c r="B180" s="5" t="s">
        <v>598</v>
      </c>
      <c r="C180" s="594" t="s">
        <v>220</v>
      </c>
      <c r="D180" s="594"/>
      <c r="E180" s="594"/>
      <c r="F180" s="594"/>
      <c r="G180" s="594"/>
      <c r="H180" s="594"/>
      <c r="I180" s="645">
        <f>I351</f>
        <v>345.52453846153844</v>
      </c>
      <c r="J180" s="645"/>
      <c r="K180" s="142">
        <f>K351</f>
        <v>345.52453846153844</v>
      </c>
    </row>
    <row r="181" spans="2:23" x14ac:dyDescent="0.25">
      <c r="B181" s="5" t="s">
        <v>599</v>
      </c>
      <c r="C181" s="594" t="s">
        <v>222</v>
      </c>
      <c r="D181" s="594"/>
      <c r="E181" s="594"/>
      <c r="F181" s="594"/>
      <c r="G181" s="594"/>
      <c r="H181" s="594"/>
      <c r="I181" s="645">
        <f>I356</f>
        <v>1770</v>
      </c>
      <c r="J181" s="645"/>
      <c r="K181" s="142">
        <f>K356</f>
        <v>1770</v>
      </c>
      <c r="M181" s="562"/>
    </row>
    <row r="182" spans="2:23" x14ac:dyDescent="0.25">
      <c r="B182" s="140" t="s">
        <v>565</v>
      </c>
      <c r="C182" s="652" t="s">
        <v>395</v>
      </c>
      <c r="D182" s="652"/>
      <c r="E182" s="652"/>
      <c r="F182" s="652"/>
      <c r="G182" s="652"/>
      <c r="H182" s="652"/>
      <c r="I182" s="653">
        <f>K420</f>
        <v>3851.0556993111109</v>
      </c>
      <c r="J182" s="653"/>
      <c r="K182" s="141">
        <f>K421</f>
        <v>11553.167097933332</v>
      </c>
    </row>
    <row r="183" spans="2:23" x14ac:dyDescent="0.25">
      <c r="B183" s="5" t="s">
        <v>600</v>
      </c>
      <c r="C183" s="594" t="s">
        <v>212</v>
      </c>
      <c r="D183" s="594"/>
      <c r="E183" s="594"/>
      <c r="F183" s="594"/>
      <c r="G183" s="594"/>
      <c r="H183" s="594"/>
      <c r="I183" s="645">
        <f>I370</f>
        <v>512.96190476190475</v>
      </c>
      <c r="J183" s="645"/>
      <c r="K183" s="142">
        <f>K370</f>
        <v>1538.8857142857141</v>
      </c>
      <c r="M183" s="549"/>
      <c r="N183" s="549"/>
      <c r="O183" s="120"/>
      <c r="P183" s="120"/>
      <c r="Q183" s="120"/>
      <c r="R183" s="120"/>
      <c r="S183" s="120"/>
      <c r="T183" s="120"/>
      <c r="U183" s="120"/>
      <c r="V183" s="120"/>
      <c r="W183" s="120"/>
    </row>
    <row r="184" spans="2:23" x14ac:dyDescent="0.25">
      <c r="B184" s="5" t="s">
        <v>601</v>
      </c>
      <c r="C184" s="594" t="s">
        <v>214</v>
      </c>
      <c r="D184" s="594"/>
      <c r="E184" s="594"/>
      <c r="F184" s="594"/>
      <c r="G184" s="594"/>
      <c r="H184" s="594"/>
      <c r="I184" s="645">
        <f>I379</f>
        <v>193.96372023809519</v>
      </c>
      <c r="J184" s="645"/>
      <c r="K184" s="142">
        <f>K379</f>
        <v>581.89116071428555</v>
      </c>
      <c r="M184" s="566"/>
    </row>
    <row r="185" spans="2:23" x14ac:dyDescent="0.25">
      <c r="B185" s="5" t="s">
        <v>602</v>
      </c>
      <c r="C185" s="594" t="s">
        <v>216</v>
      </c>
      <c r="D185" s="594"/>
      <c r="E185" s="594"/>
      <c r="F185" s="594"/>
      <c r="G185" s="594"/>
      <c r="H185" s="594"/>
      <c r="I185" s="645">
        <f>I387</f>
        <v>272.42111111111109</v>
      </c>
      <c r="J185" s="645"/>
      <c r="K185" s="142">
        <f>K387</f>
        <v>817.26333333333332</v>
      </c>
      <c r="M185" s="548"/>
      <c r="N185" s="548"/>
      <c r="O185" s="119"/>
      <c r="P185" s="119"/>
      <c r="Q185" s="119"/>
      <c r="R185" s="119"/>
      <c r="S185" s="119"/>
      <c r="T185" s="119"/>
      <c r="U185" s="119"/>
      <c r="V185" s="119"/>
      <c r="W185" s="119"/>
    </row>
    <row r="186" spans="2:23" x14ac:dyDescent="0.25">
      <c r="B186" s="5" t="s">
        <v>603</v>
      </c>
      <c r="C186" s="594" t="s">
        <v>382</v>
      </c>
      <c r="D186" s="594"/>
      <c r="E186" s="594"/>
      <c r="F186" s="594"/>
      <c r="G186" s="594"/>
      <c r="H186" s="594"/>
      <c r="I186" s="645">
        <f>I395</f>
        <v>1079.06</v>
      </c>
      <c r="J186" s="645"/>
      <c r="K186" s="142">
        <f>K395</f>
        <v>3237.18</v>
      </c>
      <c r="M186" s="548"/>
      <c r="N186" s="548"/>
      <c r="O186" s="119"/>
      <c r="P186" s="119"/>
      <c r="Q186" s="119"/>
      <c r="R186" s="119"/>
      <c r="S186" s="119"/>
      <c r="T186" s="119"/>
      <c r="U186" s="119"/>
      <c r="V186" s="119"/>
      <c r="W186" s="119"/>
    </row>
    <row r="187" spans="2:23" x14ac:dyDescent="0.25">
      <c r="B187" s="5" t="s">
        <v>604</v>
      </c>
      <c r="C187" s="594" t="s">
        <v>384</v>
      </c>
      <c r="D187" s="594"/>
      <c r="E187" s="594"/>
      <c r="F187" s="594"/>
      <c r="G187" s="594"/>
      <c r="H187" s="594"/>
      <c r="I187" s="645">
        <f>I405</f>
        <v>28.652465999999993</v>
      </c>
      <c r="J187" s="645"/>
      <c r="K187" s="142">
        <f>K405</f>
        <v>85.957397999999984</v>
      </c>
      <c r="M187" s="549"/>
      <c r="N187" s="549"/>
      <c r="O187" s="120"/>
      <c r="P187" s="120"/>
      <c r="Q187" s="120"/>
      <c r="R187" s="120"/>
      <c r="S187" s="120"/>
      <c r="T187" s="124"/>
      <c r="U187" s="120"/>
      <c r="V187" s="124"/>
      <c r="W187" s="120"/>
    </row>
    <row r="188" spans="2:23" x14ac:dyDescent="0.25">
      <c r="B188" s="5" t="s">
        <v>605</v>
      </c>
      <c r="C188" s="594" t="s">
        <v>220</v>
      </c>
      <c r="D188" s="594"/>
      <c r="E188" s="594"/>
      <c r="F188" s="594"/>
      <c r="G188" s="594"/>
      <c r="H188" s="594"/>
      <c r="I188" s="645">
        <f>I413</f>
        <v>32.936497200000005</v>
      </c>
      <c r="J188" s="645"/>
      <c r="K188" s="142">
        <f>K413</f>
        <v>98.809491600000015</v>
      </c>
      <c r="T188" s="12"/>
    </row>
    <row r="189" spans="2:23" x14ac:dyDescent="0.25">
      <c r="B189" s="5" t="s">
        <v>606</v>
      </c>
      <c r="C189" s="648" t="s">
        <v>222</v>
      </c>
      <c r="D189" s="648"/>
      <c r="E189" s="648"/>
      <c r="F189" s="648"/>
      <c r="G189" s="648"/>
      <c r="H189" s="648"/>
      <c r="I189" s="649">
        <f>I418</f>
        <v>1731.06</v>
      </c>
      <c r="J189" s="649"/>
      <c r="K189" s="222">
        <f>K418</f>
        <v>5193.18</v>
      </c>
      <c r="S189" s="18"/>
    </row>
    <row r="190" spans="2:23" x14ac:dyDescent="0.25">
      <c r="B190" s="140" t="s">
        <v>566</v>
      </c>
      <c r="C190" s="650" t="s">
        <v>607</v>
      </c>
      <c r="D190" s="650"/>
      <c r="E190" s="650"/>
      <c r="F190" s="650"/>
      <c r="G190" s="650"/>
      <c r="H190" s="650"/>
      <c r="I190" s="651">
        <f>K448</f>
        <v>7498.7636507812504</v>
      </c>
      <c r="J190" s="651"/>
      <c r="K190" s="141">
        <f>K449</f>
        <v>79068.318164062497</v>
      </c>
      <c r="T190" s="12"/>
    </row>
    <row r="191" spans="2:23" x14ac:dyDescent="0.25">
      <c r="B191" s="5" t="s">
        <v>608</v>
      </c>
      <c r="C191" s="594" t="s">
        <v>212</v>
      </c>
      <c r="D191" s="594"/>
      <c r="E191" s="594"/>
      <c r="F191" s="594"/>
      <c r="G191" s="594"/>
      <c r="H191" s="594"/>
      <c r="I191" s="645">
        <f>I432</f>
        <v>69.056291666666667</v>
      </c>
      <c r="J191" s="645"/>
      <c r="K191" s="142">
        <f>K432</f>
        <v>58697.847916666666</v>
      </c>
      <c r="T191" s="12"/>
      <c r="V191" s="12"/>
    </row>
    <row r="192" spans="2:23" x14ac:dyDescent="0.25">
      <c r="B192" s="5" t="s">
        <v>609</v>
      </c>
      <c r="C192" s="594" t="s">
        <v>214</v>
      </c>
      <c r="D192" s="594"/>
      <c r="E192" s="594"/>
      <c r="F192" s="594"/>
      <c r="G192" s="594"/>
      <c r="H192" s="594"/>
      <c r="I192" s="645">
        <f>I441</f>
        <v>15.24235911458333</v>
      </c>
      <c r="J192" s="645"/>
      <c r="K192" s="142">
        <f>K441</f>
        <v>12956.005247395831</v>
      </c>
      <c r="M192" s="549"/>
      <c r="N192" s="549"/>
      <c r="O192" s="120"/>
      <c r="P192" s="120"/>
      <c r="Q192" s="120"/>
      <c r="R192" s="120"/>
      <c r="S192" s="120"/>
      <c r="T192" s="120"/>
      <c r="U192" s="120"/>
      <c r="V192" s="120"/>
      <c r="W192" s="120"/>
    </row>
    <row r="193" spans="2:23" x14ac:dyDescent="0.25">
      <c r="B193" s="143"/>
      <c r="C193" s="646" t="s">
        <v>223</v>
      </c>
      <c r="D193" s="646"/>
      <c r="E193" s="646"/>
      <c r="F193" s="646"/>
      <c r="G193" s="646"/>
      <c r="H193" s="646"/>
      <c r="I193" s="646"/>
      <c r="J193" s="646"/>
      <c r="K193" s="144">
        <f>SUM(K166,K174,K182,K190)</f>
        <v>194870.32731718151</v>
      </c>
    </row>
    <row r="194" spans="2:23" x14ac:dyDescent="0.25">
      <c r="C194" s="132"/>
      <c r="D194" s="132"/>
      <c r="E194" s="132"/>
      <c r="F194" s="132"/>
      <c r="G194" s="132"/>
      <c r="H194" s="132"/>
      <c r="I194" s="132"/>
      <c r="J194" s="132"/>
      <c r="K194" s="132"/>
    </row>
    <row r="195" spans="2:23" x14ac:dyDescent="0.25"/>
    <row r="196" spans="2:23" x14ac:dyDescent="0.25">
      <c r="B196" s="626" t="s">
        <v>610</v>
      </c>
      <c r="C196" s="626"/>
      <c r="D196" s="626"/>
      <c r="E196" s="626"/>
      <c r="F196" s="626"/>
      <c r="G196" s="626"/>
      <c r="H196" s="626"/>
      <c r="I196" s="626"/>
      <c r="J196" s="626"/>
      <c r="K196" s="626"/>
    </row>
    <row r="197" spans="2:23" x14ac:dyDescent="0.25"/>
    <row r="198" spans="2:23" x14ac:dyDescent="0.25">
      <c r="B198" s="609" t="s">
        <v>611</v>
      </c>
      <c r="C198" s="609"/>
      <c r="D198" s="609"/>
      <c r="E198" s="609"/>
      <c r="F198" s="609"/>
      <c r="G198" s="609"/>
      <c r="H198" s="609"/>
      <c r="I198" s="609"/>
      <c r="J198" s="609"/>
      <c r="K198" s="609"/>
    </row>
    <row r="199" spans="2:23" x14ac:dyDescent="0.25">
      <c r="B199" s="223" t="s">
        <v>174</v>
      </c>
      <c r="C199" s="235"/>
      <c r="D199" s="235"/>
      <c r="E199" s="235"/>
      <c r="F199" s="236"/>
      <c r="G199" s="223" t="s">
        <v>128</v>
      </c>
      <c r="H199" s="138" t="s">
        <v>129</v>
      </c>
      <c r="I199" s="605" t="s">
        <v>226</v>
      </c>
      <c r="J199" s="605"/>
      <c r="K199" s="138" t="s">
        <v>227</v>
      </c>
    </row>
    <row r="200" spans="2:23" x14ac:dyDescent="0.25">
      <c r="B200" s="620" t="s">
        <v>463</v>
      </c>
      <c r="C200" s="620"/>
      <c r="D200" s="620"/>
      <c r="E200" s="620"/>
      <c r="F200" s="620"/>
      <c r="G200" s="125">
        <v>3</v>
      </c>
      <c r="H200" s="125" t="s">
        <v>129</v>
      </c>
      <c r="I200" s="647">
        <v>322725</v>
      </c>
      <c r="J200" s="647"/>
      <c r="K200" s="224">
        <f>I200*G200</f>
        <v>968175</v>
      </c>
    </row>
    <row r="201" spans="2:23" x14ac:dyDescent="0.25">
      <c r="B201" s="622" t="s">
        <v>406</v>
      </c>
      <c r="C201" s="622"/>
      <c r="D201" s="622"/>
      <c r="E201" s="622"/>
      <c r="F201" s="622"/>
      <c r="G201" s="8">
        <v>7</v>
      </c>
      <c r="H201" s="8" t="s">
        <v>231</v>
      </c>
      <c r="I201" s="616"/>
      <c r="J201" s="616"/>
      <c r="K201" s="158"/>
    </row>
    <row r="202" spans="2:23" x14ac:dyDescent="0.25">
      <c r="B202" s="622" t="s">
        <v>232</v>
      </c>
      <c r="C202" s="622"/>
      <c r="D202" s="622"/>
      <c r="E202" s="622"/>
      <c r="F202" s="622"/>
      <c r="G202" s="8">
        <v>6</v>
      </c>
      <c r="H202" s="8" t="s">
        <v>231</v>
      </c>
      <c r="I202" s="616"/>
      <c r="J202" s="616"/>
      <c r="K202" s="158"/>
    </row>
    <row r="203" spans="2:23" x14ac:dyDescent="0.25">
      <c r="B203" s="615" t="s">
        <v>407</v>
      </c>
      <c r="C203" s="615"/>
      <c r="D203" s="615"/>
      <c r="E203" s="615"/>
      <c r="F203" s="615"/>
      <c r="G203" s="225">
        <v>80</v>
      </c>
      <c r="H203" s="8" t="s">
        <v>89</v>
      </c>
      <c r="I203" s="617">
        <f>I200</f>
        <v>322725</v>
      </c>
      <c r="J203" s="617"/>
      <c r="K203" s="30">
        <f>I203*G203/100</f>
        <v>258180</v>
      </c>
    </row>
    <row r="204" spans="2:23" x14ac:dyDescent="0.25">
      <c r="B204" s="618" t="s">
        <v>408</v>
      </c>
      <c r="C204" s="618"/>
      <c r="D204" s="618"/>
      <c r="E204" s="618"/>
      <c r="F204" s="618"/>
      <c r="G204" s="226">
        <f>G201*12</f>
        <v>84</v>
      </c>
      <c r="H204" s="226" t="s">
        <v>235</v>
      </c>
      <c r="I204" s="619">
        <f>K203</f>
        <v>258180</v>
      </c>
      <c r="J204" s="619"/>
      <c r="K204" s="148">
        <f>I204/G204</f>
        <v>3073.5714285714284</v>
      </c>
    </row>
    <row r="205" spans="2:23" x14ac:dyDescent="0.25">
      <c r="B205" s="620" t="s">
        <v>464</v>
      </c>
      <c r="C205" s="620"/>
      <c r="D205" s="620"/>
      <c r="E205" s="620"/>
      <c r="F205" s="620"/>
      <c r="G205" s="125">
        <f>G200</f>
        <v>3</v>
      </c>
      <c r="H205" s="125" t="s">
        <v>129</v>
      </c>
      <c r="I205" s="621">
        <v>143182.32999999999</v>
      </c>
      <c r="J205" s="621"/>
      <c r="K205" s="224">
        <f>I205*G205</f>
        <v>429546.99</v>
      </c>
    </row>
    <row r="206" spans="2:23" x14ac:dyDescent="0.25">
      <c r="B206" s="622" t="s">
        <v>410</v>
      </c>
      <c r="C206" s="622"/>
      <c r="D206" s="622"/>
      <c r="E206" s="622"/>
      <c r="F206" s="622"/>
      <c r="G206" s="8">
        <v>7</v>
      </c>
      <c r="H206" s="8" t="s">
        <v>231</v>
      </c>
      <c r="I206" s="616"/>
      <c r="J206" s="616"/>
      <c r="K206" s="158"/>
    </row>
    <row r="207" spans="2:23" x14ac:dyDescent="0.25">
      <c r="B207" s="622" t="s">
        <v>411</v>
      </c>
      <c r="C207" s="622"/>
      <c r="D207" s="622"/>
      <c r="E207" s="622"/>
      <c r="F207" s="622"/>
      <c r="G207" s="8">
        <v>6</v>
      </c>
      <c r="H207" s="8" t="s">
        <v>231</v>
      </c>
      <c r="I207" s="616"/>
      <c r="J207" s="616"/>
      <c r="K207" s="158"/>
      <c r="M207" s="549"/>
      <c r="N207" s="549"/>
      <c r="O207" s="120"/>
      <c r="P207" s="120"/>
      <c r="Q207" s="120"/>
      <c r="R207" s="120"/>
      <c r="S207" s="120"/>
      <c r="T207" s="120"/>
      <c r="U207" s="120"/>
      <c r="V207" s="120"/>
      <c r="W207" s="120"/>
    </row>
    <row r="208" spans="2:23" x14ac:dyDescent="0.25">
      <c r="B208" s="615" t="s">
        <v>412</v>
      </c>
      <c r="C208" s="615"/>
      <c r="D208" s="615"/>
      <c r="E208" s="615"/>
      <c r="F208" s="615"/>
      <c r="G208" s="225">
        <v>80</v>
      </c>
      <c r="H208" s="8" t="s">
        <v>89</v>
      </c>
      <c r="I208" s="617">
        <f>I205</f>
        <v>143182.32999999999</v>
      </c>
      <c r="J208" s="617"/>
      <c r="K208" s="30">
        <f>I208*G208/100</f>
        <v>114545.86399999999</v>
      </c>
    </row>
    <row r="209" spans="2:23" x14ac:dyDescent="0.25">
      <c r="B209" s="618" t="s">
        <v>413</v>
      </c>
      <c r="C209" s="618"/>
      <c r="D209" s="618"/>
      <c r="E209" s="618"/>
      <c r="F209" s="618"/>
      <c r="G209" s="226">
        <f>G206*12</f>
        <v>84</v>
      </c>
      <c r="H209" s="226" t="s">
        <v>235</v>
      </c>
      <c r="I209" s="619">
        <f>K208</f>
        <v>114545.86399999999</v>
      </c>
      <c r="J209" s="619"/>
      <c r="K209" s="148">
        <f>I209/G209</f>
        <v>1363.6412380952379</v>
      </c>
      <c r="N209" s="560"/>
    </row>
    <row r="210" spans="2:23" x14ac:dyDescent="0.25">
      <c r="B210" s="635" t="s">
        <v>414</v>
      </c>
      <c r="C210" s="635"/>
      <c r="D210" s="635"/>
      <c r="E210" s="635"/>
      <c r="F210" s="635"/>
      <c r="G210" s="180"/>
      <c r="H210" s="180"/>
      <c r="I210" s="636"/>
      <c r="J210" s="636"/>
      <c r="K210" s="227">
        <f>SUM(K204+K209)</f>
        <v>4437.2126666666663</v>
      </c>
      <c r="N210" s="560"/>
    </row>
    <row r="211" spans="2:23" x14ac:dyDescent="0.25">
      <c r="B211" s="612" t="s">
        <v>415</v>
      </c>
      <c r="C211" s="612"/>
      <c r="D211" s="612"/>
      <c r="E211" s="612"/>
      <c r="F211" s="612"/>
      <c r="G211" s="45">
        <f>G200</f>
        <v>3</v>
      </c>
      <c r="H211" s="45" t="s">
        <v>229</v>
      </c>
      <c r="I211" s="613">
        <f>K210</f>
        <v>4437.2126666666663</v>
      </c>
      <c r="J211" s="613"/>
      <c r="K211" s="159">
        <f>I211*G211</f>
        <v>13311.637999999999</v>
      </c>
      <c r="N211" s="560"/>
    </row>
    <row r="212" spans="2:23" x14ac:dyDescent="0.25">
      <c r="M212" s="549"/>
      <c r="N212" s="549"/>
      <c r="O212" s="120"/>
      <c r="P212" s="120"/>
      <c r="Q212" s="120"/>
      <c r="R212" s="120"/>
      <c r="S212" s="120"/>
      <c r="T212" s="120"/>
      <c r="U212" s="120"/>
      <c r="V212" s="120"/>
      <c r="W212" s="120"/>
    </row>
    <row r="213" spans="2:23" x14ac:dyDescent="0.25">
      <c r="B213" s="609" t="s">
        <v>612</v>
      </c>
      <c r="C213" s="609"/>
      <c r="D213" s="609"/>
      <c r="E213" s="609"/>
      <c r="F213" s="609"/>
      <c r="G213" s="609"/>
      <c r="H213" s="609"/>
      <c r="I213" s="609"/>
      <c r="J213" s="609"/>
      <c r="K213" s="609"/>
      <c r="M213" s="549"/>
      <c r="N213" s="549"/>
      <c r="O213" s="120"/>
      <c r="P213" s="120"/>
      <c r="Q213" s="120"/>
      <c r="R213" s="120"/>
      <c r="S213" s="120"/>
      <c r="T213" s="120"/>
      <c r="U213" s="120"/>
      <c r="V213" s="120"/>
      <c r="W213" s="120"/>
    </row>
    <row r="214" spans="2:23" ht="15" customHeight="1" x14ac:dyDescent="0.25">
      <c r="B214" s="602" t="s">
        <v>174</v>
      </c>
      <c r="C214" s="602"/>
      <c r="D214" s="602"/>
      <c r="E214" s="602"/>
      <c r="F214" s="602"/>
      <c r="G214" s="61" t="s">
        <v>128</v>
      </c>
      <c r="H214" s="45" t="s">
        <v>129</v>
      </c>
      <c r="I214" s="602" t="s">
        <v>226</v>
      </c>
      <c r="J214" s="602"/>
      <c r="K214" s="45" t="s">
        <v>227</v>
      </c>
    </row>
    <row r="215" spans="2:23" x14ac:dyDescent="0.25">
      <c r="B215" s="615" t="s">
        <v>466</v>
      </c>
      <c r="C215" s="615"/>
      <c r="D215" s="615"/>
      <c r="E215" s="615"/>
      <c r="F215" s="615"/>
      <c r="G215" s="8">
        <f>G200</f>
        <v>3</v>
      </c>
      <c r="H215" s="8" t="s">
        <v>229</v>
      </c>
      <c r="I215" s="617">
        <f>I200</f>
        <v>322725</v>
      </c>
      <c r="J215" s="617"/>
      <c r="K215" s="30">
        <f>I215*G215</f>
        <v>968175</v>
      </c>
      <c r="M215" s="548"/>
      <c r="N215" s="548"/>
      <c r="O215" s="119"/>
      <c r="P215" s="119"/>
      <c r="Q215" s="119"/>
      <c r="R215" s="119"/>
      <c r="S215" s="119"/>
      <c r="T215" s="119"/>
      <c r="U215" s="119"/>
      <c r="V215" s="119"/>
      <c r="W215" s="119"/>
    </row>
    <row r="216" spans="2:23" x14ac:dyDescent="0.25">
      <c r="B216" s="615" t="s">
        <v>239</v>
      </c>
      <c r="C216" s="615"/>
      <c r="D216" s="615"/>
      <c r="E216" s="615"/>
      <c r="F216" s="615"/>
      <c r="G216" s="556">
        <v>13.75</v>
      </c>
      <c r="H216" s="8" t="s">
        <v>89</v>
      </c>
      <c r="I216" s="616"/>
      <c r="J216" s="616"/>
      <c r="K216" s="30"/>
      <c r="M216" s="548"/>
      <c r="N216" s="548"/>
      <c r="O216" s="119"/>
      <c r="P216" s="119"/>
      <c r="Q216" s="119"/>
      <c r="R216" s="119"/>
      <c r="S216" s="119"/>
      <c r="T216" s="119"/>
      <c r="U216" s="119"/>
      <c r="V216" s="119"/>
      <c r="W216" s="119"/>
    </row>
    <row r="217" spans="2:23" ht="15" customHeight="1" x14ac:dyDescent="0.25">
      <c r="B217" s="615" t="s">
        <v>240</v>
      </c>
      <c r="C217" s="615"/>
      <c r="D217" s="615"/>
      <c r="E217" s="615"/>
      <c r="F217" s="615"/>
      <c r="G217" s="8"/>
      <c r="H217" s="8"/>
      <c r="I217" s="617">
        <f>IFERROR(IF(G202&lt;=G201,I200-(G203/(100*G201)*G202)*I200,I200-K203),0)</f>
        <v>101427.85714285713</v>
      </c>
      <c r="J217" s="617"/>
      <c r="K217" s="30"/>
      <c r="M217" s="548"/>
      <c r="N217" s="548"/>
      <c r="O217" s="119"/>
      <c r="P217" s="119"/>
      <c r="Q217" s="119"/>
      <c r="R217" s="119"/>
      <c r="S217" s="119"/>
      <c r="T217" s="119"/>
      <c r="U217" s="119"/>
      <c r="V217" s="119"/>
      <c r="W217" s="119"/>
    </row>
    <row r="218" spans="2:23" ht="15" customHeight="1" x14ac:dyDescent="0.25">
      <c r="B218" s="615" t="s">
        <v>418</v>
      </c>
      <c r="C218" s="615"/>
      <c r="D218" s="615"/>
      <c r="E218" s="615"/>
      <c r="F218" s="615"/>
      <c r="G218" s="8"/>
      <c r="H218" s="8"/>
      <c r="I218" s="617">
        <f>IFERROR(IF(G202&gt;=G201,I217,((((I217)-(I200-K203))*(((G201-G202)+1)/(2*(G201-G202))))+(I200-K203))),0)</f>
        <v>101427.85714285713</v>
      </c>
      <c r="J218" s="617"/>
      <c r="K218" s="30"/>
      <c r="M218" s="548"/>
      <c r="N218" s="548"/>
      <c r="O218" s="119"/>
      <c r="P218" s="119"/>
      <c r="Q218" s="119"/>
      <c r="R218" s="119"/>
      <c r="S218" s="119"/>
      <c r="T218" s="119"/>
      <c r="U218" s="119"/>
      <c r="V218" s="119"/>
      <c r="W218" s="119"/>
    </row>
    <row r="219" spans="2:23" ht="15" customHeight="1" x14ac:dyDescent="0.25">
      <c r="B219" s="618" t="s">
        <v>419</v>
      </c>
      <c r="C219" s="618"/>
      <c r="D219" s="618"/>
      <c r="E219" s="618"/>
      <c r="F219" s="618"/>
      <c r="G219" s="147"/>
      <c r="H219" s="147"/>
      <c r="I219" s="619">
        <f>G216*I218/12/100</f>
        <v>1162.1941964285711</v>
      </c>
      <c r="J219" s="619"/>
      <c r="K219" s="148">
        <f>I219</f>
        <v>1162.1941964285711</v>
      </c>
      <c r="M219" s="548"/>
      <c r="N219" s="548"/>
      <c r="O219" s="119"/>
      <c r="P219" s="119"/>
      <c r="Q219" s="119"/>
      <c r="R219" s="119"/>
      <c r="S219" s="119"/>
      <c r="T219" s="119"/>
      <c r="U219" s="119"/>
      <c r="V219" s="119"/>
      <c r="W219" s="119"/>
    </row>
    <row r="220" spans="2:23" ht="15" customHeight="1" x14ac:dyDescent="0.25">
      <c r="B220" s="637" t="s">
        <v>467</v>
      </c>
      <c r="C220" s="637"/>
      <c r="D220" s="637"/>
      <c r="E220" s="637"/>
      <c r="F220" s="637"/>
      <c r="G220" s="125">
        <f>G205</f>
        <v>3</v>
      </c>
      <c r="H220" s="125" t="s">
        <v>229</v>
      </c>
      <c r="I220" s="621">
        <f>I205</f>
        <v>143182.32999999999</v>
      </c>
      <c r="J220" s="621"/>
      <c r="K220" s="224">
        <f>I220*G220</f>
        <v>429546.99</v>
      </c>
      <c r="M220" s="548"/>
      <c r="N220" s="548"/>
      <c r="O220" s="119"/>
      <c r="P220" s="119"/>
      <c r="Q220" s="119"/>
      <c r="R220" s="119"/>
      <c r="S220" s="119"/>
      <c r="T220" s="119"/>
      <c r="U220" s="119"/>
      <c r="V220" s="119"/>
      <c r="W220" s="119"/>
    </row>
    <row r="221" spans="2:23" ht="15" customHeight="1" x14ac:dyDescent="0.25">
      <c r="B221" s="615" t="s">
        <v>239</v>
      </c>
      <c r="C221" s="615"/>
      <c r="D221" s="615"/>
      <c r="E221" s="615"/>
      <c r="F221" s="615"/>
      <c r="G221" s="556">
        <v>13.75</v>
      </c>
      <c r="H221" s="8" t="s">
        <v>89</v>
      </c>
      <c r="I221" s="616"/>
      <c r="J221" s="616"/>
      <c r="K221" s="30"/>
      <c r="M221" s="548"/>
      <c r="N221" s="548"/>
      <c r="O221" s="119"/>
      <c r="P221" s="119"/>
      <c r="Q221" s="119"/>
      <c r="R221" s="119"/>
      <c r="S221" s="119"/>
      <c r="T221" s="119"/>
      <c r="U221" s="119"/>
      <c r="V221" s="119"/>
      <c r="W221" s="119"/>
    </row>
    <row r="222" spans="2:23" ht="15" customHeight="1" x14ac:dyDescent="0.25">
      <c r="B222" s="615" t="s">
        <v>240</v>
      </c>
      <c r="C222" s="615"/>
      <c r="D222" s="615"/>
      <c r="E222" s="615"/>
      <c r="F222" s="615"/>
      <c r="G222" s="8"/>
      <c r="H222" s="8"/>
      <c r="I222" s="617">
        <f>IFERROR(IF(G207&lt;=G206,I205-(G208/(100*G206)*G207)*I205,I205-K208),0)</f>
        <v>45000.160857142851</v>
      </c>
      <c r="J222" s="617"/>
      <c r="K222" s="30"/>
      <c r="M222" s="548"/>
      <c r="N222" s="548"/>
      <c r="O222" s="119"/>
      <c r="P222" s="119"/>
      <c r="Q222" s="119"/>
      <c r="R222" s="119"/>
      <c r="S222" s="119"/>
      <c r="T222" s="119"/>
      <c r="U222" s="119"/>
      <c r="V222" s="119"/>
      <c r="W222" s="119"/>
    </row>
    <row r="223" spans="2:23" ht="15" customHeight="1" x14ac:dyDescent="0.25">
      <c r="B223" s="615" t="s">
        <v>421</v>
      </c>
      <c r="C223" s="615"/>
      <c r="D223" s="615"/>
      <c r="E223" s="615"/>
      <c r="F223" s="615"/>
      <c r="G223" s="8"/>
      <c r="H223" s="8"/>
      <c r="I223" s="617">
        <f>IFERROR(IF(G207&gt;=G206,I222,((((I222)-(I205-K208))*(((G206-G207)+1)/(2*(G206-G207))))+(I205-K208))),0)</f>
        <v>45000.160857142851</v>
      </c>
      <c r="J223" s="617"/>
      <c r="K223" s="30"/>
      <c r="M223" s="548"/>
      <c r="N223" s="548"/>
      <c r="O223" s="119"/>
      <c r="P223" s="119"/>
      <c r="Q223" s="119"/>
      <c r="R223" s="119"/>
      <c r="S223" s="119"/>
      <c r="T223" s="119"/>
      <c r="U223" s="119"/>
      <c r="V223" s="119"/>
      <c r="W223" s="119"/>
    </row>
    <row r="224" spans="2:23" ht="15" customHeight="1" x14ac:dyDescent="0.25">
      <c r="B224" s="618" t="s">
        <v>422</v>
      </c>
      <c r="C224" s="618"/>
      <c r="D224" s="618"/>
      <c r="E224" s="618"/>
      <c r="F224" s="618"/>
      <c r="G224" s="147"/>
      <c r="H224" s="147"/>
      <c r="I224" s="619">
        <f>G221*I223/12/100</f>
        <v>515.6268431547619</v>
      </c>
      <c r="J224" s="619"/>
      <c r="K224" s="148">
        <f>I224</f>
        <v>515.6268431547619</v>
      </c>
      <c r="M224" s="548"/>
      <c r="N224" s="548"/>
      <c r="O224" s="119"/>
      <c r="P224" s="119"/>
      <c r="Q224" s="119"/>
      <c r="R224" s="119"/>
      <c r="S224" s="119"/>
      <c r="T224" s="119"/>
      <c r="U224" s="119"/>
      <c r="V224" s="119"/>
      <c r="W224" s="119"/>
    </row>
    <row r="225" spans="2:23" ht="15" customHeight="1" x14ac:dyDescent="0.25">
      <c r="B225" s="635" t="s">
        <v>423</v>
      </c>
      <c r="C225" s="635"/>
      <c r="D225" s="635"/>
      <c r="E225" s="635"/>
      <c r="F225" s="635"/>
      <c r="G225" s="180"/>
      <c r="H225" s="180"/>
      <c r="I225" s="636"/>
      <c r="J225" s="636"/>
      <c r="K225" s="227">
        <f>SUM(K219+K224)</f>
        <v>1677.821039583333</v>
      </c>
      <c r="M225" s="548"/>
      <c r="N225" s="548"/>
      <c r="O225" s="119"/>
      <c r="P225" s="119"/>
      <c r="Q225" s="119"/>
      <c r="R225" s="119"/>
      <c r="S225" s="119"/>
      <c r="T225" s="119"/>
      <c r="U225" s="119"/>
      <c r="V225" s="119"/>
      <c r="W225" s="119"/>
    </row>
    <row r="226" spans="2:23" ht="15" customHeight="1" x14ac:dyDescent="0.25">
      <c r="B226" s="612" t="s">
        <v>243</v>
      </c>
      <c r="C226" s="612"/>
      <c r="D226" s="612"/>
      <c r="E226" s="612"/>
      <c r="F226" s="612"/>
      <c r="G226" s="45">
        <f>G215</f>
        <v>3</v>
      </c>
      <c r="H226" s="45" t="s">
        <v>229</v>
      </c>
      <c r="I226" s="613">
        <f>K225</f>
        <v>1677.821039583333</v>
      </c>
      <c r="J226" s="613"/>
      <c r="K226" s="159">
        <f>I226*G226</f>
        <v>5033.463118749999</v>
      </c>
      <c r="M226" s="548"/>
      <c r="N226" s="548"/>
      <c r="O226" s="119"/>
      <c r="P226" s="119"/>
      <c r="Q226" s="119"/>
      <c r="R226" s="119"/>
      <c r="S226" s="119"/>
      <c r="T226" s="119"/>
      <c r="U226" s="119"/>
      <c r="V226" s="119"/>
      <c r="W226" s="119"/>
    </row>
    <row r="227" spans="2:23" ht="15" customHeight="1" x14ac:dyDescent="0.25">
      <c r="B227" s="644" t="s">
        <v>424</v>
      </c>
      <c r="C227" s="644"/>
      <c r="D227" s="644"/>
      <c r="E227" s="644"/>
      <c r="F227" s="644"/>
      <c r="G227" s="644"/>
      <c r="H227" s="644"/>
      <c r="I227" s="644"/>
      <c r="J227" s="644"/>
      <c r="K227" s="644"/>
      <c r="M227" s="548"/>
      <c r="N227" s="548"/>
      <c r="O227" s="119"/>
      <c r="P227" s="119"/>
      <c r="Q227" s="119"/>
      <c r="R227" s="119"/>
      <c r="S227" s="119"/>
      <c r="T227" s="119"/>
      <c r="U227" s="119"/>
      <c r="V227" s="119"/>
      <c r="W227" s="119"/>
    </row>
    <row r="228" spans="2:23" ht="29.25" customHeight="1" x14ac:dyDescent="0.25">
      <c r="B228" s="644"/>
      <c r="C228" s="644"/>
      <c r="D228" s="644"/>
      <c r="E228" s="644"/>
      <c r="F228" s="644"/>
      <c r="G228" s="644"/>
      <c r="H228" s="644"/>
      <c r="I228" s="644"/>
      <c r="J228" s="644"/>
      <c r="K228" s="644"/>
      <c r="M228" s="548"/>
      <c r="N228" s="548"/>
      <c r="O228" s="119"/>
      <c r="P228" s="119"/>
      <c r="Q228" s="119"/>
      <c r="R228" s="119"/>
      <c r="S228" s="119"/>
      <c r="T228" s="119"/>
      <c r="U228" s="119"/>
      <c r="V228" s="119"/>
      <c r="W228" s="119"/>
    </row>
    <row r="229" spans="2:23" ht="15.75" customHeight="1" x14ac:dyDescent="0.25">
      <c r="B229" s="338"/>
      <c r="C229" s="339"/>
      <c r="D229" s="339"/>
      <c r="E229" s="339"/>
      <c r="F229" s="339"/>
      <c r="G229" s="339"/>
      <c r="H229" s="339"/>
      <c r="I229" s="339"/>
      <c r="J229" s="339"/>
      <c r="K229" s="339"/>
      <c r="M229" s="548"/>
      <c r="N229" s="548"/>
      <c r="O229" s="119"/>
      <c r="P229" s="119"/>
      <c r="Q229" s="119"/>
      <c r="R229" s="119"/>
      <c r="S229" s="119"/>
      <c r="T229" s="119"/>
      <c r="U229" s="119"/>
      <c r="V229" s="119"/>
      <c r="W229" s="119"/>
    </row>
    <row r="230" spans="2:23" ht="15" customHeight="1" x14ac:dyDescent="0.25">
      <c r="B230" s="609" t="s">
        <v>613</v>
      </c>
      <c r="C230" s="609"/>
      <c r="D230" s="609"/>
      <c r="E230" s="609"/>
      <c r="F230" s="609"/>
      <c r="G230" s="609"/>
      <c r="H230" s="609"/>
      <c r="I230" s="609"/>
      <c r="J230" s="609"/>
      <c r="K230" s="609"/>
      <c r="L230" s="643"/>
      <c r="M230" s="548"/>
      <c r="N230" s="548"/>
      <c r="O230" s="119"/>
      <c r="P230" s="119"/>
      <c r="Q230" s="119"/>
      <c r="R230" s="119"/>
      <c r="S230" s="119"/>
      <c r="T230" s="119"/>
      <c r="U230" s="119"/>
      <c r="V230" s="119"/>
      <c r="W230" s="119"/>
    </row>
    <row r="231" spans="2:23" ht="15" customHeight="1" x14ac:dyDescent="0.25">
      <c r="B231" s="602" t="s">
        <v>174</v>
      </c>
      <c r="C231" s="602"/>
      <c r="D231" s="602"/>
      <c r="E231" s="602"/>
      <c r="F231" s="602"/>
      <c r="G231" s="61" t="s">
        <v>128</v>
      </c>
      <c r="H231" s="45" t="s">
        <v>129</v>
      </c>
      <c r="I231" s="602" t="s">
        <v>226</v>
      </c>
      <c r="J231" s="602"/>
      <c r="K231" s="45" t="s">
        <v>246</v>
      </c>
      <c r="L231" s="643"/>
      <c r="M231" s="548"/>
      <c r="N231" s="548"/>
      <c r="O231" s="119"/>
      <c r="P231" s="119"/>
      <c r="Q231" s="119"/>
      <c r="R231" s="119"/>
      <c r="S231" s="119"/>
      <c r="T231" s="119"/>
      <c r="U231" s="119"/>
      <c r="V231" s="119"/>
      <c r="W231" s="119"/>
    </row>
    <row r="232" spans="2:23" ht="15" customHeight="1" x14ac:dyDescent="0.25">
      <c r="B232" s="622" t="s">
        <v>426</v>
      </c>
      <c r="C232" s="622"/>
      <c r="D232" s="622"/>
      <c r="E232" s="622"/>
      <c r="F232" s="622"/>
      <c r="G232" s="8">
        <f>G226</f>
        <v>3</v>
      </c>
      <c r="H232" s="8" t="s">
        <v>229</v>
      </c>
      <c r="I232" s="617">
        <f>I200*0.01</f>
        <v>3227.25</v>
      </c>
      <c r="J232" s="617"/>
      <c r="K232" s="30">
        <f>(I232*G232)/12</f>
        <v>806.8125</v>
      </c>
      <c r="L232" s="643"/>
      <c r="M232" s="548"/>
      <c r="N232" s="548"/>
      <c r="O232" s="119"/>
      <c r="P232" s="119"/>
      <c r="Q232" s="119"/>
      <c r="R232" s="119"/>
      <c r="S232" s="119"/>
      <c r="T232" s="119"/>
      <c r="U232" s="119"/>
      <c r="V232" s="119"/>
      <c r="W232" s="119"/>
    </row>
    <row r="233" spans="2:23" ht="15" customHeight="1" x14ac:dyDescent="0.25">
      <c r="B233" s="622" t="s">
        <v>427</v>
      </c>
      <c r="C233" s="622"/>
      <c r="D233" s="622"/>
      <c r="E233" s="622"/>
      <c r="F233" s="622"/>
      <c r="G233" s="8">
        <f>G232</f>
        <v>3</v>
      </c>
      <c r="H233" s="8" t="s">
        <v>229</v>
      </c>
      <c r="I233" s="617">
        <v>109.27</v>
      </c>
      <c r="J233" s="617"/>
      <c r="K233" s="30">
        <f>(I233*G233)/12</f>
        <v>27.317499999999999</v>
      </c>
      <c r="L233" s="643"/>
      <c r="M233" s="548"/>
      <c r="N233" s="548"/>
      <c r="O233" s="119"/>
      <c r="P233" s="119"/>
      <c r="Q233" s="119"/>
      <c r="R233" s="119"/>
      <c r="S233" s="119"/>
      <c r="T233" s="119"/>
      <c r="U233" s="119"/>
      <c r="V233" s="119"/>
      <c r="W233" s="119"/>
    </row>
    <row r="234" spans="2:23" ht="15" customHeight="1" x14ac:dyDescent="0.25">
      <c r="B234" s="622" t="s">
        <v>428</v>
      </c>
      <c r="C234" s="622"/>
      <c r="D234" s="622"/>
      <c r="E234" s="622"/>
      <c r="F234" s="622"/>
      <c r="G234" s="8">
        <f>G233</f>
        <v>3</v>
      </c>
      <c r="H234" s="8" t="s">
        <v>229</v>
      </c>
      <c r="I234" s="617">
        <f>'10 - CUSTOS UN'!$J$255</f>
        <v>2750.0266666666666</v>
      </c>
      <c r="J234" s="617"/>
      <c r="K234" s="30">
        <f>(I234/12)*G234</f>
        <v>687.50666666666666</v>
      </c>
      <c r="L234" s="643"/>
      <c r="M234" s="548"/>
      <c r="N234" s="548"/>
      <c r="O234" s="119"/>
      <c r="P234" s="119"/>
      <c r="Q234" s="119"/>
      <c r="R234" s="119"/>
      <c r="S234" s="119"/>
      <c r="T234" s="119"/>
      <c r="U234" s="119"/>
      <c r="V234" s="119"/>
      <c r="W234" s="119"/>
    </row>
    <row r="235" spans="2:23" ht="15" customHeight="1" x14ac:dyDescent="0.25">
      <c r="B235" s="622" t="s">
        <v>429</v>
      </c>
      <c r="C235" s="622"/>
      <c r="D235" s="622"/>
      <c r="E235" s="622"/>
      <c r="F235" s="622"/>
      <c r="G235" s="8">
        <f>G234</f>
        <v>3</v>
      </c>
      <c r="H235" s="8" t="s">
        <v>229</v>
      </c>
      <c r="I235" s="617">
        <f>'10 - CUSTOS UN'!$J$233</f>
        <v>57.093333333333334</v>
      </c>
      <c r="J235" s="617"/>
      <c r="K235" s="30">
        <f>I235*G235</f>
        <v>171.28</v>
      </c>
      <c r="L235" s="643"/>
      <c r="M235" s="548"/>
      <c r="N235" s="548"/>
      <c r="O235" s="119"/>
      <c r="P235" s="119"/>
      <c r="Q235" s="119"/>
      <c r="R235" s="119"/>
      <c r="S235" s="119"/>
      <c r="T235" s="119"/>
      <c r="U235" s="119"/>
      <c r="V235" s="119"/>
      <c r="W235" s="119"/>
    </row>
    <row r="236" spans="2:23" ht="15" customHeight="1" x14ac:dyDescent="0.25">
      <c r="B236" s="624" t="s">
        <v>249</v>
      </c>
      <c r="C236" s="624"/>
      <c r="D236" s="624"/>
      <c r="E236" s="624"/>
      <c r="F236" s="624"/>
      <c r="G236" s="161">
        <f>G235</f>
        <v>3</v>
      </c>
      <c r="H236" s="161" t="s">
        <v>129</v>
      </c>
      <c r="I236" s="625">
        <f>SUM(K232:K235)/G236</f>
        <v>564.30555555555554</v>
      </c>
      <c r="J236" s="625"/>
      <c r="K236" s="150">
        <f>I236*G236</f>
        <v>1692.9166666666665</v>
      </c>
      <c r="M236" s="548"/>
      <c r="N236" s="548"/>
      <c r="O236" s="119"/>
      <c r="P236" s="119"/>
      <c r="Q236" s="119"/>
      <c r="R236" s="119"/>
      <c r="S236" s="119"/>
      <c r="T236" s="119"/>
      <c r="U236" s="119"/>
      <c r="V236" s="119"/>
      <c r="W236" s="119"/>
    </row>
    <row r="237" spans="2:23" ht="15" customHeight="1" x14ac:dyDescent="0.25">
      <c r="M237" s="548"/>
      <c r="N237" s="548"/>
      <c r="O237" s="119"/>
      <c r="P237" s="119"/>
      <c r="Q237" s="119"/>
      <c r="R237" s="119"/>
      <c r="S237" s="119"/>
      <c r="T237" s="119"/>
      <c r="U237" s="119"/>
      <c r="V237" s="119"/>
      <c r="W237" s="119"/>
    </row>
    <row r="238" spans="2:23" ht="15" customHeight="1" x14ac:dyDescent="0.25">
      <c r="B238" s="609" t="s">
        <v>614</v>
      </c>
      <c r="C238" s="609"/>
      <c r="D238" s="609"/>
      <c r="E238" s="609"/>
      <c r="F238" s="609"/>
      <c r="G238" s="609"/>
      <c r="H238" s="609"/>
      <c r="I238" s="609"/>
      <c r="J238" s="609"/>
      <c r="K238" s="609"/>
      <c r="M238" s="548"/>
      <c r="N238" s="548"/>
      <c r="O238" s="119"/>
      <c r="P238" s="119"/>
      <c r="Q238" s="119"/>
      <c r="R238" s="119"/>
      <c r="S238" s="119"/>
      <c r="T238" s="119"/>
      <c r="U238" s="119"/>
      <c r="V238" s="119"/>
      <c r="W238" s="119"/>
    </row>
    <row r="239" spans="2:23" ht="15" customHeight="1" x14ac:dyDescent="0.25">
      <c r="B239" s="605" t="s">
        <v>174</v>
      </c>
      <c r="C239" s="605"/>
      <c r="D239" s="605"/>
      <c r="E239" s="605"/>
      <c r="F239" s="605"/>
      <c r="G239" s="223" t="s">
        <v>128</v>
      </c>
      <c r="H239" s="138" t="s">
        <v>129</v>
      </c>
      <c r="I239" s="605" t="s">
        <v>226</v>
      </c>
      <c r="J239" s="605"/>
      <c r="K239" s="138" t="s">
        <v>209</v>
      </c>
      <c r="M239" s="548"/>
      <c r="N239" s="548"/>
      <c r="O239" s="119"/>
      <c r="P239" s="119"/>
      <c r="Q239" s="119"/>
      <c r="R239" s="119"/>
      <c r="S239" s="119"/>
      <c r="T239" s="119"/>
      <c r="U239" s="119"/>
      <c r="V239" s="119"/>
      <c r="W239" s="119"/>
    </row>
    <row r="240" spans="2:23" ht="15" customHeight="1" x14ac:dyDescent="0.25">
      <c r="B240" s="620" t="s">
        <v>252</v>
      </c>
      <c r="C240" s="620"/>
      <c r="D240" s="620"/>
      <c r="E240" s="620"/>
      <c r="F240" s="620"/>
      <c r="G240" s="557">
        <v>3867</v>
      </c>
      <c r="H240" s="8" t="s">
        <v>253</v>
      </c>
      <c r="I240" s="641"/>
      <c r="J240" s="641"/>
      <c r="K240" s="11"/>
      <c r="M240" s="548"/>
      <c r="N240" s="548"/>
      <c r="O240" s="119"/>
      <c r="P240" s="119"/>
      <c r="Q240" s="119"/>
      <c r="R240" s="119"/>
      <c r="S240" s="119"/>
      <c r="T240" s="119"/>
      <c r="U240" s="119"/>
      <c r="V240" s="119"/>
      <c r="W240" s="119"/>
    </row>
    <row r="241" spans="2:23" ht="15" customHeight="1" x14ac:dyDescent="0.25">
      <c r="B241" s="622" t="s">
        <v>431</v>
      </c>
      <c r="C241" s="622"/>
      <c r="D241" s="622"/>
      <c r="E241" s="622"/>
      <c r="F241" s="622"/>
      <c r="G241" s="8">
        <v>2</v>
      </c>
      <c r="H241" s="8" t="s">
        <v>432</v>
      </c>
      <c r="I241" s="642"/>
      <c r="J241" s="642"/>
      <c r="K241" s="176"/>
      <c r="M241" s="548"/>
      <c r="N241" s="548"/>
      <c r="O241" s="119"/>
      <c r="P241" s="119"/>
      <c r="Q241" s="119"/>
      <c r="R241" s="119"/>
      <c r="S241" s="119"/>
      <c r="T241" s="119"/>
      <c r="U241" s="119"/>
      <c r="V241" s="119"/>
      <c r="W241" s="119"/>
    </row>
    <row r="242" spans="2:23" ht="15.75" customHeight="1" x14ac:dyDescent="0.25">
      <c r="B242" s="622" t="s">
        <v>615</v>
      </c>
      <c r="C242" s="622"/>
      <c r="D242" s="622"/>
      <c r="E242" s="622"/>
      <c r="F242" s="622"/>
      <c r="G242" s="8">
        <v>1</v>
      </c>
      <c r="H242" s="8" t="s">
        <v>258</v>
      </c>
      <c r="I242" s="633">
        <v>7.24</v>
      </c>
      <c r="J242" s="633"/>
      <c r="K242" s="11"/>
      <c r="M242" s="548"/>
      <c r="N242" s="548"/>
      <c r="O242" s="119"/>
      <c r="P242" s="119"/>
      <c r="Q242" s="119"/>
      <c r="R242" s="119"/>
      <c r="S242" s="119"/>
      <c r="T242" s="119"/>
      <c r="U242" s="119"/>
      <c r="V242" s="119"/>
      <c r="W242" s="119"/>
    </row>
    <row r="243" spans="2:23" x14ac:dyDescent="0.25">
      <c r="B243" s="627" t="s">
        <v>434</v>
      </c>
      <c r="C243" s="627"/>
      <c r="D243" s="627"/>
      <c r="E243" s="627"/>
      <c r="F243" s="627"/>
      <c r="G243" s="228">
        <f>G240/G241</f>
        <v>1933.5</v>
      </c>
      <c r="H243" s="226" t="s">
        <v>435</v>
      </c>
      <c r="I243" s="619">
        <f>I242</f>
        <v>7.24</v>
      </c>
      <c r="J243" s="619"/>
      <c r="K243" s="148">
        <f>I243*G243</f>
        <v>13998.54</v>
      </c>
    </row>
    <row r="244" spans="2:23" x14ac:dyDescent="0.25">
      <c r="B244" s="624" t="s">
        <v>436</v>
      </c>
      <c r="C244" s="624"/>
      <c r="D244" s="624"/>
      <c r="E244" s="624"/>
      <c r="F244" s="624"/>
      <c r="G244" s="161">
        <v>3</v>
      </c>
      <c r="H244" s="161" t="s">
        <v>129</v>
      </c>
      <c r="I244" s="625">
        <f>K243</f>
        <v>13998.54</v>
      </c>
      <c r="J244" s="625"/>
      <c r="K244" s="150">
        <f>I244*G244</f>
        <v>41995.62</v>
      </c>
      <c r="M244" s="548"/>
      <c r="N244" s="548"/>
      <c r="O244" s="119"/>
      <c r="P244" s="119"/>
      <c r="Q244" s="119"/>
      <c r="R244" s="119"/>
      <c r="S244" s="119"/>
      <c r="T244" s="119"/>
      <c r="U244" s="119"/>
      <c r="V244" s="119"/>
      <c r="W244" s="119"/>
    </row>
    <row r="245" spans="2:23" ht="15" customHeight="1" x14ac:dyDescent="0.25">
      <c r="B245" s="640" t="s">
        <v>437</v>
      </c>
      <c r="C245" s="640"/>
      <c r="D245" s="640"/>
      <c r="E245" s="640"/>
      <c r="F245" s="640"/>
      <c r="G245" s="640"/>
      <c r="H245" s="640"/>
      <c r="I245" s="640"/>
      <c r="J245" s="640"/>
      <c r="K245" s="640"/>
      <c r="M245" s="548"/>
      <c r="N245" s="550"/>
      <c r="O245" s="36"/>
      <c r="P245" s="36"/>
      <c r="Q245" s="36"/>
      <c r="R245" s="119"/>
      <c r="S245" s="119"/>
      <c r="T245" s="119"/>
      <c r="U245" s="119"/>
      <c r="V245" s="119"/>
      <c r="W245" s="119"/>
    </row>
    <row r="246" spans="2:23" x14ac:dyDescent="0.25">
      <c r="B246" s="120"/>
      <c r="C246" s="120"/>
      <c r="D246" s="120"/>
      <c r="E246" s="120"/>
      <c r="F246" s="120"/>
      <c r="G246" s="1"/>
      <c r="H246" s="1"/>
      <c r="I246" s="124"/>
      <c r="J246" s="124"/>
      <c r="K246" s="129"/>
      <c r="M246" s="549"/>
      <c r="N246" s="549"/>
      <c r="O246" s="120"/>
      <c r="P246" s="120"/>
      <c r="Q246" s="120"/>
      <c r="R246" s="120"/>
      <c r="S246" s="120"/>
      <c r="T246" s="120"/>
      <c r="U246" s="120"/>
      <c r="V246" s="120"/>
      <c r="W246" s="120"/>
    </row>
    <row r="247" spans="2:23" x14ac:dyDescent="0.25">
      <c r="B247" s="609" t="s">
        <v>616</v>
      </c>
      <c r="C247" s="609"/>
      <c r="D247" s="609"/>
      <c r="E247" s="609"/>
      <c r="F247" s="609"/>
      <c r="G247" s="609"/>
      <c r="H247" s="609"/>
      <c r="I247" s="609"/>
      <c r="J247" s="609"/>
      <c r="K247" s="609"/>
    </row>
    <row r="248" spans="2:23" x14ac:dyDescent="0.25">
      <c r="B248" s="605" t="s">
        <v>174</v>
      </c>
      <c r="C248" s="605"/>
      <c r="D248" s="605"/>
      <c r="E248" s="605"/>
      <c r="F248" s="605"/>
      <c r="G248" s="223" t="s">
        <v>128</v>
      </c>
      <c r="H248" s="138" t="s">
        <v>129</v>
      </c>
      <c r="I248" s="605" t="s">
        <v>226</v>
      </c>
      <c r="J248" s="605"/>
      <c r="K248" s="138" t="s">
        <v>227</v>
      </c>
      <c r="T248" s="120"/>
      <c r="U248" s="120"/>
      <c r="V248" s="120"/>
      <c r="W248" s="120"/>
    </row>
    <row r="249" spans="2:23" x14ac:dyDescent="0.25">
      <c r="B249" s="620" t="s">
        <v>439</v>
      </c>
      <c r="C249" s="620"/>
      <c r="D249" s="620"/>
      <c r="E249" s="620"/>
      <c r="F249" s="620"/>
      <c r="G249" s="8">
        <v>2</v>
      </c>
      <c r="H249" s="8" t="s">
        <v>440</v>
      </c>
      <c r="I249" s="621">
        <f>'10 - CUSTOS UN'!$J$216</f>
        <v>20.973333333333333</v>
      </c>
      <c r="J249" s="621"/>
      <c r="K249" s="30">
        <f>I249*G249</f>
        <v>41.946666666666665</v>
      </c>
    </row>
    <row r="250" spans="2:23" x14ac:dyDescent="0.25">
      <c r="B250" s="630" t="s">
        <v>441</v>
      </c>
      <c r="C250" s="630"/>
      <c r="D250" s="630"/>
      <c r="E250" s="630"/>
      <c r="F250" s="630"/>
      <c r="G250" s="229">
        <f>G240</f>
        <v>3867</v>
      </c>
      <c r="H250" s="25" t="s">
        <v>253</v>
      </c>
      <c r="I250" s="631">
        <f>K249/1000</f>
        <v>4.1946666666666667E-2</v>
      </c>
      <c r="J250" s="631"/>
      <c r="K250" s="127">
        <f>I250*G250</f>
        <v>162.20776000000001</v>
      </c>
      <c r="M250" s="549"/>
      <c r="N250" s="549"/>
      <c r="O250" s="120"/>
      <c r="P250" s="120"/>
      <c r="Q250" s="120"/>
      <c r="R250" s="120"/>
      <c r="S250" s="120"/>
      <c r="T250" s="120"/>
      <c r="U250" s="120"/>
      <c r="V250" s="120"/>
      <c r="W250" s="120"/>
    </row>
    <row r="251" spans="2:23" x14ac:dyDescent="0.25">
      <c r="B251" s="622" t="s">
        <v>442</v>
      </c>
      <c r="C251" s="622"/>
      <c r="D251" s="622"/>
      <c r="E251" s="622"/>
      <c r="F251" s="622"/>
      <c r="G251" s="125">
        <v>0.5</v>
      </c>
      <c r="H251" s="8" t="s">
        <v>440</v>
      </c>
      <c r="I251" s="617">
        <f>'10 - CUSTOS UN'!$J$219</f>
        <v>34.336666666666666</v>
      </c>
      <c r="J251" s="617"/>
      <c r="K251" s="30">
        <f>G251*I251</f>
        <v>17.168333333333333</v>
      </c>
      <c r="M251" s="549"/>
      <c r="N251" s="549"/>
      <c r="O251" s="120"/>
      <c r="P251" s="120"/>
      <c r="Q251" s="120"/>
      <c r="R251" s="120"/>
      <c r="S251" s="120"/>
      <c r="T251" s="120"/>
      <c r="U251" s="120"/>
      <c r="V251" s="120"/>
      <c r="W251" s="120"/>
    </row>
    <row r="252" spans="2:23" x14ac:dyDescent="0.25">
      <c r="B252" s="630" t="s">
        <v>443</v>
      </c>
      <c r="C252" s="630"/>
      <c r="D252" s="630"/>
      <c r="E252" s="630"/>
      <c r="F252" s="630"/>
      <c r="G252" s="229">
        <f>G240</f>
        <v>3867</v>
      </c>
      <c r="H252" s="25" t="s">
        <v>253</v>
      </c>
      <c r="I252" s="631">
        <f>K251/1000</f>
        <v>1.7168333333333334E-2</v>
      </c>
      <c r="J252" s="631"/>
      <c r="K252" s="127">
        <f>I252*G252</f>
        <v>66.389944999999997</v>
      </c>
    </row>
    <row r="253" spans="2:23" x14ac:dyDescent="0.25">
      <c r="B253" s="622" t="s">
        <v>444</v>
      </c>
      <c r="C253" s="622"/>
      <c r="D253" s="622"/>
      <c r="E253" s="622"/>
      <c r="F253" s="622"/>
      <c r="G253" s="230">
        <f>I254/I253*1000</f>
        <v>8.6199465563313531</v>
      </c>
      <c r="H253" s="8" t="s">
        <v>440</v>
      </c>
      <c r="I253" s="617">
        <f>'10 - CUSTOS UN'!$J$225</f>
        <v>25.786666666666665</v>
      </c>
      <c r="J253" s="617"/>
      <c r="K253" s="30">
        <f>I253*G253</f>
        <v>222.27968853259782</v>
      </c>
      <c r="T253" s="120"/>
      <c r="U253" s="120"/>
      <c r="V253" s="120"/>
      <c r="W253" s="120"/>
    </row>
    <row r="254" spans="2:23" x14ac:dyDescent="0.25">
      <c r="B254" s="630" t="s">
        <v>445</v>
      </c>
      <c r="C254" s="630"/>
      <c r="D254" s="630"/>
      <c r="E254" s="630"/>
      <c r="F254" s="630"/>
      <c r="G254" s="229">
        <f>G240</f>
        <v>3867</v>
      </c>
      <c r="H254" s="25" t="s">
        <v>253</v>
      </c>
      <c r="I254" s="631">
        <f>K254/G254</f>
        <v>0.22227968853259777</v>
      </c>
      <c r="J254" s="631"/>
      <c r="K254" s="127">
        <f>200/6*I253</f>
        <v>859.55555555555554</v>
      </c>
    </row>
    <row r="255" spans="2:23" x14ac:dyDescent="0.25">
      <c r="B255" s="622" t="s">
        <v>446</v>
      </c>
      <c r="C255" s="622"/>
      <c r="D255" s="622"/>
      <c r="E255" s="622"/>
      <c r="F255" s="622"/>
      <c r="G255" s="8">
        <v>2</v>
      </c>
      <c r="H255" s="8" t="s">
        <v>447</v>
      </c>
      <c r="I255" s="617">
        <f>'10 - CUSTOS UN'!$J$228</f>
        <v>43.276666666666664</v>
      </c>
      <c r="J255" s="617"/>
      <c r="K255" s="30">
        <f>I255*G255</f>
        <v>86.553333333333327</v>
      </c>
      <c r="N255" s="549"/>
      <c r="O255" s="120"/>
      <c r="P255" s="120"/>
      <c r="Q255" s="120"/>
      <c r="R255" s="120"/>
      <c r="S255" s="120"/>
      <c r="T255" s="120"/>
      <c r="U255" s="120"/>
      <c r="V255" s="120"/>
      <c r="W255" s="120"/>
    </row>
    <row r="256" spans="2:23" x14ac:dyDescent="0.25">
      <c r="B256" s="627" t="s">
        <v>448</v>
      </c>
      <c r="C256" s="627"/>
      <c r="D256" s="627"/>
      <c r="E256" s="627"/>
      <c r="F256" s="627"/>
      <c r="G256" s="228">
        <f>G240</f>
        <v>3867</v>
      </c>
      <c r="H256" s="226" t="s">
        <v>253</v>
      </c>
      <c r="I256" s="619">
        <f>K255/1000</f>
        <v>8.6553333333333329E-2</v>
      </c>
      <c r="J256" s="619"/>
      <c r="K256" s="148">
        <f>I256*G256</f>
        <v>334.70173999999997</v>
      </c>
      <c r="N256" s="549"/>
      <c r="O256" s="120"/>
      <c r="P256" s="120"/>
      <c r="Q256" s="120"/>
      <c r="R256" s="120"/>
      <c r="S256" s="120"/>
      <c r="T256" s="120"/>
      <c r="U256" s="120"/>
      <c r="V256" s="120"/>
      <c r="W256" s="120"/>
    </row>
    <row r="257" spans="2:23" x14ac:dyDescent="0.25">
      <c r="B257" s="624" t="s">
        <v>449</v>
      </c>
      <c r="C257" s="624"/>
      <c r="D257" s="624"/>
      <c r="E257" s="624"/>
      <c r="F257" s="624"/>
      <c r="G257" s="231">
        <v>3</v>
      </c>
      <c r="H257" s="161" t="s">
        <v>129</v>
      </c>
      <c r="I257" s="625">
        <f>SUM(K250,K252,K254,K256)</f>
        <v>1422.8550005555555</v>
      </c>
      <c r="J257" s="625"/>
      <c r="K257" s="150">
        <f>I257*G257</f>
        <v>4268.5650016666668</v>
      </c>
      <c r="N257" s="549"/>
      <c r="O257" s="120"/>
      <c r="P257" s="120"/>
      <c r="Q257" s="120"/>
      <c r="R257" s="120"/>
      <c r="S257" s="120"/>
      <c r="T257" s="120"/>
      <c r="U257" s="120"/>
      <c r="V257" s="120"/>
      <c r="W257" s="120"/>
    </row>
    <row r="258" spans="2:23" x14ac:dyDescent="0.25">
      <c r="B258" s="119"/>
      <c r="C258" s="119"/>
      <c r="D258" s="119"/>
      <c r="E258" s="119"/>
      <c r="F258" s="119"/>
      <c r="G258" s="119"/>
      <c r="H258" s="119"/>
      <c r="I258" s="119"/>
      <c r="J258" s="119"/>
      <c r="K258" s="119"/>
      <c r="N258" s="549"/>
      <c r="O258" s="120"/>
      <c r="P258" s="120"/>
      <c r="Q258" s="120"/>
      <c r="R258" s="120"/>
      <c r="S258" s="120"/>
      <c r="T258" s="120"/>
      <c r="U258" s="120"/>
      <c r="V258" s="120"/>
      <c r="W258" s="120"/>
    </row>
    <row r="259" spans="2:23" x14ac:dyDescent="0.25">
      <c r="B259" s="609" t="s">
        <v>617</v>
      </c>
      <c r="C259" s="609"/>
      <c r="D259" s="609"/>
      <c r="E259" s="609"/>
      <c r="F259" s="609"/>
      <c r="G259" s="609"/>
      <c r="H259" s="609"/>
      <c r="I259" s="609"/>
      <c r="J259" s="609"/>
      <c r="K259" s="609"/>
      <c r="N259" s="549"/>
      <c r="O259" s="120"/>
      <c r="P259" s="120"/>
      <c r="Q259" s="120"/>
      <c r="R259" s="120"/>
      <c r="S259" s="120"/>
      <c r="T259" s="120"/>
      <c r="U259" s="120"/>
      <c r="V259" s="120"/>
      <c r="W259" s="120"/>
    </row>
    <row r="260" spans="2:23" x14ac:dyDescent="0.25">
      <c r="B260" s="605" t="s">
        <v>174</v>
      </c>
      <c r="C260" s="605"/>
      <c r="D260" s="605"/>
      <c r="E260" s="605"/>
      <c r="F260" s="605"/>
      <c r="G260" s="223" t="s">
        <v>128</v>
      </c>
      <c r="H260" s="138" t="s">
        <v>129</v>
      </c>
      <c r="I260" s="605" t="s">
        <v>226</v>
      </c>
      <c r="J260" s="605"/>
      <c r="K260" s="138" t="s">
        <v>227</v>
      </c>
      <c r="N260" s="549"/>
      <c r="O260" s="120"/>
      <c r="P260" s="120"/>
      <c r="Q260" s="120"/>
      <c r="R260" s="120"/>
      <c r="S260" s="120"/>
      <c r="T260" s="120"/>
      <c r="U260" s="120"/>
      <c r="V260" s="120"/>
      <c r="W260" s="120"/>
    </row>
    <row r="261" spans="2:23" x14ac:dyDescent="0.25">
      <c r="B261" s="620" t="s">
        <v>451</v>
      </c>
      <c r="C261" s="620"/>
      <c r="D261" s="620"/>
      <c r="E261" s="620"/>
      <c r="F261" s="620"/>
      <c r="G261" s="8">
        <v>6</v>
      </c>
      <c r="H261" s="8" t="s">
        <v>229</v>
      </c>
      <c r="I261" s="629">
        <f>'10 - CUSTOS UN'!$J$207</f>
        <v>2090.67</v>
      </c>
      <c r="J261" s="629"/>
      <c r="K261" s="47">
        <f>I261*G261</f>
        <v>12544.02</v>
      </c>
      <c r="M261" s="549"/>
      <c r="N261" s="549"/>
      <c r="O261" s="120"/>
      <c r="P261" s="120"/>
      <c r="Q261" s="120"/>
      <c r="R261" s="120"/>
      <c r="S261" s="120"/>
      <c r="T261" s="120"/>
      <c r="U261" s="120"/>
      <c r="V261" s="120"/>
      <c r="W261" s="120"/>
    </row>
    <row r="262" spans="2:23" x14ac:dyDescent="0.25">
      <c r="B262" s="622" t="s">
        <v>452</v>
      </c>
      <c r="C262" s="622"/>
      <c r="D262" s="622"/>
      <c r="E262" s="622"/>
      <c r="F262" s="622"/>
      <c r="G262" s="8">
        <v>3</v>
      </c>
      <c r="H262" s="8" t="s">
        <v>229</v>
      </c>
      <c r="I262" s="616"/>
      <c r="J262" s="616"/>
      <c r="K262" s="158"/>
    </row>
    <row r="263" spans="2:23" x14ac:dyDescent="0.25">
      <c r="B263" s="622" t="s">
        <v>453</v>
      </c>
      <c r="C263" s="622"/>
      <c r="D263" s="622"/>
      <c r="E263" s="622"/>
      <c r="F263" s="622"/>
      <c r="G263" s="8">
        <f>G262*G261</f>
        <v>18</v>
      </c>
      <c r="H263" s="8" t="s">
        <v>229</v>
      </c>
      <c r="I263" s="634">
        <f>'10 - CUSTOS UN'!$J$258</f>
        <v>550.83750000000009</v>
      </c>
      <c r="J263" s="634"/>
      <c r="K263" s="30">
        <f>I263*G263</f>
        <v>9915.0750000000007</v>
      </c>
      <c r="T263" s="120"/>
      <c r="U263" s="120"/>
      <c r="V263" s="120"/>
      <c r="W263" s="120"/>
    </row>
    <row r="264" spans="2:23" x14ac:dyDescent="0.25">
      <c r="B264" s="622" t="s">
        <v>272</v>
      </c>
      <c r="C264" s="622"/>
      <c r="D264" s="622"/>
      <c r="E264" s="622"/>
      <c r="F264" s="622"/>
      <c r="G264" s="10">
        <v>30000</v>
      </c>
      <c r="H264" s="8" t="s">
        <v>260</v>
      </c>
      <c r="I264" s="616"/>
      <c r="J264" s="616"/>
      <c r="K264" s="158"/>
    </row>
    <row r="265" spans="2:23" x14ac:dyDescent="0.25">
      <c r="B265" s="622" t="s">
        <v>454</v>
      </c>
      <c r="C265" s="622"/>
      <c r="D265" s="622"/>
      <c r="E265" s="622"/>
      <c r="F265" s="622"/>
      <c r="G265" s="10">
        <f>15/20*G264</f>
        <v>22500</v>
      </c>
      <c r="H265" s="8" t="s">
        <v>260</v>
      </c>
      <c r="I265" s="616"/>
      <c r="J265" s="616"/>
      <c r="K265" s="158"/>
      <c r="N265" s="549"/>
      <c r="O265" s="120"/>
      <c r="P265" s="120"/>
      <c r="Q265" s="120"/>
      <c r="R265" s="120"/>
      <c r="S265" s="120"/>
      <c r="T265" s="120"/>
      <c r="U265" s="120"/>
      <c r="V265" s="120"/>
      <c r="W265" s="120"/>
    </row>
    <row r="266" spans="2:23" x14ac:dyDescent="0.25">
      <c r="B266" s="622" t="s">
        <v>455</v>
      </c>
      <c r="C266" s="622"/>
      <c r="D266" s="622"/>
      <c r="E266" s="622"/>
      <c r="F266" s="622"/>
      <c r="G266" s="10">
        <f>G264+G265*G262</f>
        <v>97500</v>
      </c>
      <c r="H266" s="8" t="s">
        <v>274</v>
      </c>
      <c r="I266" s="617">
        <f>K263+K261</f>
        <v>22459.095000000001</v>
      </c>
      <c r="J266" s="617"/>
      <c r="K266" s="30">
        <f>I266/G266</f>
        <v>0.23034969230769231</v>
      </c>
      <c r="M266" s="549"/>
      <c r="N266" s="549"/>
      <c r="O266" s="120"/>
      <c r="P266" s="120"/>
      <c r="Q266" s="120"/>
      <c r="R266" s="120"/>
      <c r="S266" s="120"/>
      <c r="T266" s="120"/>
      <c r="U266" s="120"/>
      <c r="V266" s="120"/>
      <c r="W266" s="120"/>
    </row>
    <row r="267" spans="2:23" x14ac:dyDescent="0.25">
      <c r="B267" s="627" t="s">
        <v>275</v>
      </c>
      <c r="C267" s="627"/>
      <c r="D267" s="627"/>
      <c r="E267" s="627"/>
      <c r="F267" s="627"/>
      <c r="G267" s="228">
        <f>G240</f>
        <v>3867</v>
      </c>
      <c r="H267" s="226" t="s">
        <v>260</v>
      </c>
      <c r="I267" s="619">
        <f>K266</f>
        <v>0.23034969230769231</v>
      </c>
      <c r="J267" s="619"/>
      <c r="K267" s="148">
        <f>I267*G267</f>
        <v>890.76226015384611</v>
      </c>
      <c r="M267" s="549"/>
      <c r="N267" s="549"/>
      <c r="O267" s="120"/>
      <c r="P267" s="120"/>
      <c r="Q267" s="120"/>
      <c r="R267" s="120"/>
      <c r="S267" s="120"/>
      <c r="T267" s="120"/>
      <c r="U267" s="120"/>
      <c r="V267" s="120"/>
      <c r="W267" s="120"/>
    </row>
    <row r="268" spans="2:23" x14ac:dyDescent="0.25">
      <c r="B268" s="624" t="s">
        <v>276</v>
      </c>
      <c r="C268" s="624"/>
      <c r="D268" s="624"/>
      <c r="E268" s="624"/>
      <c r="F268" s="624"/>
      <c r="G268" s="161">
        <v>3</v>
      </c>
      <c r="H268" s="161" t="s">
        <v>129</v>
      </c>
      <c r="I268" s="625">
        <f>K267</f>
        <v>890.76226015384611</v>
      </c>
      <c r="J268" s="625"/>
      <c r="K268" s="150">
        <f>I268*G268</f>
        <v>2672.2867804615385</v>
      </c>
      <c r="M268" s="549"/>
      <c r="N268" s="549"/>
      <c r="O268" s="120"/>
      <c r="P268" s="120"/>
      <c r="Q268" s="120"/>
      <c r="R268" s="120"/>
      <c r="S268" s="120"/>
      <c r="T268" s="120"/>
      <c r="U268" s="120"/>
      <c r="V268" s="120"/>
      <c r="W268" s="120"/>
    </row>
    <row r="269" spans="2:23" x14ac:dyDescent="0.25">
      <c r="B269" s="120"/>
      <c r="C269" s="120"/>
      <c r="D269" s="120"/>
      <c r="E269" s="120"/>
      <c r="F269" s="120"/>
      <c r="G269" s="1"/>
      <c r="H269" s="1"/>
      <c r="I269" s="124"/>
      <c r="J269" s="124"/>
      <c r="K269" s="129"/>
      <c r="M269" s="548"/>
      <c r="N269" s="548"/>
      <c r="O269" s="119"/>
      <c r="P269" s="119"/>
      <c r="Q269" s="119"/>
      <c r="R269" s="119"/>
      <c r="S269" s="119"/>
      <c r="T269" s="119"/>
      <c r="U269" s="119"/>
      <c r="V269" s="119"/>
      <c r="W269" s="119"/>
    </row>
    <row r="270" spans="2:23" x14ac:dyDescent="0.25">
      <c r="B270" s="609" t="s">
        <v>618</v>
      </c>
      <c r="C270" s="609"/>
      <c r="D270" s="609"/>
      <c r="E270" s="609"/>
      <c r="F270" s="609"/>
      <c r="G270" s="609"/>
      <c r="H270" s="609"/>
      <c r="I270" s="609"/>
      <c r="J270" s="609"/>
      <c r="K270" s="609"/>
      <c r="M270" s="548"/>
      <c r="N270" s="550"/>
      <c r="O270" s="36"/>
      <c r="P270" s="36"/>
      <c r="Q270" s="36"/>
      <c r="R270" s="119"/>
      <c r="S270" s="119"/>
      <c r="T270" s="119"/>
      <c r="U270" s="119"/>
      <c r="V270" s="119"/>
      <c r="W270" s="119"/>
    </row>
    <row r="271" spans="2:23" x14ac:dyDescent="0.25">
      <c r="B271" s="605" t="s">
        <v>174</v>
      </c>
      <c r="C271" s="605"/>
      <c r="D271" s="605"/>
      <c r="E271" s="605"/>
      <c r="F271" s="605"/>
      <c r="G271" s="223" t="s">
        <v>128</v>
      </c>
      <c r="H271" s="138" t="s">
        <v>129</v>
      </c>
      <c r="I271" s="605" t="s">
        <v>226</v>
      </c>
      <c r="J271" s="605"/>
      <c r="K271" s="138" t="s">
        <v>209</v>
      </c>
      <c r="M271" s="549"/>
      <c r="N271" s="549"/>
      <c r="O271" s="120"/>
      <c r="P271" s="120"/>
      <c r="Q271" s="120"/>
      <c r="R271" s="120"/>
      <c r="S271" s="120"/>
      <c r="T271" s="120"/>
      <c r="U271" s="120"/>
      <c r="V271" s="120"/>
      <c r="W271" s="120"/>
    </row>
    <row r="272" spans="2:23" x14ac:dyDescent="0.25">
      <c r="B272" s="610" t="s">
        <v>457</v>
      </c>
      <c r="C272" s="610"/>
      <c r="D272" s="610"/>
      <c r="E272" s="610"/>
      <c r="F272" s="610"/>
      <c r="G272" s="588">
        <f>G240</f>
        <v>3867</v>
      </c>
      <c r="H272" s="233" t="s">
        <v>253</v>
      </c>
      <c r="I272" s="623">
        <v>1.18</v>
      </c>
      <c r="J272" s="623"/>
      <c r="K272" s="234">
        <f>I272*G272</f>
        <v>4563.0599999999995</v>
      </c>
    </row>
    <row r="273" spans="2:23" x14ac:dyDescent="0.25">
      <c r="B273" s="624" t="s">
        <v>458</v>
      </c>
      <c r="C273" s="624"/>
      <c r="D273" s="624"/>
      <c r="E273" s="624"/>
      <c r="F273" s="624"/>
      <c r="G273" s="161">
        <v>3</v>
      </c>
      <c r="H273" s="161" t="s">
        <v>229</v>
      </c>
      <c r="I273" s="625">
        <f>K272</f>
        <v>4563.0599999999995</v>
      </c>
      <c r="J273" s="625"/>
      <c r="K273" s="150">
        <f>I273*G273</f>
        <v>13689.179999999998</v>
      </c>
      <c r="M273" s="549"/>
      <c r="N273" s="549"/>
      <c r="O273" s="120"/>
      <c r="P273" s="120"/>
      <c r="Q273" s="120"/>
      <c r="R273" s="120"/>
      <c r="S273" s="120"/>
      <c r="T273" s="120"/>
      <c r="U273" s="120"/>
      <c r="V273" s="120"/>
      <c r="W273" s="120"/>
    </row>
    <row r="274" spans="2:23" ht="15" customHeight="1" x14ac:dyDescent="0.25">
      <c r="B274" s="639" t="s">
        <v>459</v>
      </c>
      <c r="C274" s="639"/>
      <c r="D274" s="639"/>
      <c r="E274" s="639"/>
      <c r="F274" s="639"/>
      <c r="G274" s="639"/>
      <c r="H274" s="639"/>
      <c r="I274" s="639"/>
      <c r="J274" s="639"/>
      <c r="K274" s="639"/>
    </row>
    <row r="275" spans="2:23" x14ac:dyDescent="0.25">
      <c r="B275" s="639"/>
      <c r="C275" s="639"/>
      <c r="D275" s="639"/>
      <c r="E275" s="639"/>
      <c r="F275" s="639"/>
      <c r="G275" s="639"/>
      <c r="H275" s="639"/>
      <c r="I275" s="639"/>
      <c r="J275" s="639"/>
      <c r="K275" s="639"/>
      <c r="M275" s="549"/>
      <c r="N275" s="549"/>
      <c r="O275" s="120"/>
      <c r="P275" s="120"/>
      <c r="Q275" s="120"/>
      <c r="R275" s="120"/>
      <c r="S275" s="120"/>
      <c r="T275" s="120"/>
      <c r="U275" s="120"/>
      <c r="V275" s="120"/>
      <c r="W275" s="120"/>
    </row>
    <row r="276" spans="2:23" x14ac:dyDescent="0.25">
      <c r="B276" s="639"/>
      <c r="C276" s="639"/>
      <c r="D276" s="639"/>
      <c r="E276" s="639"/>
      <c r="F276" s="639"/>
      <c r="G276" s="639"/>
      <c r="H276" s="639"/>
      <c r="I276" s="639"/>
      <c r="J276" s="639"/>
      <c r="K276" s="639"/>
      <c r="R276" s="120"/>
      <c r="T276" s="120"/>
      <c r="U276" s="120"/>
      <c r="V276" s="120"/>
      <c r="W276" s="120"/>
    </row>
    <row r="277" spans="2:23" x14ac:dyDescent="0.25">
      <c r="B277" s="639"/>
      <c r="C277" s="639"/>
      <c r="D277" s="639"/>
      <c r="E277" s="639"/>
      <c r="F277" s="639"/>
      <c r="G277" s="639"/>
      <c r="H277" s="639"/>
      <c r="I277" s="639"/>
      <c r="J277" s="639"/>
      <c r="K277" s="639"/>
      <c r="M277" s="549"/>
      <c r="N277" s="549"/>
      <c r="O277" s="120"/>
      <c r="P277" s="120"/>
      <c r="Q277" s="120"/>
      <c r="S277" s="120"/>
    </row>
    <row r="278" spans="2:23" x14ac:dyDescent="0.25">
      <c r="B278" s="119"/>
      <c r="C278" s="119"/>
      <c r="D278" s="119"/>
      <c r="E278" s="119"/>
      <c r="F278" s="119"/>
      <c r="G278" s="119"/>
      <c r="H278" s="119"/>
      <c r="I278" s="119"/>
      <c r="J278" s="119"/>
      <c r="K278" s="119"/>
    </row>
    <row r="279" spans="2:23" x14ac:dyDescent="0.25">
      <c r="B279" s="614" t="s">
        <v>473</v>
      </c>
      <c r="C279" s="614"/>
      <c r="D279" s="614"/>
      <c r="E279" s="614"/>
      <c r="F279" s="614"/>
      <c r="G279" s="614"/>
      <c r="H279" s="614"/>
      <c r="I279" s="614"/>
      <c r="J279" s="614"/>
      <c r="K279" s="182">
        <f>SUM(K272,K267,I257,I244,I236,K225,K210)</f>
        <v>27554.556522514958</v>
      </c>
      <c r="M279" s="549"/>
      <c r="N279" s="549"/>
      <c r="O279" s="120"/>
      <c r="P279" s="120"/>
      <c r="Q279" s="120"/>
      <c r="S279" s="120"/>
    </row>
    <row r="280" spans="2:23" x14ac:dyDescent="0.25">
      <c r="B280" s="614" t="s">
        <v>289</v>
      </c>
      <c r="C280" s="614"/>
      <c r="D280" s="614"/>
      <c r="E280" s="614"/>
      <c r="F280" s="614"/>
      <c r="G280" s="614"/>
      <c r="H280" s="614"/>
      <c r="I280" s="614"/>
      <c r="J280" s="614"/>
      <c r="K280" s="182">
        <f>SUM(K273,K268,K257,K244,K236,K226,K211)</f>
        <v>82663.669567544857</v>
      </c>
      <c r="M280" s="549"/>
      <c r="N280" s="549"/>
      <c r="O280" s="120"/>
      <c r="P280" s="120"/>
      <c r="Q280" s="120"/>
      <c r="R280" s="120"/>
      <c r="S280" s="120"/>
      <c r="T280" s="120"/>
      <c r="U280" s="120"/>
      <c r="V280" s="120"/>
      <c r="W280" s="120"/>
    </row>
    <row r="281" spans="2:23" x14ac:dyDescent="0.25">
      <c r="B281" s="119"/>
      <c r="C281" s="119"/>
      <c r="D281" s="119"/>
      <c r="E281" s="119"/>
      <c r="F281" s="119"/>
      <c r="G281" s="119"/>
      <c r="H281" s="119"/>
      <c r="I281" s="119"/>
      <c r="J281" s="119"/>
      <c r="K281" s="119"/>
    </row>
    <row r="282" spans="2:23" x14ac:dyDescent="0.25">
      <c r="B282" s="626" t="s">
        <v>619</v>
      </c>
      <c r="C282" s="626"/>
      <c r="D282" s="626"/>
      <c r="E282" s="626"/>
      <c r="F282" s="626"/>
      <c r="G282" s="626"/>
      <c r="H282" s="626"/>
      <c r="I282" s="626"/>
      <c r="J282" s="626"/>
      <c r="K282" s="626"/>
      <c r="M282" s="549"/>
      <c r="N282" s="549"/>
      <c r="O282" s="120"/>
      <c r="P282" s="120"/>
      <c r="Q282" s="120"/>
      <c r="R282" s="120"/>
      <c r="S282" s="120"/>
      <c r="T282" s="120"/>
      <c r="U282" s="120"/>
      <c r="V282" s="120"/>
      <c r="W282" s="120"/>
    </row>
    <row r="283" spans="2:23" x14ac:dyDescent="0.25"/>
    <row r="284" spans="2:23" x14ac:dyDescent="0.25">
      <c r="B284" s="609" t="s">
        <v>620</v>
      </c>
      <c r="C284" s="609"/>
      <c r="D284" s="609"/>
      <c r="E284" s="609"/>
      <c r="F284" s="609"/>
      <c r="G284" s="609"/>
      <c r="H284" s="609"/>
      <c r="I284" s="609"/>
      <c r="J284" s="609"/>
      <c r="K284" s="609"/>
      <c r="M284" s="549"/>
      <c r="N284" s="549"/>
      <c r="O284" s="120"/>
      <c r="P284" s="120"/>
      <c r="Q284" s="120"/>
      <c r="R284" s="120"/>
      <c r="S284" s="120"/>
      <c r="T284" s="120"/>
      <c r="U284" s="120"/>
      <c r="V284" s="120"/>
      <c r="W284" s="120"/>
    </row>
    <row r="285" spans="2:23" x14ac:dyDescent="0.25">
      <c r="B285" s="605" t="s">
        <v>174</v>
      </c>
      <c r="C285" s="605"/>
      <c r="D285" s="605"/>
      <c r="E285" s="605"/>
      <c r="F285" s="605"/>
      <c r="G285" s="223" t="s">
        <v>128</v>
      </c>
      <c r="H285" s="138" t="s">
        <v>129</v>
      </c>
      <c r="I285" s="605" t="s">
        <v>226</v>
      </c>
      <c r="J285" s="605"/>
      <c r="K285" s="138" t="s">
        <v>227</v>
      </c>
      <c r="R285" s="120"/>
      <c r="T285" s="120"/>
      <c r="U285" s="120"/>
      <c r="V285" s="120"/>
      <c r="W285" s="120"/>
    </row>
    <row r="286" spans="2:23" x14ac:dyDescent="0.25">
      <c r="B286" s="620" t="s">
        <v>621</v>
      </c>
      <c r="C286" s="620"/>
      <c r="D286" s="620"/>
      <c r="E286" s="620"/>
      <c r="F286" s="620"/>
      <c r="G286" s="555">
        <v>1</v>
      </c>
      <c r="H286" s="125" t="s">
        <v>129</v>
      </c>
      <c r="I286" s="621">
        <f>292725</f>
        <v>292725</v>
      </c>
      <c r="J286" s="621"/>
      <c r="K286" s="224">
        <f>I286*G286</f>
        <v>292725</v>
      </c>
      <c r="M286" s="549"/>
      <c r="N286" s="549"/>
      <c r="O286" s="120"/>
      <c r="P286" s="120"/>
      <c r="Q286" s="120"/>
      <c r="S286" s="120"/>
    </row>
    <row r="287" spans="2:23" x14ac:dyDescent="0.25">
      <c r="B287" s="622" t="s">
        <v>406</v>
      </c>
      <c r="C287" s="622"/>
      <c r="D287" s="622"/>
      <c r="E287" s="622"/>
      <c r="F287" s="622"/>
      <c r="G287" s="8">
        <v>7</v>
      </c>
      <c r="H287" s="8" t="s">
        <v>231</v>
      </c>
      <c r="I287" s="616"/>
      <c r="J287" s="616"/>
      <c r="K287" s="158"/>
    </row>
    <row r="288" spans="2:23" x14ac:dyDescent="0.25">
      <c r="B288" s="622" t="s">
        <v>232</v>
      </c>
      <c r="C288" s="622"/>
      <c r="D288" s="622"/>
      <c r="E288" s="622"/>
      <c r="F288" s="622"/>
      <c r="G288" s="8">
        <v>6</v>
      </c>
      <c r="H288" s="8" t="s">
        <v>231</v>
      </c>
      <c r="I288" s="616"/>
      <c r="J288" s="616"/>
      <c r="K288" s="158"/>
      <c r="M288" s="549"/>
      <c r="N288" s="549"/>
      <c r="O288" s="120"/>
      <c r="P288" s="120"/>
      <c r="Q288" s="120"/>
      <c r="S288" s="120"/>
    </row>
    <row r="289" spans="2:23" x14ac:dyDescent="0.25">
      <c r="B289" s="615" t="s">
        <v>407</v>
      </c>
      <c r="C289" s="615"/>
      <c r="D289" s="615"/>
      <c r="E289" s="615"/>
      <c r="F289" s="615"/>
      <c r="G289" s="225">
        <v>80</v>
      </c>
      <c r="H289" s="8" t="s">
        <v>89</v>
      </c>
      <c r="I289" s="617">
        <f>I286</f>
        <v>292725</v>
      </c>
      <c r="J289" s="617"/>
      <c r="K289" s="30">
        <f>I289*G289/100</f>
        <v>234180</v>
      </c>
      <c r="M289" s="549"/>
      <c r="N289" s="549"/>
      <c r="O289" s="120"/>
      <c r="P289" s="120"/>
      <c r="Q289" s="120"/>
      <c r="S289" s="120"/>
    </row>
    <row r="290" spans="2:23" x14ac:dyDescent="0.25">
      <c r="B290" s="618" t="s">
        <v>408</v>
      </c>
      <c r="C290" s="618"/>
      <c r="D290" s="618"/>
      <c r="E290" s="618"/>
      <c r="F290" s="618"/>
      <c r="G290" s="226">
        <f>G287*12</f>
        <v>84</v>
      </c>
      <c r="H290" s="226" t="s">
        <v>235</v>
      </c>
      <c r="I290" s="619">
        <f>K289</f>
        <v>234180</v>
      </c>
      <c r="J290" s="619"/>
      <c r="K290" s="148">
        <f>I290/G290</f>
        <v>2787.8571428571427</v>
      </c>
      <c r="M290" s="549"/>
      <c r="N290" s="549"/>
      <c r="O290" s="120"/>
      <c r="P290" s="120"/>
      <c r="Q290" s="120"/>
      <c r="S290" s="120"/>
    </row>
    <row r="291" spans="2:23" x14ac:dyDescent="0.25">
      <c r="B291" s="620" t="s">
        <v>622</v>
      </c>
      <c r="C291" s="620"/>
      <c r="D291" s="620"/>
      <c r="E291" s="620"/>
      <c r="F291" s="620"/>
      <c r="G291" s="125">
        <v>1</v>
      </c>
      <c r="H291" s="125" t="s">
        <v>129</v>
      </c>
      <c r="I291" s="621">
        <f>I286/550000*1228300</f>
        <v>653734.75909090915</v>
      </c>
      <c r="J291" s="621"/>
      <c r="K291" s="224">
        <f>I291*G291</f>
        <v>653734.75909090915</v>
      </c>
      <c r="M291" s="549"/>
      <c r="N291" s="549"/>
      <c r="O291" s="120"/>
      <c r="P291" s="120"/>
      <c r="Q291" s="120"/>
      <c r="S291" s="120"/>
    </row>
    <row r="292" spans="2:23" x14ac:dyDescent="0.25">
      <c r="B292" s="622" t="s">
        <v>623</v>
      </c>
      <c r="C292" s="622"/>
      <c r="D292" s="622"/>
      <c r="E292" s="622"/>
      <c r="F292" s="622"/>
      <c r="G292" s="8">
        <v>7</v>
      </c>
      <c r="H292" s="8" t="s">
        <v>231</v>
      </c>
      <c r="I292" s="616"/>
      <c r="J292" s="616"/>
      <c r="K292" s="158"/>
      <c r="M292" s="549"/>
      <c r="N292" s="549"/>
      <c r="O292" s="120"/>
      <c r="P292" s="120"/>
      <c r="Q292" s="120"/>
      <c r="S292" s="120"/>
    </row>
    <row r="293" spans="2:23" x14ac:dyDescent="0.25">
      <c r="B293" s="622" t="s">
        <v>624</v>
      </c>
      <c r="C293" s="622"/>
      <c r="D293" s="622"/>
      <c r="E293" s="622"/>
      <c r="F293" s="622"/>
      <c r="G293" s="8">
        <v>6</v>
      </c>
      <c r="H293" s="8" t="s">
        <v>231</v>
      </c>
      <c r="I293" s="616"/>
      <c r="J293" s="616"/>
      <c r="K293" s="158"/>
      <c r="M293" s="549"/>
      <c r="N293" s="549"/>
      <c r="O293" s="120"/>
      <c r="P293" s="120"/>
      <c r="Q293" s="120"/>
      <c r="S293" s="120"/>
    </row>
    <row r="294" spans="2:23" x14ac:dyDescent="0.25">
      <c r="B294" s="615" t="s">
        <v>625</v>
      </c>
      <c r="C294" s="615"/>
      <c r="D294" s="615"/>
      <c r="E294" s="615"/>
      <c r="F294" s="615"/>
      <c r="G294" s="225">
        <v>80</v>
      </c>
      <c r="H294" s="8" t="s">
        <v>89</v>
      </c>
      <c r="I294" s="617">
        <f>I291</f>
        <v>653734.75909090915</v>
      </c>
      <c r="J294" s="617"/>
      <c r="K294" s="30">
        <f>I294*G294/100</f>
        <v>522987.80727272737</v>
      </c>
      <c r="M294" s="549"/>
      <c r="N294" s="549"/>
      <c r="O294" s="120"/>
      <c r="P294" s="120"/>
      <c r="Q294" s="120"/>
      <c r="S294" s="120"/>
    </row>
    <row r="295" spans="2:23" x14ac:dyDescent="0.25">
      <c r="B295" s="618" t="s">
        <v>626</v>
      </c>
      <c r="C295" s="618"/>
      <c r="D295" s="618"/>
      <c r="E295" s="618"/>
      <c r="F295" s="618"/>
      <c r="G295" s="226">
        <f>G292*12</f>
        <v>84</v>
      </c>
      <c r="H295" s="226" t="s">
        <v>235</v>
      </c>
      <c r="I295" s="619">
        <f>K294</f>
        <v>522987.80727272737</v>
      </c>
      <c r="J295" s="619"/>
      <c r="K295" s="148">
        <f>I295/G295</f>
        <v>6226.0453246753259</v>
      </c>
      <c r="M295" s="549"/>
      <c r="N295" s="549"/>
      <c r="O295" s="120"/>
      <c r="P295" s="120"/>
      <c r="Q295" s="120"/>
      <c r="S295" s="120"/>
    </row>
    <row r="296" spans="2:23" x14ac:dyDescent="0.25">
      <c r="B296" s="635" t="s">
        <v>414</v>
      </c>
      <c r="C296" s="635"/>
      <c r="D296" s="635"/>
      <c r="E296" s="635"/>
      <c r="F296" s="635"/>
      <c r="G296" s="180"/>
      <c r="H296" s="180"/>
      <c r="I296" s="636"/>
      <c r="J296" s="636"/>
      <c r="K296" s="227">
        <f>SUM(K290+K295)</f>
        <v>9013.902467532469</v>
      </c>
      <c r="M296" s="549"/>
      <c r="N296" s="549"/>
      <c r="O296" s="120"/>
      <c r="P296" s="120"/>
      <c r="Q296" s="120"/>
      <c r="S296" s="120"/>
    </row>
    <row r="297" spans="2:23" x14ac:dyDescent="0.25">
      <c r="B297" s="612" t="s">
        <v>415</v>
      </c>
      <c r="C297" s="612"/>
      <c r="D297" s="612"/>
      <c r="E297" s="612"/>
      <c r="F297" s="612"/>
      <c r="G297" s="45">
        <v>1</v>
      </c>
      <c r="H297" s="45" t="s">
        <v>229</v>
      </c>
      <c r="I297" s="613">
        <f>K296</f>
        <v>9013.902467532469</v>
      </c>
      <c r="J297" s="613"/>
      <c r="K297" s="159">
        <f>I297*G297</f>
        <v>9013.902467532469</v>
      </c>
      <c r="M297" s="549"/>
      <c r="N297" s="549"/>
      <c r="O297" s="120"/>
      <c r="P297" s="120"/>
      <c r="Q297" s="120"/>
      <c r="S297" s="120"/>
    </row>
    <row r="298" spans="2:23" x14ac:dyDescent="0.25">
      <c r="M298" s="549"/>
      <c r="N298" s="549"/>
      <c r="O298" s="120"/>
      <c r="P298" s="120"/>
      <c r="Q298" s="120"/>
      <c r="R298" s="120"/>
      <c r="S298" s="120"/>
      <c r="T298" s="120"/>
      <c r="U298" s="120"/>
      <c r="V298" s="120"/>
      <c r="W298" s="120"/>
    </row>
    <row r="299" spans="2:23" x14ac:dyDescent="0.25">
      <c r="B299" s="609" t="s">
        <v>627</v>
      </c>
      <c r="C299" s="609"/>
      <c r="D299" s="609"/>
      <c r="E299" s="609"/>
      <c r="F299" s="609"/>
      <c r="G299" s="609"/>
      <c r="H299" s="609"/>
      <c r="I299" s="609"/>
      <c r="J299" s="609"/>
      <c r="K299" s="609"/>
    </row>
    <row r="300" spans="2:23" x14ac:dyDescent="0.25">
      <c r="B300" s="605" t="s">
        <v>174</v>
      </c>
      <c r="C300" s="605"/>
      <c r="D300" s="605"/>
      <c r="E300" s="605"/>
      <c r="F300" s="605"/>
      <c r="G300" s="337" t="s">
        <v>128</v>
      </c>
      <c r="H300" s="138" t="s">
        <v>129</v>
      </c>
      <c r="I300" s="605" t="s">
        <v>226</v>
      </c>
      <c r="J300" s="605"/>
      <c r="K300" s="138" t="s">
        <v>227</v>
      </c>
      <c r="M300" s="549"/>
      <c r="N300" s="549"/>
      <c r="O300" s="120"/>
      <c r="P300" s="120"/>
      <c r="Q300" s="120"/>
      <c r="R300" s="120"/>
      <c r="S300" s="120"/>
      <c r="T300" s="120"/>
      <c r="U300" s="120"/>
      <c r="V300" s="120"/>
      <c r="W300" s="120"/>
    </row>
    <row r="301" spans="2:23" x14ac:dyDescent="0.25">
      <c r="B301" s="637" t="s">
        <v>628</v>
      </c>
      <c r="C301" s="637"/>
      <c r="D301" s="637"/>
      <c r="E301" s="637"/>
      <c r="F301" s="637"/>
      <c r="G301" s="125">
        <v>1</v>
      </c>
      <c r="H301" s="125" t="s">
        <v>229</v>
      </c>
      <c r="I301" s="638">
        <f>I286</f>
        <v>292725</v>
      </c>
      <c r="J301" s="638"/>
      <c r="K301" s="224">
        <f>I301*G301</f>
        <v>292725</v>
      </c>
    </row>
    <row r="302" spans="2:23" x14ac:dyDescent="0.25">
      <c r="B302" s="615" t="s">
        <v>239</v>
      </c>
      <c r="C302" s="615"/>
      <c r="D302" s="615"/>
      <c r="E302" s="615"/>
      <c r="F302" s="615"/>
      <c r="G302" s="556">
        <v>13.75</v>
      </c>
      <c r="H302" s="8" t="s">
        <v>89</v>
      </c>
      <c r="I302" s="616"/>
      <c r="J302" s="616"/>
      <c r="K302" s="30"/>
      <c r="M302" s="549"/>
      <c r="N302" s="549"/>
      <c r="O302" s="120"/>
      <c r="P302" s="120"/>
      <c r="Q302" s="120"/>
      <c r="R302" s="120"/>
      <c r="S302" s="120"/>
      <c r="T302" s="120"/>
      <c r="U302" s="120"/>
      <c r="V302" s="120"/>
      <c r="W302" s="120"/>
    </row>
    <row r="303" spans="2:23" ht="18" x14ac:dyDescent="0.25">
      <c r="B303" s="615" t="s">
        <v>240</v>
      </c>
      <c r="C303" s="615"/>
      <c r="D303" s="615"/>
      <c r="E303" s="615"/>
      <c r="F303" s="615"/>
      <c r="G303" s="558"/>
      <c r="H303" s="8"/>
      <c r="I303" s="617">
        <f>IFERROR(IF(G288&lt;=G287,I286-(G289/(100*G287)*G288)*I286,I286-K289),0)</f>
        <v>91999.28571428571</v>
      </c>
      <c r="J303" s="617"/>
      <c r="K303" s="30"/>
    </row>
    <row r="304" spans="2:23" x14ac:dyDescent="0.25">
      <c r="B304" s="615" t="s">
        <v>418</v>
      </c>
      <c r="C304" s="615"/>
      <c r="D304" s="615"/>
      <c r="E304" s="615"/>
      <c r="F304" s="615"/>
      <c r="G304" s="8"/>
      <c r="H304" s="8"/>
      <c r="I304" s="617">
        <f>IFERROR(IF(G288&gt;=G287,I303,((((I303)-(I286-K289))*(((G287-G288)+1)/(2*(G287-G288))))+(I286-K289))),0)</f>
        <v>91999.28571428571</v>
      </c>
      <c r="J304" s="617"/>
      <c r="K304" s="30"/>
      <c r="M304" s="549"/>
      <c r="N304" s="549"/>
      <c r="O304" s="120"/>
      <c r="P304" s="120"/>
      <c r="Q304" s="120"/>
      <c r="S304" s="120"/>
    </row>
    <row r="305" spans="2:30" x14ac:dyDescent="0.25">
      <c r="B305" s="618" t="s">
        <v>419</v>
      </c>
      <c r="C305" s="618"/>
      <c r="D305" s="618"/>
      <c r="E305" s="618"/>
      <c r="F305" s="618"/>
      <c r="G305" s="147"/>
      <c r="H305" s="147"/>
      <c r="I305" s="619">
        <f>G302*I304/12/100</f>
        <v>1054.1584821428569</v>
      </c>
      <c r="J305" s="619"/>
      <c r="K305" s="148">
        <f>I305</f>
        <v>1054.1584821428569</v>
      </c>
      <c r="M305" s="549"/>
      <c r="N305" s="549"/>
      <c r="O305" s="120"/>
      <c r="P305" s="120"/>
      <c r="Q305" s="120"/>
      <c r="R305" s="120"/>
      <c r="S305" s="120"/>
      <c r="T305" s="120"/>
      <c r="U305" s="120"/>
      <c r="V305" s="120"/>
      <c r="W305" s="120"/>
    </row>
    <row r="306" spans="2:30" x14ac:dyDescent="0.25">
      <c r="B306" s="637" t="s">
        <v>629</v>
      </c>
      <c r="C306" s="637"/>
      <c r="D306" s="637"/>
      <c r="E306" s="637"/>
      <c r="F306" s="637"/>
      <c r="G306" s="125">
        <v>1</v>
      </c>
      <c r="H306" s="125" t="s">
        <v>229</v>
      </c>
      <c r="I306" s="621">
        <f>I291</f>
        <v>653734.75909090915</v>
      </c>
      <c r="J306" s="621"/>
      <c r="K306" s="224">
        <f>I306*G306</f>
        <v>653734.75909090915</v>
      </c>
      <c r="M306" s="549"/>
      <c r="N306" s="549"/>
      <c r="O306" s="120"/>
      <c r="P306" s="120"/>
      <c r="Q306" s="120"/>
      <c r="R306" s="120"/>
      <c r="S306" s="120"/>
      <c r="T306" s="120"/>
      <c r="U306" s="120"/>
      <c r="V306" s="120"/>
      <c r="W306" s="120"/>
    </row>
    <row r="307" spans="2:30" x14ac:dyDescent="0.25">
      <c r="B307" s="615" t="s">
        <v>239</v>
      </c>
      <c r="C307" s="615"/>
      <c r="D307" s="615"/>
      <c r="E307" s="615"/>
      <c r="F307" s="615"/>
      <c r="G307" s="556">
        <v>13.75</v>
      </c>
      <c r="H307" s="8" t="s">
        <v>89</v>
      </c>
      <c r="I307" s="616"/>
      <c r="J307" s="616"/>
      <c r="K307" s="30"/>
      <c r="M307" s="548"/>
      <c r="N307" s="548"/>
      <c r="O307" s="119"/>
      <c r="P307" s="119"/>
      <c r="Q307" s="119"/>
      <c r="R307" s="119"/>
      <c r="S307" s="119"/>
      <c r="T307" s="119"/>
      <c r="U307" s="119"/>
      <c r="V307" s="119"/>
      <c r="W307" s="119"/>
    </row>
    <row r="308" spans="2:30" ht="18" x14ac:dyDescent="0.25">
      <c r="B308" s="615" t="s">
        <v>240</v>
      </c>
      <c r="C308" s="615"/>
      <c r="D308" s="615"/>
      <c r="E308" s="615"/>
      <c r="F308" s="615"/>
      <c r="G308" s="8"/>
      <c r="H308" s="8"/>
      <c r="I308" s="617">
        <f>IFERROR(IF(G293&lt;=G292,I291-(G294/(100*G292)*G293)*I291,I291-K294),0)</f>
        <v>205459.4957142857</v>
      </c>
      <c r="J308" s="617"/>
      <c r="K308" s="30"/>
      <c r="M308" s="548"/>
      <c r="N308" s="548"/>
      <c r="O308" s="119"/>
      <c r="P308" s="119"/>
      <c r="Q308" s="119"/>
      <c r="R308" s="119"/>
      <c r="S308" s="119"/>
      <c r="T308" s="119"/>
      <c r="U308" s="119"/>
      <c r="V308" s="119"/>
      <c r="W308" s="119"/>
    </row>
    <row r="309" spans="2:30" x14ac:dyDescent="0.25">
      <c r="B309" s="615" t="s">
        <v>630</v>
      </c>
      <c r="C309" s="615"/>
      <c r="D309" s="615"/>
      <c r="E309" s="615"/>
      <c r="F309" s="615"/>
      <c r="G309" s="8"/>
      <c r="H309" s="8"/>
      <c r="I309" s="617">
        <f>IFERROR(IF(G293&gt;=G292,I308,((((I308)-(I291-K294))*(((G292-G293)+1)/(2*(G292-G293))))+(I291-K294))),0)</f>
        <v>205459.4957142857</v>
      </c>
      <c r="J309" s="617"/>
      <c r="K309" s="30"/>
      <c r="M309" s="549"/>
      <c r="N309" s="549"/>
      <c r="O309" s="120"/>
      <c r="P309" s="120"/>
      <c r="Q309" s="120"/>
      <c r="R309" s="120"/>
      <c r="S309" s="120"/>
      <c r="T309" s="120"/>
      <c r="U309" s="120"/>
      <c r="V309" s="120"/>
      <c r="W309" s="120"/>
    </row>
    <row r="310" spans="2:30" x14ac:dyDescent="0.25">
      <c r="B310" s="618" t="s">
        <v>631</v>
      </c>
      <c r="C310" s="618"/>
      <c r="D310" s="618"/>
      <c r="E310" s="618"/>
      <c r="F310" s="618"/>
      <c r="G310" s="147"/>
      <c r="H310" s="147"/>
      <c r="I310" s="619">
        <f>G307*I309/12/100</f>
        <v>2354.223388392857</v>
      </c>
      <c r="J310" s="619"/>
      <c r="K310" s="148">
        <f>I310</f>
        <v>2354.223388392857</v>
      </c>
    </row>
    <row r="311" spans="2:30" x14ac:dyDescent="0.25">
      <c r="B311" s="635" t="s">
        <v>423</v>
      </c>
      <c r="C311" s="635"/>
      <c r="D311" s="635"/>
      <c r="E311" s="635"/>
      <c r="F311" s="635"/>
      <c r="G311" s="180"/>
      <c r="H311" s="180"/>
      <c r="I311" s="636"/>
      <c r="J311" s="636"/>
      <c r="K311" s="227">
        <f>SUM(K305+K310)</f>
        <v>3408.3818705357139</v>
      </c>
      <c r="M311" s="549"/>
      <c r="N311" s="549"/>
      <c r="O311" s="120"/>
      <c r="P311" s="120"/>
      <c r="Q311" s="120"/>
      <c r="R311" s="120"/>
      <c r="S311" s="120"/>
      <c r="T311" s="120"/>
      <c r="U311" s="120"/>
      <c r="V311" s="120"/>
      <c r="W311" s="120"/>
      <c r="AD311" s="14"/>
    </row>
    <row r="312" spans="2:30" x14ac:dyDescent="0.25">
      <c r="B312" s="612" t="s">
        <v>243</v>
      </c>
      <c r="C312" s="612"/>
      <c r="D312" s="612"/>
      <c r="E312" s="612"/>
      <c r="F312" s="612"/>
      <c r="G312" s="45">
        <v>1</v>
      </c>
      <c r="H312" s="45" t="s">
        <v>229</v>
      </c>
      <c r="I312" s="613">
        <f>K311</f>
        <v>3408.3818705357139</v>
      </c>
      <c r="J312" s="613"/>
      <c r="K312" s="159">
        <f>I312*G312</f>
        <v>3408.3818705357139</v>
      </c>
      <c r="AD312" s="14"/>
    </row>
    <row r="313" spans="2:30" x14ac:dyDescent="0.25">
      <c r="B313" s="131"/>
      <c r="C313" s="131"/>
      <c r="D313" s="131"/>
      <c r="E313" s="131"/>
      <c r="F313" s="131"/>
      <c r="G313" s="18"/>
      <c r="H313" s="18"/>
      <c r="I313" s="18"/>
      <c r="J313" s="18"/>
      <c r="K313" s="132"/>
      <c r="M313" s="549"/>
      <c r="N313" s="549"/>
      <c r="O313" s="120"/>
      <c r="P313" s="120"/>
      <c r="Q313" s="120"/>
      <c r="R313" s="120"/>
      <c r="S313" s="120"/>
      <c r="T313" s="120"/>
      <c r="U313" s="120"/>
      <c r="V313" s="120"/>
      <c r="W313" s="120"/>
      <c r="AD313" s="14"/>
    </row>
    <row r="314" spans="2:30" x14ac:dyDescent="0.25">
      <c r="B314" s="609" t="s">
        <v>632</v>
      </c>
      <c r="C314" s="609"/>
      <c r="D314" s="609"/>
      <c r="E314" s="609"/>
      <c r="F314" s="609"/>
      <c r="G314" s="609"/>
      <c r="H314" s="609"/>
      <c r="I314" s="609"/>
      <c r="J314" s="609"/>
      <c r="K314" s="609"/>
      <c r="L314" s="643"/>
      <c r="AD314" s="14"/>
    </row>
    <row r="315" spans="2:30" x14ac:dyDescent="0.25">
      <c r="B315" s="602" t="s">
        <v>174</v>
      </c>
      <c r="C315" s="602"/>
      <c r="D315" s="602"/>
      <c r="E315" s="602"/>
      <c r="F315" s="602"/>
      <c r="G315" s="61" t="s">
        <v>128</v>
      </c>
      <c r="H315" s="45" t="s">
        <v>129</v>
      </c>
      <c r="I315" s="602" t="s">
        <v>226</v>
      </c>
      <c r="J315" s="602"/>
      <c r="K315" s="45" t="s">
        <v>246</v>
      </c>
      <c r="L315" s="643"/>
      <c r="M315" s="549"/>
      <c r="N315" s="549"/>
      <c r="O315" s="120"/>
      <c r="P315" s="120"/>
      <c r="Q315" s="120"/>
      <c r="R315" s="120"/>
      <c r="S315" s="120"/>
      <c r="T315" s="120"/>
      <c r="U315" s="120"/>
      <c r="V315" s="120"/>
      <c r="W315" s="120"/>
      <c r="AD315" s="14"/>
    </row>
    <row r="316" spans="2:30" x14ac:dyDescent="0.25">
      <c r="B316" s="622" t="s">
        <v>426</v>
      </c>
      <c r="C316" s="622"/>
      <c r="D316" s="622"/>
      <c r="E316" s="622"/>
      <c r="F316" s="622"/>
      <c r="G316" s="8">
        <v>1</v>
      </c>
      <c r="H316" s="8" t="s">
        <v>229</v>
      </c>
      <c r="I316" s="617">
        <f>I286*0.01</f>
        <v>2927.25</v>
      </c>
      <c r="J316" s="617"/>
      <c r="K316" s="30">
        <f>(I316*G316)/12</f>
        <v>243.9375</v>
      </c>
      <c r="L316" s="643"/>
      <c r="R316" s="120"/>
      <c r="T316" s="120"/>
      <c r="U316" s="120"/>
      <c r="V316" s="120"/>
      <c r="W316" s="120"/>
      <c r="AD316" s="14"/>
    </row>
    <row r="317" spans="2:30" x14ac:dyDescent="0.25">
      <c r="B317" s="622" t="s">
        <v>427</v>
      </c>
      <c r="C317" s="622"/>
      <c r="D317" s="622"/>
      <c r="E317" s="622"/>
      <c r="F317" s="622"/>
      <c r="G317" s="8">
        <v>1</v>
      </c>
      <c r="H317" s="8" t="s">
        <v>229</v>
      </c>
      <c r="I317" s="617">
        <v>109.27</v>
      </c>
      <c r="J317" s="617"/>
      <c r="K317" s="30">
        <f>(I317*G317)/12</f>
        <v>9.105833333333333</v>
      </c>
      <c r="L317" s="643"/>
      <c r="M317" s="549"/>
      <c r="N317" s="549"/>
      <c r="O317" s="120"/>
      <c r="P317" s="120"/>
      <c r="Q317" s="120"/>
      <c r="R317" s="120"/>
      <c r="S317" s="120"/>
      <c r="T317" s="120"/>
      <c r="U317" s="120"/>
      <c r="V317" s="120"/>
      <c r="W317" s="120"/>
      <c r="AD317" s="14"/>
    </row>
    <row r="318" spans="2:30" x14ac:dyDescent="0.25">
      <c r="B318" s="622" t="s">
        <v>428</v>
      </c>
      <c r="C318" s="622"/>
      <c r="D318" s="622"/>
      <c r="E318" s="622"/>
      <c r="F318" s="622"/>
      <c r="G318" s="8">
        <v>1</v>
      </c>
      <c r="H318" s="8" t="s">
        <v>229</v>
      </c>
      <c r="I318" s="617">
        <f>'10 - CUSTOS UN'!$J$255</f>
        <v>2750.0266666666666</v>
      </c>
      <c r="J318" s="617"/>
      <c r="K318" s="30">
        <f>(I318/12)*G318</f>
        <v>229.16888888888889</v>
      </c>
      <c r="L318" s="643"/>
      <c r="AD318" s="14"/>
    </row>
    <row r="319" spans="2:30" x14ac:dyDescent="0.25">
      <c r="B319" s="622" t="s">
        <v>429</v>
      </c>
      <c r="C319" s="622"/>
      <c r="D319" s="622"/>
      <c r="E319" s="622"/>
      <c r="F319" s="622"/>
      <c r="G319" s="8">
        <v>1</v>
      </c>
      <c r="H319" s="8" t="s">
        <v>229</v>
      </c>
      <c r="I319" s="617">
        <f>'10 - CUSTOS UN'!$J$233</f>
        <v>57.093333333333334</v>
      </c>
      <c r="J319" s="617"/>
      <c r="K319" s="30">
        <f>I319*G319</f>
        <v>57.093333333333334</v>
      </c>
      <c r="L319" s="643"/>
      <c r="M319" s="549"/>
      <c r="N319" s="549"/>
      <c r="O319" s="120"/>
      <c r="P319" s="120"/>
      <c r="Q319" s="120"/>
      <c r="R319" s="120"/>
      <c r="S319" s="120"/>
      <c r="T319" s="120"/>
      <c r="U319" s="120"/>
      <c r="V319" s="120"/>
      <c r="W319" s="120"/>
      <c r="AD319" s="14"/>
    </row>
    <row r="320" spans="2:30" x14ac:dyDescent="0.25">
      <c r="B320" s="624" t="s">
        <v>249</v>
      </c>
      <c r="C320" s="624"/>
      <c r="D320" s="624"/>
      <c r="E320" s="624"/>
      <c r="F320" s="624"/>
      <c r="G320" s="161">
        <v>1</v>
      </c>
      <c r="H320" s="161" t="s">
        <v>129</v>
      </c>
      <c r="I320" s="625">
        <f>SUM(K316:K319)/G320</f>
        <v>539.30555555555554</v>
      </c>
      <c r="J320" s="625"/>
      <c r="K320" s="150">
        <f>I320*G320</f>
        <v>539.30555555555554</v>
      </c>
      <c r="L320" s="643"/>
      <c r="AD320" s="14"/>
    </row>
    <row r="321" spans="2:30" x14ac:dyDescent="0.25">
      <c r="M321" s="549"/>
      <c r="N321" s="549"/>
      <c r="O321" s="120"/>
      <c r="P321" s="120"/>
      <c r="Q321" s="120"/>
      <c r="R321" s="120"/>
      <c r="S321" s="120"/>
      <c r="T321" s="120"/>
      <c r="U321" s="120"/>
      <c r="V321" s="120"/>
      <c r="W321" s="120"/>
      <c r="AD321" s="14"/>
    </row>
    <row r="322" spans="2:30" x14ac:dyDescent="0.25">
      <c r="B322" s="609" t="s">
        <v>633</v>
      </c>
      <c r="C322" s="609"/>
      <c r="D322" s="609"/>
      <c r="E322" s="609"/>
      <c r="F322" s="609"/>
      <c r="G322" s="609"/>
      <c r="H322" s="609"/>
      <c r="I322" s="609"/>
      <c r="J322" s="609"/>
      <c r="K322" s="609"/>
      <c r="AD322" s="14"/>
    </row>
    <row r="323" spans="2:30" x14ac:dyDescent="0.25">
      <c r="B323" s="605" t="s">
        <v>174</v>
      </c>
      <c r="C323" s="605"/>
      <c r="D323" s="605"/>
      <c r="E323" s="605"/>
      <c r="F323" s="605"/>
      <c r="G323" s="223" t="s">
        <v>128</v>
      </c>
      <c r="H323" s="138" t="s">
        <v>129</v>
      </c>
      <c r="I323" s="605" t="s">
        <v>226</v>
      </c>
      <c r="J323" s="605"/>
      <c r="K323" s="138" t="s">
        <v>209</v>
      </c>
      <c r="M323" s="549"/>
      <c r="N323" s="549"/>
      <c r="O323" s="120"/>
      <c r="P323" s="120"/>
      <c r="Q323" s="120"/>
      <c r="R323" s="120"/>
      <c r="S323" s="120"/>
      <c r="T323" s="120"/>
      <c r="U323" s="120"/>
      <c r="V323" s="120"/>
      <c r="W323" s="120"/>
      <c r="AD323" s="14"/>
    </row>
    <row r="324" spans="2:30" x14ac:dyDescent="0.25">
      <c r="B324" s="620" t="s">
        <v>252</v>
      </c>
      <c r="C324" s="620"/>
      <c r="D324" s="620"/>
      <c r="E324" s="620"/>
      <c r="F324" s="620"/>
      <c r="G324" s="557">
        <v>1500</v>
      </c>
      <c r="H324" s="8" t="s">
        <v>253</v>
      </c>
      <c r="I324" s="621"/>
      <c r="J324" s="621"/>
      <c r="K324" s="11"/>
      <c r="R324" s="120"/>
      <c r="T324" s="120"/>
      <c r="U324" s="120"/>
      <c r="V324" s="120"/>
      <c r="W324" s="120"/>
    </row>
    <row r="325" spans="2:30" x14ac:dyDescent="0.25">
      <c r="B325" s="622" t="s">
        <v>431</v>
      </c>
      <c r="C325" s="622"/>
      <c r="D325" s="622"/>
      <c r="E325" s="622"/>
      <c r="F325" s="622"/>
      <c r="G325" s="8">
        <v>2</v>
      </c>
      <c r="H325" s="8" t="s">
        <v>432</v>
      </c>
      <c r="I325" s="631"/>
      <c r="J325" s="631"/>
      <c r="K325" s="176"/>
      <c r="M325" s="549"/>
      <c r="N325" s="549"/>
      <c r="O325" s="120"/>
      <c r="P325" s="120"/>
      <c r="Q325" s="120"/>
      <c r="S325" s="120"/>
    </row>
    <row r="326" spans="2:30" x14ac:dyDescent="0.25">
      <c r="B326" s="622" t="s">
        <v>433</v>
      </c>
      <c r="C326" s="622"/>
      <c r="D326" s="622"/>
      <c r="E326" s="622"/>
      <c r="F326" s="622"/>
      <c r="G326" s="8">
        <v>1</v>
      </c>
      <c r="H326" s="8" t="s">
        <v>258</v>
      </c>
      <c r="I326" s="633">
        <v>7.24</v>
      </c>
      <c r="J326" s="633"/>
      <c r="K326" s="11"/>
      <c r="M326" s="549"/>
      <c r="N326" s="549"/>
      <c r="O326" s="120"/>
      <c r="P326" s="120"/>
      <c r="Q326" s="120"/>
      <c r="S326" s="120"/>
    </row>
    <row r="327" spans="2:30" x14ac:dyDescent="0.25">
      <c r="B327" s="627" t="s">
        <v>434</v>
      </c>
      <c r="C327" s="627"/>
      <c r="D327" s="627"/>
      <c r="E327" s="627"/>
      <c r="F327" s="627"/>
      <c r="G327" s="228">
        <f>G324/G325</f>
        <v>750</v>
      </c>
      <c r="H327" s="226" t="s">
        <v>435</v>
      </c>
      <c r="I327" s="619">
        <f>I326</f>
        <v>7.24</v>
      </c>
      <c r="J327" s="619"/>
      <c r="K327" s="148">
        <f>I327*G327</f>
        <v>5430</v>
      </c>
      <c r="M327" s="549"/>
      <c r="N327" s="549"/>
      <c r="O327" s="120"/>
      <c r="P327" s="120"/>
      <c r="Q327" s="120"/>
      <c r="S327" s="120"/>
    </row>
    <row r="328" spans="2:30" x14ac:dyDescent="0.25">
      <c r="B328" s="624" t="s">
        <v>436</v>
      </c>
      <c r="C328" s="624"/>
      <c r="D328" s="624"/>
      <c r="E328" s="624"/>
      <c r="F328" s="624"/>
      <c r="G328" s="161">
        <v>1</v>
      </c>
      <c r="H328" s="161" t="s">
        <v>129</v>
      </c>
      <c r="I328" s="625">
        <f>K327</f>
        <v>5430</v>
      </c>
      <c r="J328" s="625"/>
      <c r="K328" s="150">
        <f>I328*G328</f>
        <v>5430</v>
      </c>
      <c r="M328" s="549"/>
      <c r="N328" s="549"/>
      <c r="O328" s="120"/>
      <c r="P328" s="120"/>
      <c r="Q328" s="120"/>
      <c r="S328" s="120"/>
    </row>
    <row r="329" spans="2:30" x14ac:dyDescent="0.25">
      <c r="B329" s="120"/>
      <c r="C329" s="120"/>
      <c r="D329" s="120"/>
      <c r="E329" s="120"/>
      <c r="F329" s="120"/>
      <c r="G329" s="1"/>
      <c r="H329" s="1"/>
      <c r="I329" s="124"/>
      <c r="J329" s="124"/>
      <c r="K329" s="129"/>
      <c r="M329" s="549"/>
      <c r="N329" s="549"/>
      <c r="O329" s="120"/>
      <c r="P329" s="120"/>
      <c r="Q329" s="120"/>
      <c r="S329" s="120"/>
    </row>
    <row r="330" spans="2:30" x14ac:dyDescent="0.25">
      <c r="B330" s="609" t="s">
        <v>634</v>
      </c>
      <c r="C330" s="609"/>
      <c r="D330" s="609"/>
      <c r="E330" s="609"/>
      <c r="F330" s="609"/>
      <c r="G330" s="609"/>
      <c r="H330" s="609"/>
      <c r="I330" s="609"/>
      <c r="J330" s="609"/>
      <c r="K330" s="609"/>
      <c r="M330" s="549"/>
      <c r="N330" s="549"/>
      <c r="O330" s="120"/>
      <c r="P330" s="120"/>
      <c r="Q330" s="120"/>
      <c r="S330" s="120"/>
    </row>
    <row r="331" spans="2:30" x14ac:dyDescent="0.25">
      <c r="B331" s="605" t="s">
        <v>174</v>
      </c>
      <c r="C331" s="605"/>
      <c r="D331" s="605"/>
      <c r="E331" s="605"/>
      <c r="F331" s="605"/>
      <c r="G331" s="223" t="s">
        <v>128</v>
      </c>
      <c r="H331" s="138" t="s">
        <v>129</v>
      </c>
      <c r="I331" s="605" t="s">
        <v>226</v>
      </c>
      <c r="J331" s="605"/>
      <c r="K331" s="138" t="s">
        <v>227</v>
      </c>
      <c r="M331" s="549"/>
      <c r="N331" s="549"/>
      <c r="O331" s="120"/>
      <c r="P331" s="120"/>
      <c r="Q331" s="120"/>
      <c r="S331" s="120"/>
    </row>
    <row r="332" spans="2:30" x14ac:dyDescent="0.25">
      <c r="B332" s="620" t="s">
        <v>439</v>
      </c>
      <c r="C332" s="620"/>
      <c r="D332" s="620"/>
      <c r="E332" s="620"/>
      <c r="F332" s="620"/>
      <c r="G332" s="8">
        <v>2</v>
      </c>
      <c r="H332" s="8" t="s">
        <v>440</v>
      </c>
      <c r="I332" s="621">
        <f>'10 - CUSTOS UN'!$J$216</f>
        <v>20.973333333333333</v>
      </c>
      <c r="J332" s="621"/>
      <c r="K332" s="30">
        <f>I332*G332</f>
        <v>41.946666666666665</v>
      </c>
      <c r="M332" s="549"/>
      <c r="N332" s="549"/>
      <c r="O332" s="120"/>
      <c r="P332" s="120"/>
      <c r="Q332" s="120"/>
      <c r="S332" s="120"/>
    </row>
    <row r="333" spans="2:30" x14ac:dyDescent="0.25">
      <c r="B333" s="630" t="s">
        <v>441</v>
      </c>
      <c r="C333" s="630"/>
      <c r="D333" s="630"/>
      <c r="E333" s="630"/>
      <c r="F333" s="630"/>
      <c r="G333" s="229">
        <f>G324</f>
        <v>1500</v>
      </c>
      <c r="H333" s="25" t="s">
        <v>253</v>
      </c>
      <c r="I333" s="631">
        <f>K332/1000</f>
        <v>4.1946666666666667E-2</v>
      </c>
      <c r="J333" s="631"/>
      <c r="K333" s="127">
        <f>I333*G333</f>
        <v>62.92</v>
      </c>
      <c r="M333" s="549"/>
      <c r="N333" s="549"/>
      <c r="O333" s="120"/>
      <c r="P333" s="120"/>
      <c r="Q333" s="120"/>
      <c r="R333" s="120"/>
      <c r="S333" s="120"/>
      <c r="T333" s="120"/>
      <c r="U333" s="120"/>
      <c r="V333" s="120"/>
      <c r="W333" s="120"/>
    </row>
    <row r="334" spans="2:30" x14ac:dyDescent="0.25">
      <c r="B334" s="622" t="s">
        <v>442</v>
      </c>
      <c r="C334" s="622"/>
      <c r="D334" s="622"/>
      <c r="E334" s="622"/>
      <c r="F334" s="622"/>
      <c r="G334" s="125">
        <v>0.5</v>
      </c>
      <c r="H334" s="8" t="s">
        <v>440</v>
      </c>
      <c r="I334" s="617">
        <f>'10 - CUSTOS UN'!$J$219</f>
        <v>34.336666666666666</v>
      </c>
      <c r="J334" s="617"/>
      <c r="K334" s="30">
        <f>G334*I334</f>
        <v>17.168333333333333</v>
      </c>
    </row>
    <row r="335" spans="2:30" x14ac:dyDescent="0.25">
      <c r="B335" s="630" t="s">
        <v>443</v>
      </c>
      <c r="C335" s="630"/>
      <c r="D335" s="630"/>
      <c r="E335" s="630"/>
      <c r="F335" s="630"/>
      <c r="G335" s="229">
        <f>G324</f>
        <v>1500</v>
      </c>
      <c r="H335" s="25" t="s">
        <v>253</v>
      </c>
      <c r="I335" s="631">
        <f>K334/1000</f>
        <v>1.7168333333333334E-2</v>
      </c>
      <c r="J335" s="631"/>
      <c r="K335" s="127">
        <f>I335*G335</f>
        <v>25.752500000000001</v>
      </c>
      <c r="M335" s="549"/>
      <c r="N335" s="549"/>
      <c r="O335" s="120"/>
      <c r="P335" s="120"/>
      <c r="Q335" s="120"/>
      <c r="R335" s="120"/>
      <c r="S335" s="120"/>
      <c r="T335" s="120"/>
      <c r="U335" s="120"/>
      <c r="V335" s="120"/>
      <c r="W335" s="120"/>
    </row>
    <row r="336" spans="2:30" x14ac:dyDescent="0.25">
      <c r="B336" s="622" t="s">
        <v>444</v>
      </c>
      <c r="C336" s="622"/>
      <c r="D336" s="622"/>
      <c r="E336" s="622"/>
      <c r="F336" s="622"/>
      <c r="G336" s="230">
        <f>I337/I336*1000</f>
        <v>22.222222222222221</v>
      </c>
      <c r="H336" s="8" t="s">
        <v>440</v>
      </c>
      <c r="I336" s="617">
        <f>'10 - CUSTOS UN'!$J$225</f>
        <v>25.786666666666665</v>
      </c>
      <c r="J336" s="617"/>
      <c r="K336" s="30">
        <f>I336*G336</f>
        <v>573.03703703703695</v>
      </c>
      <c r="M336" s="549"/>
      <c r="N336" s="549"/>
      <c r="O336" s="120"/>
      <c r="P336" s="120"/>
      <c r="Q336" s="120"/>
      <c r="R336" s="120"/>
      <c r="S336" s="120"/>
      <c r="T336" s="120"/>
      <c r="U336" s="120"/>
      <c r="V336" s="120"/>
      <c r="W336" s="120"/>
    </row>
    <row r="337" spans="2:23" x14ac:dyDescent="0.25">
      <c r="B337" s="630" t="s">
        <v>445</v>
      </c>
      <c r="C337" s="630"/>
      <c r="D337" s="630"/>
      <c r="E337" s="630"/>
      <c r="F337" s="630"/>
      <c r="G337" s="229">
        <f>G324</f>
        <v>1500</v>
      </c>
      <c r="H337" s="25" t="s">
        <v>253</v>
      </c>
      <c r="I337" s="631">
        <f>K337/G337</f>
        <v>0.57303703703703701</v>
      </c>
      <c r="J337" s="631"/>
      <c r="K337" s="127">
        <f>200/6*I336</f>
        <v>859.55555555555554</v>
      </c>
      <c r="R337" s="120"/>
      <c r="T337" s="120"/>
      <c r="U337" s="120"/>
      <c r="V337" s="120"/>
      <c r="W337" s="120"/>
    </row>
    <row r="338" spans="2:23" x14ac:dyDescent="0.25">
      <c r="B338" s="622" t="s">
        <v>446</v>
      </c>
      <c r="C338" s="622"/>
      <c r="D338" s="622"/>
      <c r="E338" s="622"/>
      <c r="F338" s="622"/>
      <c r="G338" s="8">
        <v>2</v>
      </c>
      <c r="H338" s="8" t="s">
        <v>447</v>
      </c>
      <c r="I338" s="617">
        <f>'10 - CUSTOS UN'!$J$228</f>
        <v>43.276666666666664</v>
      </c>
      <c r="J338" s="617"/>
      <c r="K338" s="30">
        <f>I338*G338</f>
        <v>86.553333333333327</v>
      </c>
      <c r="M338" s="549"/>
      <c r="N338" s="549"/>
      <c r="O338" s="120"/>
      <c r="P338" s="120"/>
      <c r="Q338" s="120"/>
      <c r="R338" s="120"/>
      <c r="S338" s="120"/>
      <c r="T338" s="120"/>
      <c r="U338" s="120"/>
      <c r="V338" s="120"/>
      <c r="W338" s="120"/>
    </row>
    <row r="339" spans="2:23" ht="15" customHeight="1" x14ac:dyDescent="0.25">
      <c r="B339" s="627" t="s">
        <v>448</v>
      </c>
      <c r="C339" s="627"/>
      <c r="D339" s="627"/>
      <c r="E339" s="627"/>
      <c r="F339" s="627"/>
      <c r="G339" s="228">
        <f>G324</f>
        <v>1500</v>
      </c>
      <c r="H339" s="226" t="s">
        <v>253</v>
      </c>
      <c r="I339" s="619">
        <f>K338/1000</f>
        <v>8.6553333333333329E-2</v>
      </c>
      <c r="J339" s="619"/>
      <c r="K339" s="148">
        <f>I339*G339</f>
        <v>129.82999999999998</v>
      </c>
    </row>
    <row r="340" spans="2:23" x14ac:dyDescent="0.25">
      <c r="B340" s="624" t="s">
        <v>449</v>
      </c>
      <c r="C340" s="624"/>
      <c r="D340" s="624"/>
      <c r="E340" s="624"/>
      <c r="F340" s="624"/>
      <c r="G340" s="231">
        <v>1</v>
      </c>
      <c r="H340" s="161" t="s">
        <v>129</v>
      </c>
      <c r="I340" s="625">
        <f>SUM(K333,K335,K337,K339)</f>
        <v>1078.0580555555555</v>
      </c>
      <c r="J340" s="625"/>
      <c r="K340" s="150">
        <f>I340*G340</f>
        <v>1078.0580555555555</v>
      </c>
      <c r="M340" s="548"/>
      <c r="N340" s="548"/>
      <c r="O340" s="119"/>
      <c r="P340" s="119"/>
      <c r="Q340" s="119"/>
      <c r="R340" s="119"/>
      <c r="S340" s="119"/>
      <c r="T340" s="119"/>
      <c r="U340" s="119"/>
      <c r="V340" s="119"/>
      <c r="W340" s="119"/>
    </row>
    <row r="341" spans="2:23" x14ac:dyDescent="0.25">
      <c r="B341" s="119"/>
      <c r="C341" s="119"/>
      <c r="D341" s="119"/>
      <c r="E341" s="119"/>
      <c r="F341" s="119"/>
      <c r="G341" s="119"/>
      <c r="H341" s="119"/>
      <c r="I341" s="119"/>
      <c r="J341" s="119"/>
      <c r="K341" s="119"/>
      <c r="M341" s="548"/>
      <c r="N341" s="548"/>
      <c r="O341" s="119"/>
      <c r="P341" s="119"/>
      <c r="Q341" s="119"/>
      <c r="R341" s="119"/>
      <c r="S341" s="119"/>
      <c r="T341" s="119"/>
      <c r="U341" s="119"/>
      <c r="V341" s="119"/>
      <c r="W341" s="119"/>
    </row>
    <row r="342" spans="2:23" x14ac:dyDescent="0.25">
      <c r="B342" s="609" t="s">
        <v>635</v>
      </c>
      <c r="C342" s="609"/>
      <c r="D342" s="609"/>
      <c r="E342" s="609"/>
      <c r="F342" s="609"/>
      <c r="G342" s="609"/>
      <c r="H342" s="609"/>
      <c r="I342" s="609"/>
      <c r="J342" s="609"/>
      <c r="K342" s="609"/>
      <c r="T342" s="237"/>
      <c r="U342" s="237"/>
    </row>
    <row r="343" spans="2:23" x14ac:dyDescent="0.25">
      <c r="B343" s="605" t="s">
        <v>174</v>
      </c>
      <c r="C343" s="605"/>
      <c r="D343" s="605"/>
      <c r="E343" s="605"/>
      <c r="F343" s="605"/>
      <c r="G343" s="223" t="s">
        <v>128</v>
      </c>
      <c r="H343" s="138" t="s">
        <v>129</v>
      </c>
      <c r="I343" s="605" t="s">
        <v>226</v>
      </c>
      <c r="J343" s="605"/>
      <c r="K343" s="138" t="s">
        <v>227</v>
      </c>
      <c r="T343" s="237"/>
      <c r="U343" s="237"/>
    </row>
    <row r="344" spans="2:23" x14ac:dyDescent="0.25">
      <c r="B344" s="620" t="s">
        <v>451</v>
      </c>
      <c r="C344" s="620"/>
      <c r="D344" s="620"/>
      <c r="E344" s="620"/>
      <c r="F344" s="620"/>
      <c r="G344" s="8">
        <v>6</v>
      </c>
      <c r="H344" s="8" t="s">
        <v>229</v>
      </c>
      <c r="I344" s="629">
        <f>'10 - CUSTOS UN'!$J$207</f>
        <v>2090.67</v>
      </c>
      <c r="J344" s="629"/>
      <c r="K344" s="47">
        <f>I344*G344</f>
        <v>12544.02</v>
      </c>
      <c r="T344" s="237"/>
      <c r="U344" s="237"/>
    </row>
    <row r="345" spans="2:23" x14ac:dyDescent="0.25">
      <c r="B345" s="622" t="s">
        <v>452</v>
      </c>
      <c r="C345" s="622"/>
      <c r="D345" s="622"/>
      <c r="E345" s="622"/>
      <c r="F345" s="622"/>
      <c r="G345" s="8">
        <v>3</v>
      </c>
      <c r="H345" s="8" t="s">
        <v>229</v>
      </c>
      <c r="I345" s="616"/>
      <c r="J345" s="616"/>
      <c r="K345" s="158"/>
      <c r="T345" s="237"/>
      <c r="U345" s="237"/>
    </row>
    <row r="346" spans="2:23" x14ac:dyDescent="0.25">
      <c r="B346" s="622" t="s">
        <v>453</v>
      </c>
      <c r="C346" s="622"/>
      <c r="D346" s="622"/>
      <c r="E346" s="622"/>
      <c r="F346" s="622"/>
      <c r="G346" s="8">
        <f>G345*G344</f>
        <v>18</v>
      </c>
      <c r="H346" s="8" t="s">
        <v>229</v>
      </c>
      <c r="I346" s="634">
        <f>'10 - CUSTOS UN'!$J$258</f>
        <v>550.83750000000009</v>
      </c>
      <c r="J346" s="634"/>
      <c r="K346" s="30">
        <f>I346*G346</f>
        <v>9915.0750000000007</v>
      </c>
      <c r="M346" s="549"/>
      <c r="N346" s="549"/>
      <c r="O346" s="120"/>
      <c r="P346" s="120"/>
      <c r="Q346" s="120"/>
      <c r="R346" s="120"/>
      <c r="S346" s="120"/>
      <c r="T346" s="120"/>
      <c r="U346" s="120"/>
      <c r="V346" s="120"/>
      <c r="W346" s="120"/>
    </row>
    <row r="347" spans="2:23" x14ac:dyDescent="0.25">
      <c r="B347" s="622" t="s">
        <v>272</v>
      </c>
      <c r="C347" s="622"/>
      <c r="D347" s="622"/>
      <c r="E347" s="622"/>
      <c r="F347" s="622"/>
      <c r="G347" s="10">
        <v>30000</v>
      </c>
      <c r="H347" s="8" t="s">
        <v>260</v>
      </c>
      <c r="I347" s="616"/>
      <c r="J347" s="616"/>
      <c r="K347" s="158"/>
      <c r="M347" s="549"/>
      <c r="N347" s="549"/>
      <c r="O347" s="120"/>
      <c r="P347" s="120"/>
      <c r="Q347" s="120"/>
      <c r="R347" s="120"/>
      <c r="S347" s="120"/>
      <c r="T347" s="120"/>
      <c r="U347" s="120"/>
      <c r="V347" s="120"/>
      <c r="W347" s="120"/>
    </row>
    <row r="348" spans="2:23" x14ac:dyDescent="0.25">
      <c r="B348" s="622" t="s">
        <v>454</v>
      </c>
      <c r="C348" s="622"/>
      <c r="D348" s="622"/>
      <c r="E348" s="622"/>
      <c r="F348" s="622"/>
      <c r="G348" s="10">
        <f>15/20*G347</f>
        <v>22500</v>
      </c>
      <c r="H348" s="8" t="s">
        <v>260</v>
      </c>
      <c r="I348" s="616"/>
      <c r="J348" s="616"/>
      <c r="K348" s="158"/>
    </row>
    <row r="349" spans="2:23" x14ac:dyDescent="0.25">
      <c r="B349" s="622" t="s">
        <v>455</v>
      </c>
      <c r="C349" s="622"/>
      <c r="D349" s="622"/>
      <c r="E349" s="622"/>
      <c r="F349" s="622"/>
      <c r="G349" s="10">
        <f>G347+G348*G345</f>
        <v>97500</v>
      </c>
      <c r="H349" s="8" t="s">
        <v>274</v>
      </c>
      <c r="I349" s="617">
        <f>K346+K344</f>
        <v>22459.095000000001</v>
      </c>
      <c r="J349" s="617"/>
      <c r="K349" s="30">
        <f>I349/G349</f>
        <v>0.23034969230769231</v>
      </c>
    </row>
    <row r="350" spans="2:23" x14ac:dyDescent="0.25">
      <c r="B350" s="627" t="s">
        <v>275</v>
      </c>
      <c r="C350" s="627"/>
      <c r="D350" s="627"/>
      <c r="E350" s="627"/>
      <c r="F350" s="627"/>
      <c r="G350" s="228">
        <f>G324</f>
        <v>1500</v>
      </c>
      <c r="H350" s="226" t="s">
        <v>260</v>
      </c>
      <c r="I350" s="619">
        <f>K349</f>
        <v>0.23034969230769231</v>
      </c>
      <c r="J350" s="619"/>
      <c r="K350" s="148">
        <f>I350*G350</f>
        <v>345.52453846153844</v>
      </c>
      <c r="M350" s="549"/>
      <c r="N350" s="549"/>
      <c r="O350" s="120"/>
      <c r="P350" s="120"/>
      <c r="Q350" s="120"/>
      <c r="R350" s="120"/>
      <c r="S350" s="120"/>
      <c r="T350" s="120"/>
      <c r="U350" s="120"/>
      <c r="V350" s="120"/>
      <c r="W350" s="120"/>
    </row>
    <row r="351" spans="2:23" x14ac:dyDescent="0.25">
      <c r="B351" s="624" t="s">
        <v>276</v>
      </c>
      <c r="C351" s="624"/>
      <c r="D351" s="624"/>
      <c r="E351" s="624"/>
      <c r="F351" s="624"/>
      <c r="G351" s="161">
        <v>1</v>
      </c>
      <c r="H351" s="161" t="s">
        <v>129</v>
      </c>
      <c r="I351" s="625">
        <f>K350</f>
        <v>345.52453846153844</v>
      </c>
      <c r="J351" s="625"/>
      <c r="K351" s="150">
        <f>I351*G351</f>
        <v>345.52453846153844</v>
      </c>
      <c r="M351" s="549"/>
      <c r="N351" s="549"/>
      <c r="O351" s="120"/>
      <c r="P351" s="120"/>
      <c r="Q351" s="120"/>
      <c r="R351" s="120"/>
      <c r="S351" s="120"/>
      <c r="T351" s="120"/>
      <c r="U351" s="120"/>
      <c r="V351" s="120"/>
      <c r="W351" s="120"/>
    </row>
    <row r="352" spans="2:23" x14ac:dyDescent="0.25">
      <c r="B352" s="120"/>
      <c r="C352" s="120"/>
      <c r="D352" s="120"/>
      <c r="E352" s="120"/>
      <c r="F352" s="120"/>
      <c r="G352" s="1"/>
      <c r="H352" s="1"/>
      <c r="I352" s="124"/>
      <c r="J352" s="124"/>
      <c r="K352" s="129"/>
      <c r="L352" s="551"/>
      <c r="M352" s="553"/>
      <c r="N352" s="553"/>
      <c r="O352" s="239"/>
      <c r="P352" s="120"/>
      <c r="Q352" s="120"/>
      <c r="R352" s="120"/>
      <c r="S352" s="120"/>
      <c r="T352" s="120"/>
      <c r="U352" s="120"/>
      <c r="V352" s="120"/>
      <c r="W352" s="120"/>
    </row>
    <row r="353" spans="2:23" x14ac:dyDescent="0.25">
      <c r="B353" s="609" t="s">
        <v>636</v>
      </c>
      <c r="C353" s="609"/>
      <c r="D353" s="609"/>
      <c r="E353" s="609"/>
      <c r="F353" s="609"/>
      <c r="G353" s="609"/>
      <c r="H353" s="609"/>
      <c r="I353" s="609"/>
      <c r="J353" s="609"/>
      <c r="K353" s="609"/>
      <c r="M353" s="549"/>
      <c r="N353" s="549"/>
      <c r="O353" s="120"/>
      <c r="P353" s="120"/>
      <c r="Q353" s="120"/>
      <c r="R353" s="120"/>
      <c r="S353" s="120"/>
      <c r="T353" s="120"/>
      <c r="U353" s="120"/>
      <c r="V353" s="120"/>
      <c r="W353" s="120"/>
    </row>
    <row r="354" spans="2:23" x14ac:dyDescent="0.25">
      <c r="B354" s="605" t="s">
        <v>174</v>
      </c>
      <c r="C354" s="605"/>
      <c r="D354" s="605"/>
      <c r="E354" s="605"/>
      <c r="F354" s="605"/>
      <c r="G354" s="223" t="s">
        <v>128</v>
      </c>
      <c r="H354" s="138" t="s">
        <v>129</v>
      </c>
      <c r="I354" s="605" t="s">
        <v>226</v>
      </c>
      <c r="J354" s="605"/>
      <c r="K354" s="138" t="s">
        <v>209</v>
      </c>
      <c r="M354" s="549"/>
      <c r="N354" s="549"/>
      <c r="O354" s="120"/>
      <c r="P354" s="120"/>
      <c r="Q354" s="120"/>
      <c r="R354" s="120"/>
      <c r="S354" s="120"/>
      <c r="T354" s="120"/>
      <c r="U354" s="120"/>
      <c r="V354" s="120"/>
      <c r="W354" s="120"/>
    </row>
    <row r="355" spans="2:23" x14ac:dyDescent="0.25">
      <c r="B355" s="610" t="s">
        <v>457</v>
      </c>
      <c r="C355" s="610"/>
      <c r="D355" s="610"/>
      <c r="E355" s="610"/>
      <c r="F355" s="610"/>
      <c r="G355" s="232">
        <f>G324</f>
        <v>1500</v>
      </c>
      <c r="H355" s="233" t="s">
        <v>253</v>
      </c>
      <c r="I355" s="623">
        <v>1.18</v>
      </c>
      <c r="J355" s="623"/>
      <c r="K355" s="234">
        <f>I355*G355</f>
        <v>1770</v>
      </c>
      <c r="M355" s="549"/>
      <c r="N355" s="549"/>
      <c r="O355" s="120"/>
      <c r="P355" s="120"/>
      <c r="Q355" s="120"/>
      <c r="R355" s="120"/>
      <c r="S355" s="120"/>
      <c r="T355" s="120"/>
      <c r="U355" s="120"/>
      <c r="V355" s="120"/>
      <c r="W355" s="120"/>
    </row>
    <row r="356" spans="2:23" x14ac:dyDescent="0.25">
      <c r="B356" s="624" t="s">
        <v>458</v>
      </c>
      <c r="C356" s="624"/>
      <c r="D356" s="624"/>
      <c r="E356" s="624"/>
      <c r="F356" s="624"/>
      <c r="G356" s="161">
        <v>1</v>
      </c>
      <c r="H356" s="161" t="s">
        <v>229</v>
      </c>
      <c r="I356" s="625">
        <f>K355</f>
        <v>1770</v>
      </c>
      <c r="J356" s="625"/>
      <c r="K356" s="150">
        <f>I356*G356</f>
        <v>1770</v>
      </c>
      <c r="M356" s="549"/>
      <c r="N356" s="549"/>
      <c r="O356" s="120"/>
      <c r="P356" s="120"/>
      <c r="Q356" s="120"/>
      <c r="R356" s="120"/>
      <c r="S356" s="120"/>
      <c r="T356" s="120"/>
      <c r="U356" s="120"/>
      <c r="V356" s="120"/>
      <c r="W356" s="120"/>
    </row>
    <row r="357" spans="2:23" x14ac:dyDescent="0.25">
      <c r="B357" s="119"/>
      <c r="C357" s="119"/>
      <c r="D357" s="119"/>
      <c r="E357" s="119"/>
      <c r="F357" s="119"/>
      <c r="G357" s="119"/>
      <c r="H357" s="119"/>
      <c r="I357" s="119"/>
      <c r="J357" s="119"/>
      <c r="K357" s="119"/>
      <c r="R357" s="120"/>
      <c r="T357" s="120"/>
      <c r="U357" s="120"/>
      <c r="V357" s="120"/>
      <c r="W357" s="120"/>
    </row>
    <row r="358" spans="2:23" x14ac:dyDescent="0.25">
      <c r="B358" s="614" t="s">
        <v>637</v>
      </c>
      <c r="C358" s="614"/>
      <c r="D358" s="614"/>
      <c r="E358" s="614"/>
      <c r="F358" s="614"/>
      <c r="G358" s="614"/>
      <c r="H358" s="614"/>
      <c r="I358" s="614"/>
      <c r="J358" s="614"/>
      <c r="K358" s="182">
        <f>SUM(I356,I351,I340,I328,I320,K311,K296)</f>
        <v>21585.172487640833</v>
      </c>
      <c r="M358" s="549"/>
      <c r="N358" s="549"/>
      <c r="O358" s="120"/>
      <c r="P358" s="120"/>
      <c r="Q358" s="120"/>
      <c r="S358" s="120"/>
    </row>
    <row r="359" spans="2:23" x14ac:dyDescent="0.25">
      <c r="B359" s="614" t="s">
        <v>289</v>
      </c>
      <c r="C359" s="614"/>
      <c r="D359" s="614"/>
      <c r="E359" s="614"/>
      <c r="F359" s="614"/>
      <c r="G359" s="614"/>
      <c r="H359" s="614"/>
      <c r="I359" s="614"/>
      <c r="J359" s="614"/>
      <c r="K359" s="182">
        <f>SUM(K356,K351,K340,K328,K320,K312,K297)</f>
        <v>21585.172487640833</v>
      </c>
      <c r="M359" s="549"/>
      <c r="N359" s="549"/>
      <c r="O359" s="120"/>
      <c r="P359" s="120"/>
      <c r="Q359" s="120"/>
      <c r="R359" s="120"/>
      <c r="S359" s="120"/>
      <c r="T359" s="120"/>
      <c r="U359" s="120"/>
      <c r="V359" s="120"/>
      <c r="W359" s="120"/>
    </row>
    <row r="360" spans="2:23" x14ac:dyDescent="0.25"/>
    <row r="361" spans="2:23" ht="15" customHeight="1" x14ac:dyDescent="0.25">
      <c r="B361" s="626" t="s">
        <v>638</v>
      </c>
      <c r="C361" s="626"/>
      <c r="D361" s="626"/>
      <c r="E361" s="626"/>
      <c r="F361" s="626"/>
      <c r="G361" s="626"/>
      <c r="H361" s="626"/>
      <c r="I361" s="626"/>
      <c r="J361" s="626"/>
      <c r="K361" s="626"/>
    </row>
    <row r="362" spans="2:23" x14ac:dyDescent="0.25"/>
    <row r="363" spans="2:23" x14ac:dyDescent="0.25">
      <c r="B363" s="609" t="s">
        <v>639</v>
      </c>
      <c r="C363" s="609"/>
      <c r="D363" s="609"/>
      <c r="E363" s="609"/>
      <c r="F363" s="609"/>
      <c r="G363" s="609"/>
      <c r="H363" s="609"/>
      <c r="I363" s="609"/>
      <c r="J363" s="609"/>
      <c r="K363" s="609"/>
    </row>
    <row r="364" spans="2:23" x14ac:dyDescent="0.25">
      <c r="B364" s="223" t="s">
        <v>174</v>
      </c>
      <c r="C364" s="235"/>
      <c r="D364" s="235"/>
      <c r="E364" s="235"/>
      <c r="F364" s="236"/>
      <c r="G364" s="223" t="s">
        <v>128</v>
      </c>
      <c r="H364" s="138" t="s">
        <v>129</v>
      </c>
      <c r="I364" s="605" t="s">
        <v>226</v>
      </c>
      <c r="J364" s="605"/>
      <c r="K364" s="138" t="s">
        <v>227</v>
      </c>
    </row>
    <row r="365" spans="2:23" x14ac:dyDescent="0.25">
      <c r="B365" s="620" t="s">
        <v>228</v>
      </c>
      <c r="C365" s="620"/>
      <c r="D365" s="620"/>
      <c r="E365" s="620"/>
      <c r="F365" s="620"/>
      <c r="G365" s="555">
        <v>3</v>
      </c>
      <c r="H365" s="125" t="s">
        <v>129</v>
      </c>
      <c r="I365" s="621">
        <v>53861</v>
      </c>
      <c r="J365" s="621"/>
      <c r="K365" s="224">
        <f>I365*G365</f>
        <v>161583</v>
      </c>
    </row>
    <row r="366" spans="2:23" x14ac:dyDescent="0.25">
      <c r="B366" s="622" t="s">
        <v>230</v>
      </c>
      <c r="C366" s="622"/>
      <c r="D366" s="622"/>
      <c r="E366" s="622"/>
      <c r="F366" s="622"/>
      <c r="G366" s="8">
        <v>7</v>
      </c>
      <c r="H366" s="8" t="s">
        <v>231</v>
      </c>
      <c r="I366" s="616"/>
      <c r="J366" s="616"/>
      <c r="K366" s="158"/>
    </row>
    <row r="367" spans="2:23" x14ac:dyDescent="0.25">
      <c r="B367" s="622" t="s">
        <v>232</v>
      </c>
      <c r="C367" s="622"/>
      <c r="D367" s="622"/>
      <c r="E367" s="622"/>
      <c r="F367" s="622"/>
      <c r="G367" s="8">
        <v>6</v>
      </c>
      <c r="H367" s="8" t="s">
        <v>231</v>
      </c>
      <c r="I367" s="616"/>
      <c r="J367" s="616"/>
      <c r="K367" s="158"/>
    </row>
    <row r="368" spans="2:23" x14ac:dyDescent="0.25">
      <c r="B368" s="615" t="s">
        <v>233</v>
      </c>
      <c r="C368" s="615"/>
      <c r="D368" s="615"/>
      <c r="E368" s="615"/>
      <c r="F368" s="615"/>
      <c r="G368" s="225">
        <v>80</v>
      </c>
      <c r="H368" s="8" t="s">
        <v>89</v>
      </c>
      <c r="I368" s="617">
        <f>I365</f>
        <v>53861</v>
      </c>
      <c r="J368" s="617"/>
      <c r="K368" s="30">
        <f>I368*G368/100</f>
        <v>43088.800000000003</v>
      </c>
    </row>
    <row r="369" spans="2:11" x14ac:dyDescent="0.25">
      <c r="B369" s="618" t="s">
        <v>234</v>
      </c>
      <c r="C369" s="618"/>
      <c r="D369" s="618"/>
      <c r="E369" s="618"/>
      <c r="F369" s="618"/>
      <c r="G369" s="226">
        <f>G366*12</f>
        <v>84</v>
      </c>
      <c r="H369" s="226" t="s">
        <v>235</v>
      </c>
      <c r="I369" s="619">
        <f>K368</f>
        <v>43088.800000000003</v>
      </c>
      <c r="J369" s="619"/>
      <c r="K369" s="148">
        <f>I369/G369</f>
        <v>512.96190476190475</v>
      </c>
    </row>
    <row r="370" spans="2:11" x14ac:dyDescent="0.25">
      <c r="B370" s="612" t="s">
        <v>415</v>
      </c>
      <c r="C370" s="612"/>
      <c r="D370" s="612"/>
      <c r="E370" s="612"/>
      <c r="F370" s="612"/>
      <c r="G370" s="45">
        <v>3</v>
      </c>
      <c r="H370" s="45" t="s">
        <v>229</v>
      </c>
      <c r="I370" s="613">
        <f>K369</f>
        <v>512.96190476190475</v>
      </c>
      <c r="J370" s="613"/>
      <c r="K370" s="159">
        <f>I370*G370</f>
        <v>1538.8857142857141</v>
      </c>
    </row>
    <row r="371" spans="2:11" x14ac:dyDescent="0.25"/>
    <row r="372" spans="2:11" x14ac:dyDescent="0.25">
      <c r="B372" s="609" t="s">
        <v>640</v>
      </c>
      <c r="C372" s="609"/>
      <c r="D372" s="609"/>
      <c r="E372" s="609"/>
      <c r="F372" s="609"/>
      <c r="G372" s="609"/>
      <c r="H372" s="609"/>
      <c r="I372" s="609"/>
      <c r="J372" s="609"/>
      <c r="K372" s="609"/>
    </row>
    <row r="373" spans="2:11" x14ac:dyDescent="0.25">
      <c r="B373" s="602" t="s">
        <v>174</v>
      </c>
      <c r="C373" s="602"/>
      <c r="D373" s="602"/>
      <c r="E373" s="602"/>
      <c r="F373" s="602"/>
      <c r="G373" s="61" t="s">
        <v>128</v>
      </c>
      <c r="H373" s="45" t="s">
        <v>129</v>
      </c>
      <c r="I373" s="602" t="s">
        <v>226</v>
      </c>
      <c r="J373" s="602"/>
      <c r="K373" s="45" t="s">
        <v>227</v>
      </c>
    </row>
    <row r="374" spans="2:11" x14ac:dyDescent="0.25">
      <c r="B374" s="615" t="s">
        <v>238</v>
      </c>
      <c r="C374" s="615"/>
      <c r="D374" s="615"/>
      <c r="E374" s="615"/>
      <c r="F374" s="615"/>
      <c r="G374" s="8">
        <v>3</v>
      </c>
      <c r="H374" s="8" t="s">
        <v>229</v>
      </c>
      <c r="I374" s="617">
        <f>I365</f>
        <v>53861</v>
      </c>
      <c r="J374" s="617"/>
      <c r="K374" s="30">
        <f>I374*G374</f>
        <v>161583</v>
      </c>
    </row>
    <row r="375" spans="2:11" x14ac:dyDescent="0.25">
      <c r="B375" s="615" t="s">
        <v>239</v>
      </c>
      <c r="C375" s="615"/>
      <c r="D375" s="615"/>
      <c r="E375" s="615"/>
      <c r="F375" s="615"/>
      <c r="G375" s="556">
        <v>13.75</v>
      </c>
      <c r="H375" s="8" t="s">
        <v>89</v>
      </c>
      <c r="I375" s="616"/>
      <c r="J375" s="616"/>
      <c r="K375" s="30"/>
    </row>
    <row r="376" spans="2:11" ht="18" x14ac:dyDescent="0.25">
      <c r="B376" s="615" t="s">
        <v>240</v>
      </c>
      <c r="C376" s="615"/>
      <c r="D376" s="615"/>
      <c r="E376" s="615"/>
      <c r="F376" s="615"/>
      <c r="G376" s="8"/>
      <c r="H376" s="8"/>
      <c r="I376" s="617">
        <f>IFERROR(IF(G367&lt;=G366,I365-(G368/(100*G366)*G367)*I365,I365-K368),0)</f>
        <v>16927.742857142854</v>
      </c>
      <c r="J376" s="617"/>
      <c r="K376" s="30"/>
    </row>
    <row r="377" spans="2:11" x14ac:dyDescent="0.25">
      <c r="B377" s="615" t="s">
        <v>241</v>
      </c>
      <c r="C377" s="615"/>
      <c r="D377" s="615"/>
      <c r="E377" s="615"/>
      <c r="F377" s="615"/>
      <c r="G377" s="8"/>
      <c r="H377" s="8"/>
      <c r="I377" s="617">
        <f>IFERROR(IF(G367&gt;=G366,I376,((((I376)-(I365-K368))*(((G366-G367)+1)/(2*(G366-G367))))+(I365-K368))),0)</f>
        <v>16927.742857142854</v>
      </c>
      <c r="J377" s="617"/>
      <c r="K377" s="30"/>
    </row>
    <row r="378" spans="2:11" x14ac:dyDescent="0.25">
      <c r="B378" s="618" t="s">
        <v>242</v>
      </c>
      <c r="C378" s="618"/>
      <c r="D378" s="618"/>
      <c r="E378" s="618"/>
      <c r="F378" s="618"/>
      <c r="G378" s="147"/>
      <c r="H378" s="147"/>
      <c r="I378" s="619">
        <f>G375*I377/12/100</f>
        <v>193.96372023809519</v>
      </c>
      <c r="J378" s="619"/>
      <c r="K378" s="148">
        <f>I378</f>
        <v>193.96372023809519</v>
      </c>
    </row>
    <row r="379" spans="2:11" ht="15" customHeight="1" x14ac:dyDescent="0.25">
      <c r="B379" s="612" t="s">
        <v>243</v>
      </c>
      <c r="C379" s="612"/>
      <c r="D379" s="612"/>
      <c r="E379" s="612"/>
      <c r="F379" s="612"/>
      <c r="G379" s="45">
        <v>3</v>
      </c>
      <c r="H379" s="45" t="s">
        <v>229</v>
      </c>
      <c r="I379" s="613">
        <f>K378</f>
        <v>193.96372023809519</v>
      </c>
      <c r="J379" s="613"/>
      <c r="K379" s="159">
        <f>I379*G379</f>
        <v>581.89116071428555</v>
      </c>
    </row>
    <row r="380" spans="2:11" x14ac:dyDescent="0.25">
      <c r="B380" s="131"/>
      <c r="C380" s="131"/>
      <c r="D380" s="131"/>
      <c r="E380" s="131"/>
      <c r="F380" s="131"/>
      <c r="G380" s="18"/>
      <c r="H380" s="18"/>
      <c r="I380" s="18"/>
      <c r="J380" s="18"/>
      <c r="K380" s="132"/>
    </row>
    <row r="381" spans="2:11" x14ac:dyDescent="0.25">
      <c r="B381" s="609" t="s">
        <v>641</v>
      </c>
      <c r="C381" s="609"/>
      <c r="D381" s="609"/>
      <c r="E381" s="609"/>
      <c r="F381" s="609"/>
      <c r="G381" s="609"/>
      <c r="H381" s="609"/>
      <c r="I381" s="609"/>
      <c r="J381" s="609"/>
      <c r="K381" s="609"/>
    </row>
    <row r="382" spans="2:11" x14ac:dyDescent="0.25">
      <c r="B382" s="602" t="s">
        <v>174</v>
      </c>
      <c r="C382" s="602"/>
      <c r="D382" s="602"/>
      <c r="E382" s="602"/>
      <c r="F382" s="602"/>
      <c r="G382" s="61" t="s">
        <v>128</v>
      </c>
      <c r="H382" s="45" t="s">
        <v>129</v>
      </c>
      <c r="I382" s="602" t="s">
        <v>226</v>
      </c>
      <c r="J382" s="602"/>
      <c r="K382" s="45" t="s">
        <v>246</v>
      </c>
    </row>
    <row r="383" spans="2:11" x14ac:dyDescent="0.25">
      <c r="B383" s="622" t="s">
        <v>426</v>
      </c>
      <c r="C383" s="622"/>
      <c r="D383" s="622"/>
      <c r="E383" s="622"/>
      <c r="F383" s="622"/>
      <c r="G383" s="8">
        <v>3</v>
      </c>
      <c r="H383" s="8" t="s">
        <v>229</v>
      </c>
      <c r="I383" s="617">
        <f>I365*0.03</f>
        <v>1615.83</v>
      </c>
      <c r="J383" s="617"/>
      <c r="K383" s="30">
        <f>(I383*G383)/12</f>
        <v>403.95749999999998</v>
      </c>
    </row>
    <row r="384" spans="2:11" x14ac:dyDescent="0.25">
      <c r="B384" s="622" t="s">
        <v>427</v>
      </c>
      <c r="C384" s="622"/>
      <c r="D384" s="622"/>
      <c r="E384" s="622"/>
      <c r="F384" s="622"/>
      <c r="G384" s="8">
        <v>3</v>
      </c>
      <c r="H384" s="8" t="s">
        <v>229</v>
      </c>
      <c r="I384" s="617">
        <v>109.27</v>
      </c>
      <c r="J384" s="617"/>
      <c r="K384" s="30">
        <f>(I384*G384)/12</f>
        <v>27.317499999999999</v>
      </c>
    </row>
    <row r="385" spans="2:11" x14ac:dyDescent="0.25">
      <c r="B385" s="622" t="s">
        <v>428</v>
      </c>
      <c r="C385" s="622"/>
      <c r="D385" s="622"/>
      <c r="E385" s="622"/>
      <c r="F385" s="622"/>
      <c r="G385" s="8">
        <v>3</v>
      </c>
      <c r="H385" s="8" t="s">
        <v>229</v>
      </c>
      <c r="I385" s="617">
        <f>'10 - CUSTOS UN'!$J$252</f>
        <v>858.83333333333337</v>
      </c>
      <c r="J385" s="617"/>
      <c r="K385" s="30">
        <f>(I385/12)*G385</f>
        <v>214.70833333333331</v>
      </c>
    </row>
    <row r="386" spans="2:11" x14ac:dyDescent="0.25">
      <c r="B386" s="622" t="s">
        <v>429</v>
      </c>
      <c r="C386" s="622"/>
      <c r="D386" s="622"/>
      <c r="E386" s="622"/>
      <c r="F386" s="622"/>
      <c r="G386" s="8">
        <v>3</v>
      </c>
      <c r="H386" s="8" t="s">
        <v>229</v>
      </c>
      <c r="I386" s="617">
        <f>'10 - CUSTOS UN'!$J$233</f>
        <v>57.093333333333334</v>
      </c>
      <c r="J386" s="617"/>
      <c r="K386" s="30">
        <f>I386*G386</f>
        <v>171.28</v>
      </c>
    </row>
    <row r="387" spans="2:11" x14ac:dyDescent="0.25">
      <c r="B387" s="624" t="s">
        <v>249</v>
      </c>
      <c r="C387" s="624"/>
      <c r="D387" s="624"/>
      <c r="E387" s="624"/>
      <c r="F387" s="624"/>
      <c r="G387" s="161">
        <v>3</v>
      </c>
      <c r="H387" s="161" t="s">
        <v>129</v>
      </c>
      <c r="I387" s="625">
        <f>SUM(K383:K386)/G387</f>
        <v>272.42111111111109</v>
      </c>
      <c r="J387" s="625"/>
      <c r="K387" s="150">
        <f>I387*G387</f>
        <v>817.26333333333332</v>
      </c>
    </row>
    <row r="388" spans="2:11" x14ac:dyDescent="0.25"/>
    <row r="389" spans="2:11" x14ac:dyDescent="0.25">
      <c r="B389" s="609" t="s">
        <v>642</v>
      </c>
      <c r="C389" s="609"/>
      <c r="D389" s="609"/>
      <c r="E389" s="609"/>
      <c r="F389" s="609"/>
      <c r="G389" s="609"/>
      <c r="H389" s="609"/>
      <c r="I389" s="609"/>
      <c r="J389" s="609"/>
      <c r="K389" s="609"/>
    </row>
    <row r="390" spans="2:11" ht="15" customHeight="1" x14ac:dyDescent="0.25">
      <c r="B390" s="605" t="s">
        <v>174</v>
      </c>
      <c r="C390" s="605"/>
      <c r="D390" s="605"/>
      <c r="E390" s="605"/>
      <c r="F390" s="605"/>
      <c r="G390" s="223" t="s">
        <v>128</v>
      </c>
      <c r="H390" s="138" t="s">
        <v>129</v>
      </c>
      <c r="I390" s="605" t="s">
        <v>226</v>
      </c>
      <c r="J390" s="605"/>
      <c r="K390" s="138" t="s">
        <v>209</v>
      </c>
    </row>
    <row r="391" spans="2:11" x14ac:dyDescent="0.25">
      <c r="B391" s="620" t="s">
        <v>252</v>
      </c>
      <c r="C391" s="620"/>
      <c r="D391" s="620"/>
      <c r="E391" s="620"/>
      <c r="F391" s="620"/>
      <c r="G391" s="557">
        <v>1467</v>
      </c>
      <c r="H391" s="8" t="s">
        <v>253</v>
      </c>
      <c r="I391" s="621"/>
      <c r="J391" s="621"/>
      <c r="K391" s="11"/>
    </row>
    <row r="392" spans="2:11" x14ac:dyDescent="0.25">
      <c r="B392" s="622" t="s">
        <v>431</v>
      </c>
      <c r="C392" s="622"/>
      <c r="D392" s="622"/>
      <c r="E392" s="622"/>
      <c r="F392" s="622"/>
      <c r="G392" s="8">
        <v>9</v>
      </c>
      <c r="H392" s="8" t="s">
        <v>432</v>
      </c>
      <c r="I392" s="631"/>
      <c r="J392" s="631"/>
      <c r="K392" s="176"/>
    </row>
    <row r="393" spans="2:11" x14ac:dyDescent="0.25">
      <c r="B393" s="622" t="s">
        <v>643</v>
      </c>
      <c r="C393" s="622"/>
      <c r="D393" s="622"/>
      <c r="E393" s="622"/>
      <c r="F393" s="622"/>
      <c r="G393" s="8">
        <v>1</v>
      </c>
      <c r="H393" s="8" t="s">
        <v>258</v>
      </c>
      <c r="I393" s="633">
        <v>6.62</v>
      </c>
      <c r="J393" s="633"/>
      <c r="K393" s="11"/>
    </row>
    <row r="394" spans="2:11" x14ac:dyDescent="0.25">
      <c r="B394" s="627" t="s">
        <v>434</v>
      </c>
      <c r="C394" s="627"/>
      <c r="D394" s="627"/>
      <c r="E394" s="627"/>
      <c r="F394" s="627"/>
      <c r="G394" s="228">
        <f>G391/G392</f>
        <v>163</v>
      </c>
      <c r="H394" s="226" t="s">
        <v>435</v>
      </c>
      <c r="I394" s="619">
        <f>I393</f>
        <v>6.62</v>
      </c>
      <c r="J394" s="619"/>
      <c r="K394" s="148">
        <f>I394*G394</f>
        <v>1079.06</v>
      </c>
    </row>
    <row r="395" spans="2:11" x14ac:dyDescent="0.25">
      <c r="B395" s="624" t="s">
        <v>436</v>
      </c>
      <c r="C395" s="624"/>
      <c r="D395" s="624"/>
      <c r="E395" s="624"/>
      <c r="F395" s="624"/>
      <c r="G395" s="161">
        <v>3</v>
      </c>
      <c r="H395" s="161" t="s">
        <v>129</v>
      </c>
      <c r="I395" s="625">
        <f>K394</f>
        <v>1079.06</v>
      </c>
      <c r="J395" s="625"/>
      <c r="K395" s="150">
        <f>I395*G395</f>
        <v>3237.18</v>
      </c>
    </row>
    <row r="396" spans="2:11" x14ac:dyDescent="0.25">
      <c r="B396" s="120"/>
      <c r="C396" s="120"/>
      <c r="D396" s="120"/>
      <c r="E396" s="120"/>
      <c r="F396" s="120"/>
      <c r="G396" s="1"/>
      <c r="H396" s="1"/>
      <c r="I396" s="124"/>
      <c r="J396" s="124"/>
      <c r="K396" s="129"/>
    </row>
    <row r="397" spans="2:11" ht="15" customHeight="1" x14ac:dyDescent="0.25">
      <c r="B397" s="609" t="s">
        <v>644</v>
      </c>
      <c r="C397" s="609"/>
      <c r="D397" s="609"/>
      <c r="E397" s="609"/>
      <c r="F397" s="609"/>
      <c r="G397" s="609"/>
      <c r="H397" s="609"/>
      <c r="I397" s="609"/>
      <c r="J397" s="609"/>
      <c r="K397" s="609"/>
    </row>
    <row r="398" spans="2:11" ht="15" customHeight="1" x14ac:dyDescent="0.25">
      <c r="B398" s="605" t="s">
        <v>174</v>
      </c>
      <c r="C398" s="605"/>
      <c r="D398" s="605"/>
      <c r="E398" s="605"/>
      <c r="F398" s="605"/>
      <c r="G398" s="223" t="s">
        <v>128</v>
      </c>
      <c r="H398" s="138" t="s">
        <v>129</v>
      </c>
      <c r="I398" s="605" t="s">
        <v>226</v>
      </c>
      <c r="J398" s="605"/>
      <c r="K398" s="138" t="s">
        <v>227</v>
      </c>
    </row>
    <row r="399" spans="2:11" ht="15" customHeight="1" x14ac:dyDescent="0.25">
      <c r="B399" s="620" t="s">
        <v>439</v>
      </c>
      <c r="C399" s="620"/>
      <c r="D399" s="620"/>
      <c r="E399" s="620"/>
      <c r="F399" s="620"/>
      <c r="G399" s="8">
        <v>0.35</v>
      </c>
      <c r="H399" s="8" t="s">
        <v>440</v>
      </c>
      <c r="I399" s="621">
        <f>'10 - CUSTOS UN'!J213</f>
        <v>43.476666666666659</v>
      </c>
      <c r="J399" s="621"/>
      <c r="K399" s="30">
        <f>I399*G399</f>
        <v>15.21683333333333</v>
      </c>
    </row>
    <row r="400" spans="2:11" ht="15" customHeight="1" x14ac:dyDescent="0.25">
      <c r="B400" s="630" t="s">
        <v>441</v>
      </c>
      <c r="C400" s="630"/>
      <c r="D400" s="630"/>
      <c r="E400" s="630"/>
      <c r="F400" s="630"/>
      <c r="G400" s="229">
        <f>G391</f>
        <v>1467</v>
      </c>
      <c r="H400" s="25" t="s">
        <v>253</v>
      </c>
      <c r="I400" s="631">
        <f>K399/1000</f>
        <v>1.521683333333333E-2</v>
      </c>
      <c r="J400" s="631"/>
      <c r="K400" s="127">
        <f>I400*G400</f>
        <v>22.323094499999996</v>
      </c>
    </row>
    <row r="401" spans="2:11" ht="15" customHeight="1" x14ac:dyDescent="0.25">
      <c r="B401" s="622" t="s">
        <v>442</v>
      </c>
      <c r="C401" s="622"/>
      <c r="D401" s="622"/>
      <c r="E401" s="622"/>
      <c r="F401" s="622"/>
      <c r="G401" s="125">
        <v>3.3000000000000002E-2</v>
      </c>
      <c r="H401" s="8" t="s">
        <v>440</v>
      </c>
      <c r="I401" s="617">
        <f>'10 - CUSTOS UN'!J222</f>
        <v>91.399999999999991</v>
      </c>
      <c r="J401" s="617"/>
      <c r="K401" s="30">
        <f>G401*I401</f>
        <v>3.0162</v>
      </c>
    </row>
    <row r="402" spans="2:11" ht="15" customHeight="1" x14ac:dyDescent="0.25">
      <c r="B402" s="630" t="s">
        <v>443</v>
      </c>
      <c r="C402" s="630"/>
      <c r="D402" s="630"/>
      <c r="E402" s="630"/>
      <c r="F402" s="630"/>
      <c r="G402" s="229">
        <f>G391</f>
        <v>1467</v>
      </c>
      <c r="H402" s="25" t="s">
        <v>253</v>
      </c>
      <c r="I402" s="632">
        <f>K401/1000</f>
        <v>3.0162000000000001E-3</v>
      </c>
      <c r="J402" s="632"/>
      <c r="K402" s="127">
        <f>I402*G402</f>
        <v>4.4247654000000001</v>
      </c>
    </row>
    <row r="403" spans="2:11" ht="15" customHeight="1" x14ac:dyDescent="0.25">
      <c r="B403" s="622" t="s">
        <v>446</v>
      </c>
      <c r="C403" s="622"/>
      <c r="D403" s="622"/>
      <c r="E403" s="622"/>
      <c r="F403" s="622"/>
      <c r="G403" s="8">
        <v>0.03</v>
      </c>
      <c r="H403" s="8" t="s">
        <v>447</v>
      </c>
      <c r="I403" s="617">
        <f>'10 - CUSTOS UN'!J228</f>
        <v>43.276666666666664</v>
      </c>
      <c r="J403" s="617"/>
      <c r="K403" s="30">
        <f>I403*G403</f>
        <v>1.2982999999999998</v>
      </c>
    </row>
    <row r="404" spans="2:11" ht="15" customHeight="1" x14ac:dyDescent="0.25">
      <c r="B404" s="627" t="s">
        <v>448</v>
      </c>
      <c r="C404" s="627"/>
      <c r="D404" s="627"/>
      <c r="E404" s="627"/>
      <c r="F404" s="627"/>
      <c r="G404" s="228">
        <f>G391</f>
        <v>1467</v>
      </c>
      <c r="H404" s="226" t="s">
        <v>253</v>
      </c>
      <c r="I404" s="628">
        <f>K403/1000</f>
        <v>1.2982999999999998E-3</v>
      </c>
      <c r="J404" s="628"/>
      <c r="K404" s="148">
        <f>I404*G404</f>
        <v>1.9046060999999999</v>
      </c>
    </row>
    <row r="405" spans="2:11" ht="15" customHeight="1" x14ac:dyDescent="0.25">
      <c r="B405" s="624" t="s">
        <v>449</v>
      </c>
      <c r="C405" s="624"/>
      <c r="D405" s="624"/>
      <c r="E405" s="624"/>
      <c r="F405" s="624"/>
      <c r="G405" s="231">
        <v>3</v>
      </c>
      <c r="H405" s="161" t="s">
        <v>129</v>
      </c>
      <c r="I405" s="625">
        <f>SUM(K400,K402,K404)</f>
        <v>28.652465999999993</v>
      </c>
      <c r="J405" s="625"/>
      <c r="K405" s="150">
        <f>I405*G405</f>
        <v>85.957397999999984</v>
      </c>
    </row>
    <row r="406" spans="2:11" ht="15" customHeight="1" x14ac:dyDescent="0.25">
      <c r="B406" s="119"/>
      <c r="C406" s="119"/>
      <c r="D406" s="119"/>
      <c r="E406" s="119"/>
      <c r="F406" s="119"/>
      <c r="G406" s="119"/>
      <c r="H406" s="119"/>
      <c r="I406" s="119"/>
      <c r="J406" s="119"/>
      <c r="K406" s="119"/>
    </row>
    <row r="407" spans="2:11" ht="15" customHeight="1" x14ac:dyDescent="0.25">
      <c r="B407" s="609" t="s">
        <v>645</v>
      </c>
      <c r="C407" s="609"/>
      <c r="D407" s="609"/>
      <c r="E407" s="609"/>
      <c r="F407" s="609"/>
      <c r="G407" s="609"/>
      <c r="H407" s="609"/>
      <c r="I407" s="609"/>
      <c r="J407" s="609"/>
      <c r="K407" s="609"/>
    </row>
    <row r="408" spans="2:11" ht="15" customHeight="1" x14ac:dyDescent="0.25">
      <c r="B408" s="605" t="s">
        <v>174</v>
      </c>
      <c r="C408" s="605"/>
      <c r="D408" s="605"/>
      <c r="E408" s="605"/>
      <c r="F408" s="605"/>
      <c r="G408" s="223" t="s">
        <v>128</v>
      </c>
      <c r="H408" s="138" t="s">
        <v>129</v>
      </c>
      <c r="I408" s="605" t="s">
        <v>226</v>
      </c>
      <c r="J408" s="605"/>
      <c r="K408" s="138" t="s">
        <v>227</v>
      </c>
    </row>
    <row r="409" spans="2:11" ht="15" customHeight="1" x14ac:dyDescent="0.25">
      <c r="B409" s="620" t="s">
        <v>483</v>
      </c>
      <c r="C409" s="620"/>
      <c r="D409" s="620"/>
      <c r="E409" s="620"/>
      <c r="F409" s="620"/>
      <c r="G409" s="8">
        <v>3</v>
      </c>
      <c r="H409" s="8" t="s">
        <v>229</v>
      </c>
      <c r="I409" s="629">
        <f>'10 - CUSTOS UN'!J198</f>
        <v>374.19333333333338</v>
      </c>
      <c r="J409" s="629"/>
      <c r="K409" s="47">
        <f>I409*G409</f>
        <v>1122.5800000000002</v>
      </c>
    </row>
    <row r="410" spans="2:11" ht="15" customHeight="1" x14ac:dyDescent="0.25">
      <c r="B410" s="622" t="s">
        <v>272</v>
      </c>
      <c r="C410" s="622"/>
      <c r="D410" s="622"/>
      <c r="E410" s="622"/>
      <c r="F410" s="622"/>
      <c r="G410" s="10">
        <v>50000</v>
      </c>
      <c r="H410" s="8" t="s">
        <v>260</v>
      </c>
      <c r="I410" s="616"/>
      <c r="J410" s="616"/>
      <c r="K410" s="158"/>
    </row>
    <row r="411" spans="2:11" ht="15" customHeight="1" x14ac:dyDescent="0.25">
      <c r="B411" s="622" t="s">
        <v>484</v>
      </c>
      <c r="C411" s="622"/>
      <c r="D411" s="622"/>
      <c r="E411" s="622"/>
      <c r="F411" s="622"/>
      <c r="G411" s="10">
        <f>G410</f>
        <v>50000</v>
      </c>
      <c r="H411" s="8" t="s">
        <v>274</v>
      </c>
      <c r="I411" s="617">
        <f>K409</f>
        <v>1122.5800000000002</v>
      </c>
      <c r="J411" s="617"/>
      <c r="K411" s="30">
        <f>I411/G411</f>
        <v>2.2451600000000002E-2</v>
      </c>
    </row>
    <row r="412" spans="2:11" ht="15" customHeight="1" x14ac:dyDescent="0.25">
      <c r="B412" s="627" t="s">
        <v>275</v>
      </c>
      <c r="C412" s="627"/>
      <c r="D412" s="627"/>
      <c r="E412" s="627"/>
      <c r="F412" s="627"/>
      <c r="G412" s="228">
        <f>G391</f>
        <v>1467</v>
      </c>
      <c r="H412" s="226" t="s">
        <v>260</v>
      </c>
      <c r="I412" s="619">
        <f>K411</f>
        <v>2.2451600000000002E-2</v>
      </c>
      <c r="J412" s="619"/>
      <c r="K412" s="148">
        <f>I412*G412</f>
        <v>32.936497200000005</v>
      </c>
    </row>
    <row r="413" spans="2:11" ht="15" customHeight="1" x14ac:dyDescent="0.25">
      <c r="B413" s="624" t="s">
        <v>276</v>
      </c>
      <c r="C413" s="624"/>
      <c r="D413" s="624"/>
      <c r="E413" s="624"/>
      <c r="F413" s="624"/>
      <c r="G413" s="161">
        <v>3</v>
      </c>
      <c r="H413" s="161" t="s">
        <v>129</v>
      </c>
      <c r="I413" s="625">
        <f>K412</f>
        <v>32.936497200000005</v>
      </c>
      <c r="J413" s="625"/>
      <c r="K413" s="150">
        <f>I413*G413</f>
        <v>98.809491600000015</v>
      </c>
    </row>
    <row r="414" spans="2:11" ht="15" customHeight="1" x14ac:dyDescent="0.25">
      <c r="B414" s="120"/>
      <c r="C414" s="120"/>
      <c r="D414" s="120"/>
      <c r="E414" s="120"/>
      <c r="F414" s="120"/>
      <c r="G414" s="1"/>
      <c r="H414" s="1"/>
      <c r="I414" s="124"/>
      <c r="J414" s="124"/>
      <c r="K414" s="129"/>
    </row>
    <row r="415" spans="2:11" ht="15" customHeight="1" x14ac:dyDescent="0.25">
      <c r="B415" s="609" t="s">
        <v>646</v>
      </c>
      <c r="C415" s="609"/>
      <c r="D415" s="609"/>
      <c r="E415" s="609"/>
      <c r="F415" s="609"/>
      <c r="G415" s="609"/>
      <c r="H415" s="609"/>
      <c r="I415" s="609"/>
      <c r="J415" s="609"/>
      <c r="K415" s="609"/>
    </row>
    <row r="416" spans="2:11" ht="15" customHeight="1" x14ac:dyDescent="0.25">
      <c r="B416" s="605" t="s">
        <v>174</v>
      </c>
      <c r="C416" s="605"/>
      <c r="D416" s="605"/>
      <c r="E416" s="605"/>
      <c r="F416" s="605"/>
      <c r="G416" s="223" t="s">
        <v>128</v>
      </c>
      <c r="H416" s="138" t="s">
        <v>129</v>
      </c>
      <c r="I416" s="605" t="s">
        <v>226</v>
      </c>
      <c r="J416" s="605"/>
      <c r="K416" s="138" t="s">
        <v>209</v>
      </c>
    </row>
    <row r="417" spans="2:11" ht="15" customHeight="1" x14ac:dyDescent="0.25">
      <c r="B417" s="610" t="s">
        <v>457</v>
      </c>
      <c r="C417" s="610"/>
      <c r="D417" s="610"/>
      <c r="E417" s="610"/>
      <c r="F417" s="610"/>
      <c r="G417" s="232">
        <f>G391</f>
        <v>1467</v>
      </c>
      <c r="H417" s="233" t="s">
        <v>253</v>
      </c>
      <c r="I417" s="623">
        <v>1.18</v>
      </c>
      <c r="J417" s="623"/>
      <c r="K417" s="234">
        <f>I417*G417</f>
        <v>1731.06</v>
      </c>
    </row>
    <row r="418" spans="2:11" ht="15" customHeight="1" x14ac:dyDescent="0.25">
      <c r="B418" s="624" t="s">
        <v>458</v>
      </c>
      <c r="C418" s="624"/>
      <c r="D418" s="624"/>
      <c r="E418" s="624"/>
      <c r="F418" s="624"/>
      <c r="G418" s="161">
        <v>3</v>
      </c>
      <c r="H418" s="161" t="s">
        <v>229</v>
      </c>
      <c r="I418" s="625">
        <f>K417</f>
        <v>1731.06</v>
      </c>
      <c r="J418" s="625"/>
      <c r="K418" s="150">
        <f>I418*G418</f>
        <v>5193.18</v>
      </c>
    </row>
    <row r="419" spans="2:11" ht="15" customHeight="1" x14ac:dyDescent="0.25">
      <c r="B419" s="119"/>
      <c r="C419" s="119"/>
      <c r="D419" s="119"/>
      <c r="E419" s="119"/>
      <c r="F419" s="119"/>
      <c r="G419" s="119"/>
      <c r="H419" s="119"/>
      <c r="I419" s="119"/>
      <c r="J419" s="119"/>
      <c r="K419" s="119"/>
    </row>
    <row r="420" spans="2:11" ht="15" customHeight="1" x14ac:dyDescent="0.25">
      <c r="B420" s="614" t="s">
        <v>486</v>
      </c>
      <c r="C420" s="614"/>
      <c r="D420" s="614"/>
      <c r="E420" s="614"/>
      <c r="F420" s="614"/>
      <c r="G420" s="614"/>
      <c r="H420" s="614"/>
      <c r="I420" s="614"/>
      <c r="J420" s="614"/>
      <c r="K420" s="182">
        <f>SUM(I418,I413,I405,I395,I387,I379,I370)</f>
        <v>3851.0556993111109</v>
      </c>
    </row>
    <row r="421" spans="2:11" ht="15" customHeight="1" x14ac:dyDescent="0.25">
      <c r="B421" s="614" t="s">
        <v>289</v>
      </c>
      <c r="C421" s="614"/>
      <c r="D421" s="614"/>
      <c r="E421" s="614"/>
      <c r="F421" s="614"/>
      <c r="G421" s="614"/>
      <c r="H421" s="614"/>
      <c r="I421" s="614"/>
      <c r="J421" s="614"/>
      <c r="K421" s="182">
        <f>SUM(K418,K413,K405,K395,K387,K379,K370)</f>
        <v>11553.167097933332</v>
      </c>
    </row>
    <row r="422" spans="2:11" ht="15" customHeight="1" x14ac:dyDescent="0.25">
      <c r="B422" s="36"/>
      <c r="C422" s="36"/>
      <c r="D422" s="36"/>
      <c r="E422" s="36"/>
      <c r="F422" s="36"/>
      <c r="G422" s="36"/>
      <c r="H422" s="36"/>
      <c r="I422" s="36"/>
      <c r="J422" s="36"/>
      <c r="K422" s="128"/>
    </row>
    <row r="423" spans="2:11" ht="15" customHeight="1" x14ac:dyDescent="0.25">
      <c r="B423" s="626" t="s">
        <v>647</v>
      </c>
      <c r="C423" s="626"/>
      <c r="D423" s="626"/>
      <c r="E423" s="626"/>
      <c r="F423" s="626"/>
      <c r="G423" s="626"/>
      <c r="H423" s="626"/>
      <c r="I423" s="626"/>
      <c r="J423" s="626"/>
      <c r="K423" s="626"/>
    </row>
    <row r="425" spans="2:11" ht="15" customHeight="1" x14ac:dyDescent="0.25">
      <c r="B425" s="609" t="s">
        <v>648</v>
      </c>
      <c r="C425" s="609"/>
      <c r="D425" s="609"/>
      <c r="E425" s="609"/>
      <c r="F425" s="609"/>
      <c r="G425" s="609"/>
      <c r="H425" s="609"/>
      <c r="I425" s="609"/>
      <c r="J425" s="609"/>
      <c r="K425" s="609"/>
    </row>
    <row r="426" spans="2:11" ht="15" customHeight="1" x14ac:dyDescent="0.25">
      <c r="B426" s="223" t="s">
        <v>174</v>
      </c>
      <c r="C426" s="235"/>
      <c r="D426" s="235"/>
      <c r="E426" s="235"/>
      <c r="F426" s="236"/>
      <c r="G426" s="223" t="s">
        <v>128</v>
      </c>
      <c r="H426" s="138" t="s">
        <v>129</v>
      </c>
      <c r="I426" s="605" t="s">
        <v>226</v>
      </c>
      <c r="J426" s="605"/>
      <c r="K426" s="138" t="s">
        <v>227</v>
      </c>
    </row>
    <row r="427" spans="2:11" ht="15" customHeight="1" x14ac:dyDescent="0.25">
      <c r="B427" s="620" t="s">
        <v>649</v>
      </c>
      <c r="C427" s="620"/>
      <c r="D427" s="620"/>
      <c r="E427" s="620"/>
      <c r="F427" s="620"/>
      <c r="G427" s="555">
        <v>850</v>
      </c>
      <c r="H427" s="125" t="s">
        <v>129</v>
      </c>
      <c r="I427" s="621">
        <v>1744.58</v>
      </c>
      <c r="J427" s="621"/>
      <c r="K427" s="224">
        <f>I427*G427</f>
        <v>1482893</v>
      </c>
    </row>
    <row r="428" spans="2:11" ht="15" customHeight="1" x14ac:dyDescent="0.25">
      <c r="B428" s="622" t="s">
        <v>650</v>
      </c>
      <c r="C428" s="622"/>
      <c r="D428" s="622"/>
      <c r="E428" s="622"/>
      <c r="F428" s="622"/>
      <c r="G428" s="8">
        <v>2</v>
      </c>
      <c r="H428" s="8" t="s">
        <v>231</v>
      </c>
      <c r="I428" s="616"/>
      <c r="J428" s="616"/>
      <c r="K428" s="158"/>
    </row>
    <row r="429" spans="2:11" ht="15" customHeight="1" x14ac:dyDescent="0.25">
      <c r="B429" s="622" t="s">
        <v>651</v>
      </c>
      <c r="C429" s="622"/>
      <c r="D429" s="622"/>
      <c r="E429" s="622"/>
      <c r="F429" s="622"/>
      <c r="G429" s="8">
        <v>0</v>
      </c>
      <c r="H429" s="8" t="s">
        <v>231</v>
      </c>
      <c r="I429" s="616"/>
      <c r="J429" s="616"/>
      <c r="K429" s="158"/>
    </row>
    <row r="430" spans="2:11" ht="15" customHeight="1" x14ac:dyDescent="0.25">
      <c r="B430" s="615" t="s">
        <v>652</v>
      </c>
      <c r="C430" s="615"/>
      <c r="D430" s="615"/>
      <c r="E430" s="615"/>
      <c r="F430" s="615"/>
      <c r="G430" s="225">
        <v>95</v>
      </c>
      <c r="H430" s="8" t="s">
        <v>89</v>
      </c>
      <c r="I430" s="617">
        <f>I427</f>
        <v>1744.58</v>
      </c>
      <c r="J430" s="617"/>
      <c r="K430" s="30">
        <f>I430*G430/100</f>
        <v>1657.3510000000001</v>
      </c>
    </row>
    <row r="431" spans="2:11" ht="15" customHeight="1" x14ac:dyDescent="0.25">
      <c r="B431" s="618" t="s">
        <v>653</v>
      </c>
      <c r="C431" s="618"/>
      <c r="D431" s="618"/>
      <c r="E431" s="618"/>
      <c r="F431" s="618"/>
      <c r="G431" s="226">
        <f>G428*12</f>
        <v>24</v>
      </c>
      <c r="H431" s="226" t="s">
        <v>235</v>
      </c>
      <c r="I431" s="619">
        <f>K430</f>
        <v>1657.3510000000001</v>
      </c>
      <c r="J431" s="619"/>
      <c r="K431" s="148">
        <f>I431/G431</f>
        <v>69.056291666666667</v>
      </c>
    </row>
    <row r="432" spans="2:11" ht="15" customHeight="1" x14ac:dyDescent="0.25">
      <c r="B432" s="612" t="s">
        <v>654</v>
      </c>
      <c r="C432" s="612"/>
      <c r="D432" s="612"/>
      <c r="E432" s="612"/>
      <c r="F432" s="612"/>
      <c r="G432" s="45">
        <f>G427</f>
        <v>850</v>
      </c>
      <c r="H432" s="45" t="s">
        <v>229</v>
      </c>
      <c r="I432" s="613">
        <f>K431</f>
        <v>69.056291666666667</v>
      </c>
      <c r="J432" s="613"/>
      <c r="K432" s="159">
        <f>I432*G432</f>
        <v>58697.847916666666</v>
      </c>
    </row>
    <row r="434" spans="2:11" ht="15" customHeight="1" x14ac:dyDescent="0.25">
      <c r="B434" s="609" t="s">
        <v>655</v>
      </c>
      <c r="C434" s="609"/>
      <c r="D434" s="609"/>
      <c r="E434" s="609"/>
      <c r="F434" s="609"/>
      <c r="G434" s="609"/>
      <c r="H434" s="609"/>
      <c r="I434" s="609"/>
      <c r="J434" s="609"/>
      <c r="K434" s="609"/>
    </row>
    <row r="435" spans="2:11" ht="15" customHeight="1" x14ac:dyDescent="0.25">
      <c r="B435" s="602" t="s">
        <v>174</v>
      </c>
      <c r="C435" s="602"/>
      <c r="D435" s="602"/>
      <c r="E435" s="602"/>
      <c r="F435" s="602"/>
      <c r="G435" s="61" t="s">
        <v>128</v>
      </c>
      <c r="H435" s="45" t="s">
        <v>129</v>
      </c>
      <c r="I435" s="602" t="s">
        <v>226</v>
      </c>
      <c r="J435" s="602"/>
      <c r="K435" s="45" t="s">
        <v>227</v>
      </c>
    </row>
    <row r="436" spans="2:11" ht="15" customHeight="1" x14ac:dyDescent="0.25">
      <c r="B436" s="615" t="s">
        <v>656</v>
      </c>
      <c r="C436" s="615"/>
      <c r="D436" s="615"/>
      <c r="E436" s="615"/>
      <c r="F436" s="615"/>
      <c r="G436" s="8">
        <f>G427</f>
        <v>850</v>
      </c>
      <c r="H436" s="8" t="s">
        <v>229</v>
      </c>
      <c r="I436" s="617">
        <f>I427</f>
        <v>1744.58</v>
      </c>
      <c r="J436" s="617"/>
      <c r="K436" s="30">
        <f>I436*G436</f>
        <v>1482893</v>
      </c>
    </row>
    <row r="437" spans="2:11" ht="15" customHeight="1" x14ac:dyDescent="0.25">
      <c r="B437" s="615" t="s">
        <v>239</v>
      </c>
      <c r="C437" s="615"/>
      <c r="D437" s="615"/>
      <c r="E437" s="615"/>
      <c r="F437" s="615"/>
      <c r="G437" s="556">
        <v>13.75</v>
      </c>
      <c r="H437" s="8" t="s">
        <v>89</v>
      </c>
      <c r="I437" s="616"/>
      <c r="J437" s="616"/>
      <c r="K437" s="30"/>
    </row>
    <row r="438" spans="2:11" ht="15" customHeight="1" x14ac:dyDescent="0.25">
      <c r="B438" s="615" t="s">
        <v>657</v>
      </c>
      <c r="C438" s="615"/>
      <c r="D438" s="615"/>
      <c r="E438" s="615"/>
      <c r="F438" s="615"/>
      <c r="G438" s="8"/>
      <c r="H438" s="8"/>
      <c r="I438" s="617">
        <f>IFERROR(IF(G429&lt;=G428,I427-(G430/(100*G428)*G429)*I427,I427-K430),0)</f>
        <v>1744.58</v>
      </c>
      <c r="J438" s="617"/>
      <c r="K438" s="30"/>
    </row>
    <row r="439" spans="2:11" ht="15" customHeight="1" x14ac:dyDescent="0.25">
      <c r="B439" s="615" t="s">
        <v>658</v>
      </c>
      <c r="C439" s="615"/>
      <c r="D439" s="615"/>
      <c r="E439" s="615"/>
      <c r="F439" s="615"/>
      <c r="G439" s="8"/>
      <c r="H439" s="8"/>
      <c r="I439" s="617">
        <f>IFERROR(IF(G429&gt;=G428,I438,((((I438)-(I427-K430))*(((G428-G429)+1)/(2*(G428-G429))))+(I427-K430))),0)</f>
        <v>1330.2422499999998</v>
      </c>
      <c r="J439" s="617"/>
      <c r="K439" s="30"/>
    </row>
    <row r="440" spans="2:11" ht="15" customHeight="1" x14ac:dyDescent="0.25">
      <c r="B440" s="618" t="s">
        <v>659</v>
      </c>
      <c r="C440" s="618"/>
      <c r="D440" s="618"/>
      <c r="E440" s="618"/>
      <c r="F440" s="618"/>
      <c r="G440" s="147"/>
      <c r="H440" s="147"/>
      <c r="I440" s="619">
        <f>G437*I439/12/100</f>
        <v>15.24235911458333</v>
      </c>
      <c r="J440" s="619"/>
      <c r="K440" s="148">
        <f>I440</f>
        <v>15.24235911458333</v>
      </c>
    </row>
    <row r="441" spans="2:11" ht="15" customHeight="1" x14ac:dyDescent="0.25">
      <c r="B441" s="612" t="s">
        <v>660</v>
      </c>
      <c r="C441" s="612"/>
      <c r="D441" s="612"/>
      <c r="E441" s="612"/>
      <c r="F441" s="612"/>
      <c r="G441" s="45">
        <f>G436</f>
        <v>850</v>
      </c>
      <c r="H441" s="45" t="s">
        <v>229</v>
      </c>
      <c r="I441" s="613">
        <f>K440</f>
        <v>15.24235911458333</v>
      </c>
      <c r="J441" s="613"/>
      <c r="K441" s="159">
        <f>I441*G441</f>
        <v>12956.005247395831</v>
      </c>
    </row>
    <row r="442" spans="2:11" ht="15" customHeight="1" x14ac:dyDescent="0.25">
      <c r="B442" s="36"/>
      <c r="C442" s="36"/>
      <c r="D442" s="36"/>
      <c r="E442" s="36"/>
      <c r="F442" s="36"/>
      <c r="G442" s="36"/>
      <c r="H442" s="36"/>
      <c r="I442" s="36"/>
      <c r="J442" s="36"/>
      <c r="K442" s="128"/>
    </row>
    <row r="443" spans="2:11" ht="15" customHeight="1" x14ac:dyDescent="0.25">
      <c r="B443" s="609" t="s">
        <v>661</v>
      </c>
      <c r="C443" s="609"/>
      <c r="D443" s="609"/>
      <c r="E443" s="609"/>
      <c r="F443" s="609"/>
      <c r="G443" s="609"/>
      <c r="H443" s="609"/>
      <c r="I443" s="609"/>
      <c r="J443" s="609"/>
      <c r="K443" s="609"/>
    </row>
    <row r="444" spans="2:11" ht="15" customHeight="1" x14ac:dyDescent="0.25">
      <c r="B444" s="602" t="s">
        <v>174</v>
      </c>
      <c r="C444" s="602"/>
      <c r="D444" s="602"/>
      <c r="E444" s="602"/>
      <c r="F444" s="602"/>
      <c r="G444" s="61" t="s">
        <v>128</v>
      </c>
      <c r="H444" s="45" t="s">
        <v>129</v>
      </c>
      <c r="I444" s="602" t="s">
        <v>226</v>
      </c>
      <c r="J444" s="602"/>
      <c r="K444" s="45" t="s">
        <v>209</v>
      </c>
    </row>
    <row r="445" spans="2:11" ht="15" customHeight="1" x14ac:dyDescent="0.25">
      <c r="B445" s="610" t="s">
        <v>457</v>
      </c>
      <c r="C445" s="610"/>
      <c r="D445" s="610"/>
      <c r="E445" s="610"/>
      <c r="F445" s="610"/>
      <c r="G445" s="340">
        <v>0.5</v>
      </c>
      <c r="H445" s="233" t="s">
        <v>89</v>
      </c>
      <c r="I445" s="611">
        <f>K427</f>
        <v>1482893</v>
      </c>
      <c r="J445" s="611"/>
      <c r="K445" s="234">
        <f>I445*G445%</f>
        <v>7414.4650000000001</v>
      </c>
    </row>
    <row r="446" spans="2:11" ht="15" customHeight="1" x14ac:dyDescent="0.25">
      <c r="B446" s="612" t="s">
        <v>458</v>
      </c>
      <c r="C446" s="612"/>
      <c r="D446" s="612"/>
      <c r="E446" s="612"/>
      <c r="F446" s="612"/>
      <c r="G446" s="45">
        <v>1</v>
      </c>
      <c r="H446" s="45" t="s">
        <v>229</v>
      </c>
      <c r="I446" s="613">
        <f>K445</f>
        <v>7414.4650000000001</v>
      </c>
      <c r="J446" s="613"/>
      <c r="K446" s="159">
        <f>I446*G446</f>
        <v>7414.4650000000001</v>
      </c>
    </row>
    <row r="447" spans="2:11" ht="15" customHeight="1" x14ac:dyDescent="0.25">
      <c r="B447" s="119"/>
      <c r="C447" s="119"/>
      <c r="D447" s="119"/>
      <c r="E447" s="119"/>
      <c r="F447" s="119"/>
      <c r="G447" s="119"/>
      <c r="H447" s="119"/>
      <c r="I447" s="119"/>
      <c r="J447" s="119"/>
      <c r="K447" s="119"/>
    </row>
    <row r="448" spans="2:11" ht="15" customHeight="1" x14ac:dyDescent="0.25">
      <c r="B448" s="614" t="s">
        <v>662</v>
      </c>
      <c r="C448" s="614"/>
      <c r="D448" s="614"/>
      <c r="E448" s="614"/>
      <c r="F448" s="614"/>
      <c r="G448" s="614"/>
      <c r="H448" s="614"/>
      <c r="I448" s="614"/>
      <c r="J448" s="614"/>
      <c r="K448" s="127">
        <f>SUM(I432,I441,I446)</f>
        <v>7498.7636507812504</v>
      </c>
    </row>
    <row r="449" spans="2:11" ht="15" customHeight="1" x14ac:dyDescent="0.25">
      <c r="B449" s="614" t="s">
        <v>663</v>
      </c>
      <c r="C449" s="614"/>
      <c r="D449" s="614"/>
      <c r="E449" s="614"/>
      <c r="F449" s="614"/>
      <c r="G449" s="614"/>
      <c r="H449" s="614"/>
      <c r="I449" s="614"/>
      <c r="J449" s="614"/>
      <c r="K449" s="127">
        <f>SUM(K432,K441,K446)</f>
        <v>79068.318164062497</v>
      </c>
    </row>
    <row r="450" spans="2:11" ht="15" customHeight="1" x14ac:dyDescent="0.25">
      <c r="B450" s="36"/>
      <c r="C450" s="36"/>
      <c r="D450" s="36"/>
      <c r="E450" s="36"/>
      <c r="F450" s="36"/>
      <c r="G450" s="36"/>
      <c r="H450" s="36"/>
      <c r="I450" s="36"/>
      <c r="J450" s="36"/>
      <c r="K450" s="128"/>
    </row>
    <row r="452" spans="2:11" ht="15" customHeight="1" x14ac:dyDescent="0.25">
      <c r="B452" s="597" t="s">
        <v>290</v>
      </c>
      <c r="C452" s="597"/>
      <c r="D452" s="597"/>
      <c r="E452" s="597"/>
      <c r="F452" s="597"/>
      <c r="G452" s="597"/>
      <c r="H452" s="597"/>
      <c r="I452" s="597"/>
      <c r="J452" s="597"/>
      <c r="K452" s="241">
        <f>SUM(K280,K359,K421,K449)</f>
        <v>194870.32731718151</v>
      </c>
    </row>
    <row r="455" spans="2:11" ht="15" customHeight="1" x14ac:dyDescent="0.25">
      <c r="B455" s="601" t="s">
        <v>664</v>
      </c>
      <c r="C455" s="601"/>
      <c r="D455" s="601"/>
      <c r="E455" s="601"/>
      <c r="F455" s="601"/>
      <c r="G455" s="601"/>
      <c r="H455" s="601"/>
      <c r="I455" s="601"/>
      <c r="J455" s="601"/>
      <c r="K455" s="601"/>
    </row>
    <row r="456" spans="2:11" ht="15" customHeight="1" x14ac:dyDescent="0.25">
      <c r="B456" s="108"/>
      <c r="C456" s="108"/>
      <c r="D456" s="108"/>
      <c r="E456" s="108"/>
      <c r="F456" s="108"/>
      <c r="G456" s="108"/>
      <c r="H456" s="108"/>
      <c r="I456" s="108"/>
      <c r="J456" s="108"/>
      <c r="K456" s="242"/>
    </row>
    <row r="457" spans="2:11" ht="30" x14ac:dyDescent="0.25">
      <c r="B457" s="138" t="s">
        <v>207</v>
      </c>
      <c r="C457" s="605" t="s">
        <v>174</v>
      </c>
      <c r="D457" s="605"/>
      <c r="E457" s="605"/>
      <c r="F457" s="605"/>
      <c r="G457" s="223" t="s">
        <v>128</v>
      </c>
      <c r="H457" s="139" t="s">
        <v>488</v>
      </c>
      <c r="I457" s="605" t="s">
        <v>226</v>
      </c>
      <c r="J457" s="605"/>
      <c r="K457" s="138" t="s">
        <v>246</v>
      </c>
    </row>
    <row r="458" spans="2:11" ht="15" customHeight="1" x14ac:dyDescent="0.25">
      <c r="B458" s="115" t="s">
        <v>665</v>
      </c>
      <c r="C458" s="606" t="s">
        <v>490</v>
      </c>
      <c r="D458" s="606"/>
      <c r="E458" s="606"/>
      <c r="F458" s="606"/>
      <c r="G458" s="243">
        <v>47</v>
      </c>
      <c r="H458" s="166">
        <v>24</v>
      </c>
      <c r="I458" s="607">
        <f>'10 - CUSTOS UN'!$J$117</f>
        <v>53.346666666666664</v>
      </c>
      <c r="J458" s="607"/>
      <c r="K458" s="227">
        <f>(I458*G458)/H458</f>
        <v>104.47055555555555</v>
      </c>
    </row>
    <row r="459" spans="2:11" ht="15" customHeight="1" x14ac:dyDescent="0.25">
      <c r="B459" s="5" t="s">
        <v>666</v>
      </c>
      <c r="C459" s="608" t="s">
        <v>492</v>
      </c>
      <c r="D459" s="608"/>
      <c r="E459" s="608"/>
      <c r="F459" s="608"/>
      <c r="G459" s="569">
        <v>3</v>
      </c>
      <c r="H459" s="166">
        <v>60</v>
      </c>
      <c r="I459" s="599">
        <f>'10 - CUSTOS UN'!$J$243</f>
        <v>1727.96</v>
      </c>
      <c r="J459" s="599"/>
      <c r="K459" s="31">
        <f>(I459*G459)/H459</f>
        <v>86.397999999999996</v>
      </c>
    </row>
    <row r="460" spans="2:11" ht="15" customHeight="1" x14ac:dyDescent="0.25">
      <c r="B460" s="5" t="s">
        <v>667</v>
      </c>
      <c r="C460" s="608" t="s">
        <v>494</v>
      </c>
      <c r="D460" s="608"/>
      <c r="E460" s="608"/>
      <c r="F460" s="608"/>
      <c r="G460" s="569">
        <v>3</v>
      </c>
      <c r="H460" s="166">
        <v>60</v>
      </c>
      <c r="I460" s="599">
        <f>'10 - CUSTOS UN'!$J$246</f>
        <v>147.41999999999999</v>
      </c>
      <c r="J460" s="599"/>
      <c r="K460" s="31">
        <f>(I460*G460)/H460</f>
        <v>7.3709999999999996</v>
      </c>
    </row>
    <row r="461" spans="2:11" ht="15" customHeight="1" x14ac:dyDescent="0.25">
      <c r="B461" s="115" t="s">
        <v>668</v>
      </c>
      <c r="C461" s="680" t="s">
        <v>1683</v>
      </c>
      <c r="D461" s="681"/>
      <c r="E461" s="681"/>
      <c r="F461" s="682"/>
      <c r="G461" s="569">
        <v>1</v>
      </c>
      <c r="H461" s="166">
        <v>60</v>
      </c>
      <c r="I461" s="599">
        <f>'10 - CUSTOS UN'!$J$246</f>
        <v>147.41999999999999</v>
      </c>
      <c r="J461" s="599"/>
      <c r="K461" s="31">
        <f>I461/G461</f>
        <v>147.41999999999999</v>
      </c>
    </row>
    <row r="462" spans="2:11" ht="15" customHeight="1" x14ac:dyDescent="0.25">
      <c r="B462" s="5" t="s">
        <v>670</v>
      </c>
      <c r="C462" s="594" t="s">
        <v>669</v>
      </c>
      <c r="D462" s="594"/>
      <c r="E462" s="594"/>
      <c r="F462" s="594"/>
      <c r="G462" s="170">
        <v>850</v>
      </c>
      <c r="H462" s="166">
        <v>60</v>
      </c>
      <c r="I462" s="599">
        <f>'10 - CUSTOS UN'!$J$249</f>
        <v>115.5</v>
      </c>
      <c r="J462" s="599"/>
      <c r="K462" s="31">
        <f>(I462*G462)/H462</f>
        <v>1636.25</v>
      </c>
    </row>
    <row r="463" spans="2:11" ht="15" customHeight="1" x14ac:dyDescent="0.25">
      <c r="B463" s="115" t="s">
        <v>671</v>
      </c>
      <c r="C463" s="594" t="s">
        <v>496</v>
      </c>
      <c r="D463" s="594"/>
      <c r="E463" s="594"/>
      <c r="F463" s="594"/>
      <c r="G463" s="246">
        <v>7</v>
      </c>
      <c r="H463" s="4">
        <v>12</v>
      </c>
      <c r="I463" s="599">
        <f>'10 - CUSTOS UN'!$J$18</f>
        <v>83.660000000000011</v>
      </c>
      <c r="J463" s="599"/>
      <c r="K463" s="247">
        <f>(G463*I463)/H463</f>
        <v>48.801666666666677</v>
      </c>
    </row>
    <row r="464" spans="2:11" ht="15" customHeight="1" x14ac:dyDescent="0.25">
      <c r="B464" s="5" t="s">
        <v>672</v>
      </c>
      <c r="C464" s="604" t="s">
        <v>498</v>
      </c>
      <c r="D464" s="604"/>
      <c r="E464" s="604"/>
      <c r="F464" s="604"/>
      <c r="G464" s="246">
        <v>14</v>
      </c>
      <c r="H464" s="4">
        <v>12</v>
      </c>
      <c r="I464" s="599">
        <f>'10 - CUSTOS UN'!$J$60</f>
        <v>4.1399999999999997</v>
      </c>
      <c r="J464" s="599"/>
      <c r="K464" s="247">
        <f>(I464*G464)/H464</f>
        <v>4.8299999999999992</v>
      </c>
    </row>
    <row r="465" spans="2:12" ht="15" customHeight="1" x14ac:dyDescent="0.25">
      <c r="B465" s="115" t="s">
        <v>673</v>
      </c>
      <c r="C465" s="594" t="s">
        <v>500</v>
      </c>
      <c r="D465" s="594"/>
      <c r="E465" s="594"/>
      <c r="F465" s="594"/>
      <c r="G465" s="246">
        <v>2</v>
      </c>
      <c r="H465" s="4">
        <v>1</v>
      </c>
      <c r="I465" s="599">
        <f>'10 - CUSTOS UN'!$J$105</f>
        <v>22.343333333333334</v>
      </c>
      <c r="J465" s="599"/>
      <c r="K465" s="247">
        <f>(I465*G465)/H465</f>
        <v>44.686666666666667</v>
      </c>
    </row>
    <row r="466" spans="2:12" ht="15" customHeight="1" x14ac:dyDescent="0.25">
      <c r="B466" s="5" t="s">
        <v>674</v>
      </c>
      <c r="C466" s="594" t="s">
        <v>502</v>
      </c>
      <c r="D466" s="594"/>
      <c r="E466" s="594"/>
      <c r="F466" s="594"/>
      <c r="G466" s="246">
        <v>9</v>
      </c>
      <c r="H466" s="4">
        <v>1</v>
      </c>
      <c r="I466" s="599">
        <f>'10 - CUSTOS UN'!$J$96</f>
        <v>13.38</v>
      </c>
      <c r="J466" s="599"/>
      <c r="K466" s="247">
        <f>G466*I466/H466</f>
        <v>120.42</v>
      </c>
    </row>
    <row r="467" spans="2:12" ht="15" customHeight="1" x14ac:dyDescent="0.25">
      <c r="B467" s="538" t="s">
        <v>1682</v>
      </c>
      <c r="C467" s="594" t="s">
        <v>504</v>
      </c>
      <c r="D467" s="594"/>
      <c r="E467" s="594"/>
      <c r="F467" s="594"/>
      <c r="G467" s="170">
        <v>2</v>
      </c>
      <c r="H467" s="4">
        <v>1</v>
      </c>
      <c r="I467" s="599">
        <f>'10 - CUSTOS UN'!$J$6</f>
        <v>34.836666666666666</v>
      </c>
      <c r="J467" s="599"/>
      <c r="K467" s="31">
        <f>G467*I467/H467</f>
        <v>69.673333333333332</v>
      </c>
    </row>
    <row r="468" spans="2:12" ht="15" customHeight="1" x14ac:dyDescent="0.25">
      <c r="B468" s="600" t="s">
        <v>505</v>
      </c>
      <c r="C468" s="600"/>
      <c r="D468" s="600"/>
      <c r="E468" s="600"/>
      <c r="F468" s="600"/>
      <c r="G468" s="600"/>
      <c r="H468" s="600"/>
      <c r="I468" s="600"/>
      <c r="J468" s="600"/>
      <c r="K468" s="150">
        <f>SUM(K458:K467)</f>
        <v>2270.3212222222219</v>
      </c>
    </row>
    <row r="469" spans="2:12" ht="15" customHeight="1" x14ac:dyDescent="0.25">
      <c r="B469" s="108"/>
      <c r="C469" s="108"/>
      <c r="D469" s="108"/>
      <c r="E469" s="108"/>
      <c r="F469" s="108"/>
      <c r="G469" s="108"/>
      <c r="H469" s="108"/>
      <c r="I469" s="108"/>
      <c r="J469" s="108"/>
      <c r="K469" s="242"/>
    </row>
    <row r="470" spans="2:12" ht="15" customHeight="1" x14ac:dyDescent="0.25">
      <c r="B470" s="108"/>
      <c r="C470" s="108"/>
      <c r="D470" s="108"/>
      <c r="E470" s="108"/>
      <c r="F470" s="108"/>
      <c r="G470" s="108"/>
      <c r="H470" s="108"/>
      <c r="I470" s="108"/>
      <c r="J470" s="108"/>
      <c r="K470" s="242"/>
    </row>
    <row r="471" spans="2:12" ht="15" customHeight="1" x14ac:dyDescent="0.25">
      <c r="B471" s="597" t="s">
        <v>675</v>
      </c>
      <c r="C471" s="597"/>
      <c r="D471" s="597"/>
      <c r="E471" s="597"/>
      <c r="F471" s="597"/>
      <c r="G471" s="597"/>
      <c r="H471" s="597"/>
      <c r="I471" s="597"/>
      <c r="J471" s="597"/>
      <c r="K471" s="241">
        <f>K468+K452+K159+K124</f>
        <v>468075.15737968811</v>
      </c>
      <c r="L471" s="541"/>
    </row>
    <row r="472" spans="2:12" ht="15" customHeight="1" x14ac:dyDescent="0.25">
      <c r="B472" s="108"/>
      <c r="C472" s="108"/>
      <c r="D472" s="108"/>
      <c r="E472" s="108"/>
      <c r="F472" s="108"/>
      <c r="G472" s="108"/>
      <c r="H472" s="108"/>
      <c r="I472" s="108"/>
      <c r="J472" s="108"/>
      <c r="K472" s="242"/>
    </row>
    <row r="473" spans="2:12" ht="15" customHeight="1" x14ac:dyDescent="0.25">
      <c r="B473" s="108"/>
      <c r="C473" s="108"/>
      <c r="D473" s="108"/>
      <c r="E473" s="108"/>
      <c r="F473" s="108"/>
      <c r="G473" s="108"/>
      <c r="H473" s="108"/>
      <c r="I473" s="108"/>
      <c r="J473" s="108"/>
      <c r="K473" s="242"/>
    </row>
    <row r="474" spans="2:12" ht="15" customHeight="1" x14ac:dyDescent="0.25">
      <c r="B474" s="601" t="s">
        <v>676</v>
      </c>
      <c r="C474" s="601"/>
      <c r="D474" s="601"/>
      <c r="E474" s="601"/>
      <c r="F474" s="601"/>
      <c r="G474" s="601"/>
      <c r="H474" s="601"/>
      <c r="I474" s="601"/>
      <c r="J474" s="601"/>
      <c r="K474" s="601"/>
    </row>
    <row r="475" spans="2:12" ht="15" customHeight="1" x14ac:dyDescent="0.25">
      <c r="K475" s="12"/>
    </row>
    <row r="476" spans="2:12" ht="15" customHeight="1" x14ac:dyDescent="0.25">
      <c r="B476" s="341" t="s">
        <v>207</v>
      </c>
      <c r="C476" s="602" t="s">
        <v>174</v>
      </c>
      <c r="D476" s="602"/>
      <c r="E476" s="602"/>
      <c r="F476" s="602"/>
      <c r="G476" s="602"/>
      <c r="H476" s="342" t="s">
        <v>89</v>
      </c>
      <c r="I476" s="603" t="s">
        <v>507</v>
      </c>
      <c r="J476" s="603"/>
      <c r="K476" s="342" t="s">
        <v>301</v>
      </c>
    </row>
    <row r="477" spans="2:12" ht="15" customHeight="1" x14ac:dyDescent="0.25">
      <c r="B477" s="5" t="s">
        <v>571</v>
      </c>
      <c r="C477" s="594" t="s">
        <v>509</v>
      </c>
      <c r="D477" s="594"/>
      <c r="E477" s="594"/>
      <c r="F477" s="594"/>
      <c r="G477" s="594"/>
      <c r="H477" s="5"/>
      <c r="I477" s="595">
        <f>'OK 3 - ADM LOCAL - CONTEIN.'!K460</f>
        <v>155843.48422307981</v>
      </c>
      <c r="J477" s="595"/>
      <c r="K477" s="133">
        <f>I477</f>
        <v>155843.48422307981</v>
      </c>
    </row>
    <row r="478" spans="2:12" ht="15" customHeight="1" x14ac:dyDescent="0.25">
      <c r="B478" s="5" t="s">
        <v>573</v>
      </c>
      <c r="C478" s="594" t="s">
        <v>86</v>
      </c>
      <c r="D478" s="594"/>
      <c r="E478" s="594"/>
      <c r="F478" s="594"/>
      <c r="G478" s="594"/>
      <c r="H478" s="249">
        <f>'9 - BDI'!D15</f>
        <v>0.27689893995634196</v>
      </c>
      <c r="I478" s="595">
        <f>K471</f>
        <v>468075.15737968811</v>
      </c>
      <c r="J478" s="595"/>
      <c r="K478" s="133">
        <f>I478*H478</f>
        <v>129609.51489833357</v>
      </c>
    </row>
    <row r="479" spans="2:12" ht="15" customHeight="1" x14ac:dyDescent="0.25">
      <c r="B479" s="596" t="s">
        <v>548</v>
      </c>
      <c r="C479" s="596"/>
      <c r="D479" s="596"/>
      <c r="E479" s="596"/>
      <c r="F479" s="596"/>
      <c r="G479" s="596"/>
      <c r="H479" s="596"/>
      <c r="I479" s="596"/>
      <c r="J479" s="596"/>
      <c r="K479" s="250">
        <f>SUM(K477:K478)</f>
        <v>285452.99912141339</v>
      </c>
    </row>
    <row r="480" spans="2:12" ht="15" customHeight="1" x14ac:dyDescent="0.25">
      <c r="B480" s="186"/>
      <c r="C480" s="186"/>
      <c r="D480" s="186"/>
      <c r="E480" s="186"/>
      <c r="F480" s="186"/>
      <c r="I480" s="1"/>
      <c r="J480" s="1"/>
      <c r="K480" s="109"/>
    </row>
    <row r="481" spans="1:11" ht="15" customHeight="1" x14ac:dyDescent="0.25">
      <c r="B481" s="186"/>
      <c r="C481" s="186"/>
      <c r="D481" s="186"/>
      <c r="E481" s="186"/>
      <c r="F481" s="186"/>
      <c r="I481" s="1"/>
      <c r="J481" s="1"/>
      <c r="K481" s="109"/>
    </row>
    <row r="482" spans="1:11" ht="15" customHeight="1" x14ac:dyDescent="0.25">
      <c r="B482" s="597" t="s">
        <v>677</v>
      </c>
      <c r="C482" s="597"/>
      <c r="D482" s="597"/>
      <c r="E482" s="597"/>
      <c r="F482" s="597"/>
      <c r="G482" s="597"/>
      <c r="H482" s="597"/>
      <c r="I482" s="597"/>
      <c r="J482" s="597"/>
      <c r="K482" s="241">
        <f>K479+K471</f>
        <v>753528.15650110156</v>
      </c>
    </row>
    <row r="484" spans="1:11" ht="15" customHeight="1" x14ac:dyDescent="0.25">
      <c r="B484" s="198"/>
      <c r="K484" s="199"/>
    </row>
    <row r="485" spans="1:11" ht="15" customHeight="1" x14ac:dyDescent="0.25">
      <c r="B485" s="198"/>
      <c r="K485" s="1"/>
    </row>
    <row r="486" spans="1:11" ht="33" customHeight="1" x14ac:dyDescent="0.25">
      <c r="B486" s="598"/>
      <c r="C486" s="598"/>
      <c r="D486" s="598"/>
      <c r="E486" s="598"/>
      <c r="F486" s="598"/>
      <c r="G486" s="598"/>
      <c r="H486" s="598"/>
      <c r="I486" s="598"/>
      <c r="J486" s="598"/>
      <c r="K486" s="200"/>
    </row>
    <row r="488" spans="1:11" ht="29.25" customHeight="1" x14ac:dyDescent="0.25">
      <c r="A488" s="131"/>
      <c r="B488" s="598"/>
      <c r="C488" s="598"/>
      <c r="D488" s="598"/>
      <c r="E488" s="598"/>
      <c r="F488" s="598"/>
      <c r="G488" s="598"/>
      <c r="H488" s="598"/>
      <c r="I488" s="598"/>
      <c r="J488" s="598"/>
      <c r="K488" s="200"/>
    </row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677">
    <mergeCell ref="C461:F461"/>
    <mergeCell ref="I461:J461"/>
    <mergeCell ref="L314:L320"/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C18:G18"/>
    <mergeCell ref="I18:J18"/>
    <mergeCell ref="C19:G19"/>
    <mergeCell ref="I19:J19"/>
    <mergeCell ref="C20:G20"/>
    <mergeCell ref="I20:J20"/>
    <mergeCell ref="C21:G21"/>
    <mergeCell ref="I21:J21"/>
    <mergeCell ref="C22:G22"/>
    <mergeCell ref="I22:J22"/>
    <mergeCell ref="B23:J23"/>
    <mergeCell ref="B24:J24"/>
    <mergeCell ref="B25:G25"/>
    <mergeCell ref="I25:J25"/>
    <mergeCell ref="B28:K28"/>
    <mergeCell ref="B29:K29"/>
    <mergeCell ref="B30:K30"/>
    <mergeCell ref="C31:G31"/>
    <mergeCell ref="C32:G32"/>
    <mergeCell ref="C35:G35"/>
    <mergeCell ref="C36:I36"/>
    <mergeCell ref="C37:I37"/>
    <mergeCell ref="C38:I38"/>
    <mergeCell ref="C39:I39"/>
    <mergeCell ref="C40:I40"/>
    <mergeCell ref="C41:I41"/>
    <mergeCell ref="C42:I42"/>
    <mergeCell ref="C43:G43"/>
    <mergeCell ref="C44:G44"/>
    <mergeCell ref="C45:G45"/>
    <mergeCell ref="C46:G46"/>
    <mergeCell ref="C47:G47"/>
    <mergeCell ref="C48:I48"/>
    <mergeCell ref="B49:J49"/>
    <mergeCell ref="B50:H50"/>
    <mergeCell ref="B52:K52"/>
    <mergeCell ref="C53:G53"/>
    <mergeCell ref="C54:G54"/>
    <mergeCell ref="B55:B56"/>
    <mergeCell ref="C55:G56"/>
    <mergeCell ref="C61:G61"/>
    <mergeCell ref="C62:I62"/>
    <mergeCell ref="C63:I63"/>
    <mergeCell ref="C64:I64"/>
    <mergeCell ref="C65:I65"/>
    <mergeCell ref="C66:I66"/>
    <mergeCell ref="C67:I67"/>
    <mergeCell ref="C68:I68"/>
    <mergeCell ref="C69:G69"/>
    <mergeCell ref="C70:G70"/>
    <mergeCell ref="C71:G71"/>
    <mergeCell ref="C72:G72"/>
    <mergeCell ref="C73:G73"/>
    <mergeCell ref="C74:I74"/>
    <mergeCell ref="B75:J75"/>
    <mergeCell ref="B76:H76"/>
    <mergeCell ref="B78:K78"/>
    <mergeCell ref="C79:G79"/>
    <mergeCell ref="C80:G80"/>
    <mergeCell ref="C83:G83"/>
    <mergeCell ref="C84:I84"/>
    <mergeCell ref="C85:I85"/>
    <mergeCell ref="C86:I86"/>
    <mergeCell ref="C87:I87"/>
    <mergeCell ref="C88:I88"/>
    <mergeCell ref="C89:I89"/>
    <mergeCell ref="C90:I90"/>
    <mergeCell ref="C91:G91"/>
    <mergeCell ref="C92:G92"/>
    <mergeCell ref="C93:G93"/>
    <mergeCell ref="C94:G94"/>
    <mergeCell ref="C95:I95"/>
    <mergeCell ref="B96:J96"/>
    <mergeCell ref="B97:H97"/>
    <mergeCell ref="B99:K99"/>
    <mergeCell ref="C100:G100"/>
    <mergeCell ref="C101:G101"/>
    <mergeCell ref="B102:B103"/>
    <mergeCell ref="C102:G103"/>
    <mergeCell ref="C107:G107"/>
    <mergeCell ref="C108:G108"/>
    <mergeCell ref="C109:I109"/>
    <mergeCell ref="C110:I110"/>
    <mergeCell ref="C111:I111"/>
    <mergeCell ref="C112:I112"/>
    <mergeCell ref="C113:I113"/>
    <mergeCell ref="C114:I114"/>
    <mergeCell ref="C115:I115"/>
    <mergeCell ref="C116:G116"/>
    <mergeCell ref="C117:G117"/>
    <mergeCell ref="C118:G118"/>
    <mergeCell ref="C119:G119"/>
    <mergeCell ref="C120:I120"/>
    <mergeCell ref="B121:J121"/>
    <mergeCell ref="B122:H122"/>
    <mergeCell ref="B124:J124"/>
    <mergeCell ref="B127:K127"/>
    <mergeCell ref="B129:K129"/>
    <mergeCell ref="B130:F130"/>
    <mergeCell ref="I130:J130"/>
    <mergeCell ref="B131:F131"/>
    <mergeCell ref="I131:J131"/>
    <mergeCell ref="B132:F132"/>
    <mergeCell ref="I132:J132"/>
    <mergeCell ref="B133:F133"/>
    <mergeCell ref="I133:J133"/>
    <mergeCell ref="B134:F134"/>
    <mergeCell ref="I134:J134"/>
    <mergeCell ref="B135:F135"/>
    <mergeCell ref="I135:J135"/>
    <mergeCell ref="B136:F136"/>
    <mergeCell ref="I136:J136"/>
    <mergeCell ref="B137:F137"/>
    <mergeCell ref="I137:J137"/>
    <mergeCell ref="B138:F138"/>
    <mergeCell ref="I138:J138"/>
    <mergeCell ref="B139:F139"/>
    <mergeCell ref="I139:J139"/>
    <mergeCell ref="B140:F140"/>
    <mergeCell ref="I140:J140"/>
    <mergeCell ref="B141:F141"/>
    <mergeCell ref="I141:J141"/>
    <mergeCell ref="B142:F142"/>
    <mergeCell ref="I142:J142"/>
    <mergeCell ref="B143:F143"/>
    <mergeCell ref="I143:J143"/>
    <mergeCell ref="B144:F144"/>
    <mergeCell ref="I144:J144"/>
    <mergeCell ref="B146:K146"/>
    <mergeCell ref="B147:F147"/>
    <mergeCell ref="I147:J147"/>
    <mergeCell ref="B148:F148"/>
    <mergeCell ref="I148:J148"/>
    <mergeCell ref="B149:F149"/>
    <mergeCell ref="I149:J149"/>
    <mergeCell ref="B150:F150"/>
    <mergeCell ref="I150:J150"/>
    <mergeCell ref="B151:F151"/>
    <mergeCell ref="I151:J151"/>
    <mergeCell ref="B152:F152"/>
    <mergeCell ref="I152:J152"/>
    <mergeCell ref="B153:F153"/>
    <mergeCell ref="I153:J153"/>
    <mergeCell ref="B154:F154"/>
    <mergeCell ref="I154:J154"/>
    <mergeCell ref="B155:F155"/>
    <mergeCell ref="I155:J155"/>
    <mergeCell ref="B156:F156"/>
    <mergeCell ref="I156:J156"/>
    <mergeCell ref="B157:F157"/>
    <mergeCell ref="I157:J157"/>
    <mergeCell ref="B158:F158"/>
    <mergeCell ref="I158:J158"/>
    <mergeCell ref="B159:J159"/>
    <mergeCell ref="B162:K162"/>
    <mergeCell ref="B164:K164"/>
    <mergeCell ref="C165:H165"/>
    <mergeCell ref="I165:J165"/>
    <mergeCell ref="C166:H166"/>
    <mergeCell ref="I166:J166"/>
    <mergeCell ref="C167:H167"/>
    <mergeCell ref="I167:J167"/>
    <mergeCell ref="C168:H168"/>
    <mergeCell ref="I168:J168"/>
    <mergeCell ref="C169:H169"/>
    <mergeCell ref="I169:J169"/>
    <mergeCell ref="C170:H170"/>
    <mergeCell ref="I170:J170"/>
    <mergeCell ref="C171:H171"/>
    <mergeCell ref="I171:J171"/>
    <mergeCell ref="C172:H172"/>
    <mergeCell ref="I172:J172"/>
    <mergeCell ref="C173:H173"/>
    <mergeCell ref="I173:J173"/>
    <mergeCell ref="C174:H174"/>
    <mergeCell ref="I174:J174"/>
    <mergeCell ref="C175:H175"/>
    <mergeCell ref="I175:J175"/>
    <mergeCell ref="C176:H176"/>
    <mergeCell ref="I176:J176"/>
    <mergeCell ref="C177:H177"/>
    <mergeCell ref="I177:J177"/>
    <mergeCell ref="C178:H178"/>
    <mergeCell ref="I178:J178"/>
    <mergeCell ref="C179:H179"/>
    <mergeCell ref="I179:J179"/>
    <mergeCell ref="C180:H180"/>
    <mergeCell ref="I180:J180"/>
    <mergeCell ref="C181:H181"/>
    <mergeCell ref="I181:J181"/>
    <mergeCell ref="C182:H182"/>
    <mergeCell ref="I182:J182"/>
    <mergeCell ref="C183:H183"/>
    <mergeCell ref="I183:J183"/>
    <mergeCell ref="C184:H184"/>
    <mergeCell ref="I184:J184"/>
    <mergeCell ref="C185:H185"/>
    <mergeCell ref="I185:J185"/>
    <mergeCell ref="C186:H186"/>
    <mergeCell ref="I186:J186"/>
    <mergeCell ref="C187:H187"/>
    <mergeCell ref="I187:J187"/>
    <mergeCell ref="C188:H188"/>
    <mergeCell ref="I188:J188"/>
    <mergeCell ref="C189:H189"/>
    <mergeCell ref="I189:J189"/>
    <mergeCell ref="C190:H190"/>
    <mergeCell ref="I190:J190"/>
    <mergeCell ref="C191:H191"/>
    <mergeCell ref="I191:J191"/>
    <mergeCell ref="C192:H192"/>
    <mergeCell ref="I192:J192"/>
    <mergeCell ref="C193:H193"/>
    <mergeCell ref="I193:J193"/>
    <mergeCell ref="B196:K196"/>
    <mergeCell ref="B198:K198"/>
    <mergeCell ref="I199:J199"/>
    <mergeCell ref="B200:F200"/>
    <mergeCell ref="I200:J200"/>
    <mergeCell ref="B201:F201"/>
    <mergeCell ref="I201:J201"/>
    <mergeCell ref="B202:F202"/>
    <mergeCell ref="I202:J202"/>
    <mergeCell ref="B203:F203"/>
    <mergeCell ref="I203:J203"/>
    <mergeCell ref="B204:F204"/>
    <mergeCell ref="I204:J204"/>
    <mergeCell ref="B205:F205"/>
    <mergeCell ref="I205:J205"/>
    <mergeCell ref="B206:F206"/>
    <mergeCell ref="I206:J206"/>
    <mergeCell ref="B207:F207"/>
    <mergeCell ref="I207:J207"/>
    <mergeCell ref="B208:F208"/>
    <mergeCell ref="I208:J208"/>
    <mergeCell ref="B209:F209"/>
    <mergeCell ref="I209:J209"/>
    <mergeCell ref="B210:F210"/>
    <mergeCell ref="I210:J210"/>
    <mergeCell ref="B211:F211"/>
    <mergeCell ref="I211:J211"/>
    <mergeCell ref="B213:K213"/>
    <mergeCell ref="B214:F214"/>
    <mergeCell ref="I214:J214"/>
    <mergeCell ref="B215:F215"/>
    <mergeCell ref="I215:J215"/>
    <mergeCell ref="B216:F216"/>
    <mergeCell ref="I216:J216"/>
    <mergeCell ref="B217:F217"/>
    <mergeCell ref="I217:J217"/>
    <mergeCell ref="B218:F218"/>
    <mergeCell ref="I218:J218"/>
    <mergeCell ref="B219:F219"/>
    <mergeCell ref="I219:J219"/>
    <mergeCell ref="B220:F220"/>
    <mergeCell ref="I220:J220"/>
    <mergeCell ref="B221:F221"/>
    <mergeCell ref="I221:J221"/>
    <mergeCell ref="L230:L235"/>
    <mergeCell ref="B222:F222"/>
    <mergeCell ref="I222:J222"/>
    <mergeCell ref="B223:F223"/>
    <mergeCell ref="I223:J223"/>
    <mergeCell ref="B224:F224"/>
    <mergeCell ref="I224:J224"/>
    <mergeCell ref="B225:F225"/>
    <mergeCell ref="I225:J225"/>
    <mergeCell ref="B226:F226"/>
    <mergeCell ref="I226:J226"/>
    <mergeCell ref="B227:K228"/>
    <mergeCell ref="B230:K230"/>
    <mergeCell ref="B231:F231"/>
    <mergeCell ref="I231:J231"/>
    <mergeCell ref="B232:F232"/>
    <mergeCell ref="I232:J232"/>
    <mergeCell ref="B233:F233"/>
    <mergeCell ref="I233:J233"/>
    <mergeCell ref="B234:F234"/>
    <mergeCell ref="I234:J234"/>
    <mergeCell ref="B235:F235"/>
    <mergeCell ref="I235:J235"/>
    <mergeCell ref="B236:F236"/>
    <mergeCell ref="I236:J236"/>
    <mergeCell ref="B243:F243"/>
    <mergeCell ref="I243:J243"/>
    <mergeCell ref="B244:F244"/>
    <mergeCell ref="I244:J244"/>
    <mergeCell ref="B245:K245"/>
    <mergeCell ref="B247:K247"/>
    <mergeCell ref="B248:F248"/>
    <mergeCell ref="I248:J248"/>
    <mergeCell ref="B238:K238"/>
    <mergeCell ref="B239:F239"/>
    <mergeCell ref="I239:J239"/>
    <mergeCell ref="B240:F240"/>
    <mergeCell ref="I240:J240"/>
    <mergeCell ref="B241:F241"/>
    <mergeCell ref="I241:J241"/>
    <mergeCell ref="B242:F242"/>
    <mergeCell ref="I242:J242"/>
    <mergeCell ref="B249:F249"/>
    <mergeCell ref="I249:J249"/>
    <mergeCell ref="B250:F250"/>
    <mergeCell ref="I250:J250"/>
    <mergeCell ref="B251:F251"/>
    <mergeCell ref="I251:J251"/>
    <mergeCell ref="B252:F252"/>
    <mergeCell ref="I252:J252"/>
    <mergeCell ref="B253:F253"/>
    <mergeCell ref="I253:J253"/>
    <mergeCell ref="B254:F254"/>
    <mergeCell ref="I254:J254"/>
    <mergeCell ref="B255:F255"/>
    <mergeCell ref="I255:J255"/>
    <mergeCell ref="B256:F256"/>
    <mergeCell ref="I256:J256"/>
    <mergeCell ref="B257:F257"/>
    <mergeCell ref="I257:J257"/>
    <mergeCell ref="B259:K259"/>
    <mergeCell ref="B260:F260"/>
    <mergeCell ref="I260:J260"/>
    <mergeCell ref="B261:F261"/>
    <mergeCell ref="I261:J261"/>
    <mergeCell ref="B262:F262"/>
    <mergeCell ref="I262:J262"/>
    <mergeCell ref="B263:F263"/>
    <mergeCell ref="I263:J263"/>
    <mergeCell ref="B264:F264"/>
    <mergeCell ref="I264:J264"/>
    <mergeCell ref="B265:F265"/>
    <mergeCell ref="I265:J265"/>
    <mergeCell ref="B266:F266"/>
    <mergeCell ref="I266:J266"/>
    <mergeCell ref="B267:F267"/>
    <mergeCell ref="I267:J267"/>
    <mergeCell ref="B268:F268"/>
    <mergeCell ref="I268:J268"/>
    <mergeCell ref="B270:K270"/>
    <mergeCell ref="B271:F271"/>
    <mergeCell ref="I271:J271"/>
    <mergeCell ref="B272:F272"/>
    <mergeCell ref="I272:J272"/>
    <mergeCell ref="B273:F273"/>
    <mergeCell ref="I273:J273"/>
    <mergeCell ref="B274:K277"/>
    <mergeCell ref="B279:J279"/>
    <mergeCell ref="B280:J280"/>
    <mergeCell ref="B282:K282"/>
    <mergeCell ref="B284:K284"/>
    <mergeCell ref="B285:F285"/>
    <mergeCell ref="I285:J285"/>
    <mergeCell ref="B286:F286"/>
    <mergeCell ref="I286:J286"/>
    <mergeCell ref="B287:F287"/>
    <mergeCell ref="I287:J287"/>
    <mergeCell ref="B288:F288"/>
    <mergeCell ref="I288:J288"/>
    <mergeCell ref="B289:F289"/>
    <mergeCell ref="I289:J289"/>
    <mergeCell ref="B290:F290"/>
    <mergeCell ref="I290:J290"/>
    <mergeCell ref="B291:F291"/>
    <mergeCell ref="I291:J291"/>
    <mergeCell ref="B292:F292"/>
    <mergeCell ref="I292:J292"/>
    <mergeCell ref="B293:F293"/>
    <mergeCell ref="I293:J293"/>
    <mergeCell ref="B294:F294"/>
    <mergeCell ref="I294:J294"/>
    <mergeCell ref="B295:F295"/>
    <mergeCell ref="I295:J295"/>
    <mergeCell ref="B296:F296"/>
    <mergeCell ref="I296:J296"/>
    <mergeCell ref="B297:F297"/>
    <mergeCell ref="I297:J297"/>
    <mergeCell ref="B299:K299"/>
    <mergeCell ref="B300:F300"/>
    <mergeCell ref="I300:J300"/>
    <mergeCell ref="B301:F301"/>
    <mergeCell ref="I301:J301"/>
    <mergeCell ref="B302:F302"/>
    <mergeCell ref="I302:J302"/>
    <mergeCell ref="B303:F303"/>
    <mergeCell ref="I303:J303"/>
    <mergeCell ref="B304:F304"/>
    <mergeCell ref="I304:J304"/>
    <mergeCell ref="B305:F305"/>
    <mergeCell ref="I305:J305"/>
    <mergeCell ref="B306:F306"/>
    <mergeCell ref="I306:J306"/>
    <mergeCell ref="B307:F307"/>
    <mergeCell ref="I307:J307"/>
    <mergeCell ref="B308:F308"/>
    <mergeCell ref="I308:J308"/>
    <mergeCell ref="B309:F309"/>
    <mergeCell ref="I309:J309"/>
    <mergeCell ref="B310:F310"/>
    <mergeCell ref="I310:J310"/>
    <mergeCell ref="B311:F311"/>
    <mergeCell ref="I311:J311"/>
    <mergeCell ref="B312:F312"/>
    <mergeCell ref="I312:J312"/>
    <mergeCell ref="B314:K314"/>
    <mergeCell ref="B315:F315"/>
    <mergeCell ref="I315:J315"/>
    <mergeCell ref="B316:F316"/>
    <mergeCell ref="I316:J316"/>
    <mergeCell ref="B317:F317"/>
    <mergeCell ref="I317:J317"/>
    <mergeCell ref="B318:F318"/>
    <mergeCell ref="I318:J318"/>
    <mergeCell ref="B319:F319"/>
    <mergeCell ref="I319:J319"/>
    <mergeCell ref="B320:F320"/>
    <mergeCell ref="I320:J320"/>
    <mergeCell ref="B322:K322"/>
    <mergeCell ref="B323:F323"/>
    <mergeCell ref="I323:J323"/>
    <mergeCell ref="B324:F324"/>
    <mergeCell ref="I324:J324"/>
    <mergeCell ref="B325:F325"/>
    <mergeCell ref="I325:J325"/>
    <mergeCell ref="B326:F326"/>
    <mergeCell ref="I326:J326"/>
    <mergeCell ref="B327:F327"/>
    <mergeCell ref="I327:J327"/>
    <mergeCell ref="B328:F328"/>
    <mergeCell ref="I328:J328"/>
    <mergeCell ref="B330:K330"/>
    <mergeCell ref="B331:F331"/>
    <mergeCell ref="I331:J331"/>
    <mergeCell ref="B332:F332"/>
    <mergeCell ref="I332:J332"/>
    <mergeCell ref="B333:F333"/>
    <mergeCell ref="I333:J333"/>
    <mergeCell ref="B334:F334"/>
    <mergeCell ref="I334:J334"/>
    <mergeCell ref="B335:F335"/>
    <mergeCell ref="I335:J335"/>
    <mergeCell ref="B336:F336"/>
    <mergeCell ref="I336:J336"/>
    <mergeCell ref="B337:F337"/>
    <mergeCell ref="I337:J337"/>
    <mergeCell ref="B338:F338"/>
    <mergeCell ref="I338:J338"/>
    <mergeCell ref="B339:F339"/>
    <mergeCell ref="I339:J339"/>
    <mergeCell ref="B340:F340"/>
    <mergeCell ref="I340:J340"/>
    <mergeCell ref="B342:K342"/>
    <mergeCell ref="B343:F343"/>
    <mergeCell ref="I343:J343"/>
    <mergeCell ref="B344:F344"/>
    <mergeCell ref="I344:J344"/>
    <mergeCell ref="B345:F345"/>
    <mergeCell ref="I345:J345"/>
    <mergeCell ref="B346:F346"/>
    <mergeCell ref="I346:J346"/>
    <mergeCell ref="B347:F347"/>
    <mergeCell ref="I347:J347"/>
    <mergeCell ref="B348:F348"/>
    <mergeCell ref="I348:J348"/>
    <mergeCell ref="B349:F349"/>
    <mergeCell ref="I349:J349"/>
    <mergeCell ref="B350:F350"/>
    <mergeCell ref="I350:J350"/>
    <mergeCell ref="B351:F351"/>
    <mergeCell ref="I351:J351"/>
    <mergeCell ref="B353:K353"/>
    <mergeCell ref="B354:F354"/>
    <mergeCell ref="I354:J354"/>
    <mergeCell ref="B355:F355"/>
    <mergeCell ref="I355:J355"/>
    <mergeCell ref="B356:F356"/>
    <mergeCell ref="I356:J356"/>
    <mergeCell ref="B358:J358"/>
    <mergeCell ref="B359:J359"/>
    <mergeCell ref="B361:K361"/>
    <mergeCell ref="B363:K363"/>
    <mergeCell ref="I364:J364"/>
    <mergeCell ref="B365:F365"/>
    <mergeCell ref="I365:J365"/>
    <mergeCell ref="B366:F366"/>
    <mergeCell ref="I366:J366"/>
    <mergeCell ref="B367:F367"/>
    <mergeCell ref="I367:J367"/>
    <mergeCell ref="B368:F368"/>
    <mergeCell ref="I368:J368"/>
    <mergeCell ref="B369:F369"/>
    <mergeCell ref="I369:J369"/>
    <mergeCell ref="B370:F370"/>
    <mergeCell ref="I370:J370"/>
    <mergeCell ref="B372:K372"/>
    <mergeCell ref="B373:F373"/>
    <mergeCell ref="I373:J373"/>
    <mergeCell ref="B374:F374"/>
    <mergeCell ref="I374:J374"/>
    <mergeCell ref="B375:F375"/>
    <mergeCell ref="I375:J375"/>
    <mergeCell ref="B376:F376"/>
    <mergeCell ref="I376:J376"/>
    <mergeCell ref="B377:F377"/>
    <mergeCell ref="I377:J377"/>
    <mergeCell ref="B378:F378"/>
    <mergeCell ref="I378:J378"/>
    <mergeCell ref="B379:F379"/>
    <mergeCell ref="I379:J379"/>
    <mergeCell ref="B381:K381"/>
    <mergeCell ref="B382:F382"/>
    <mergeCell ref="I382:J382"/>
    <mergeCell ref="B383:F383"/>
    <mergeCell ref="I383:J383"/>
    <mergeCell ref="B384:F384"/>
    <mergeCell ref="I384:J384"/>
    <mergeCell ref="B385:F385"/>
    <mergeCell ref="I385:J385"/>
    <mergeCell ref="B386:F386"/>
    <mergeCell ref="I386:J386"/>
    <mergeCell ref="B387:F387"/>
    <mergeCell ref="I387:J387"/>
    <mergeCell ref="B389:K389"/>
    <mergeCell ref="B390:F390"/>
    <mergeCell ref="I390:J390"/>
    <mergeCell ref="B391:F391"/>
    <mergeCell ref="I391:J391"/>
    <mergeCell ref="B392:F392"/>
    <mergeCell ref="I392:J392"/>
    <mergeCell ref="B393:F393"/>
    <mergeCell ref="I393:J393"/>
    <mergeCell ref="B394:F394"/>
    <mergeCell ref="I394:J394"/>
    <mergeCell ref="B395:F395"/>
    <mergeCell ref="I395:J395"/>
    <mergeCell ref="B397:K397"/>
    <mergeCell ref="B398:F398"/>
    <mergeCell ref="I398:J398"/>
    <mergeCell ref="B399:F399"/>
    <mergeCell ref="I399:J399"/>
    <mergeCell ref="B400:F400"/>
    <mergeCell ref="I400:J400"/>
    <mergeCell ref="B401:F401"/>
    <mergeCell ref="I401:J401"/>
    <mergeCell ref="B402:F402"/>
    <mergeCell ref="I402:J402"/>
    <mergeCell ref="B403:F403"/>
    <mergeCell ref="I403:J403"/>
    <mergeCell ref="B404:F404"/>
    <mergeCell ref="I404:J404"/>
    <mergeCell ref="B405:F405"/>
    <mergeCell ref="I405:J405"/>
    <mergeCell ref="B407:K407"/>
    <mergeCell ref="B408:F408"/>
    <mergeCell ref="I408:J408"/>
    <mergeCell ref="B409:F409"/>
    <mergeCell ref="I409:J409"/>
    <mergeCell ref="B410:F410"/>
    <mergeCell ref="I410:J410"/>
    <mergeCell ref="B411:F411"/>
    <mergeCell ref="I411:J411"/>
    <mergeCell ref="B412:F412"/>
    <mergeCell ref="I412:J412"/>
    <mergeCell ref="B413:F413"/>
    <mergeCell ref="I413:J413"/>
    <mergeCell ref="B415:K415"/>
    <mergeCell ref="B416:F416"/>
    <mergeCell ref="I416:J416"/>
    <mergeCell ref="B417:F417"/>
    <mergeCell ref="I417:J417"/>
    <mergeCell ref="B418:F418"/>
    <mergeCell ref="I418:J418"/>
    <mergeCell ref="B420:J420"/>
    <mergeCell ref="B421:J421"/>
    <mergeCell ref="B423:K423"/>
    <mergeCell ref="B425:K425"/>
    <mergeCell ref="I426:J426"/>
    <mergeCell ref="B427:F427"/>
    <mergeCell ref="I427:J427"/>
    <mergeCell ref="B428:F428"/>
    <mergeCell ref="I428:J428"/>
    <mergeCell ref="B429:F429"/>
    <mergeCell ref="I429:J429"/>
    <mergeCell ref="B430:F430"/>
    <mergeCell ref="I430:J430"/>
    <mergeCell ref="B431:F431"/>
    <mergeCell ref="I431:J431"/>
    <mergeCell ref="B432:F432"/>
    <mergeCell ref="I432:J432"/>
    <mergeCell ref="B434:K434"/>
    <mergeCell ref="B435:F435"/>
    <mergeCell ref="I435:J435"/>
    <mergeCell ref="B436:F436"/>
    <mergeCell ref="I436:J436"/>
    <mergeCell ref="B437:F437"/>
    <mergeCell ref="I437:J437"/>
    <mergeCell ref="B438:F438"/>
    <mergeCell ref="I438:J438"/>
    <mergeCell ref="B439:F439"/>
    <mergeCell ref="I439:J439"/>
    <mergeCell ref="B440:F440"/>
    <mergeCell ref="I440:J440"/>
    <mergeCell ref="B441:F441"/>
    <mergeCell ref="I441:J441"/>
    <mergeCell ref="B443:K443"/>
    <mergeCell ref="B444:F444"/>
    <mergeCell ref="I444:J444"/>
    <mergeCell ref="B445:F445"/>
    <mergeCell ref="I445:J445"/>
    <mergeCell ref="B446:F446"/>
    <mergeCell ref="I446:J446"/>
    <mergeCell ref="B448:J448"/>
    <mergeCell ref="B449:J449"/>
    <mergeCell ref="B452:J452"/>
    <mergeCell ref="B455:K455"/>
    <mergeCell ref="C457:F457"/>
    <mergeCell ref="I457:J457"/>
    <mergeCell ref="C458:F458"/>
    <mergeCell ref="I458:J458"/>
    <mergeCell ref="C459:F459"/>
    <mergeCell ref="I459:J459"/>
    <mergeCell ref="C460:F460"/>
    <mergeCell ref="I460:J460"/>
    <mergeCell ref="C462:F462"/>
    <mergeCell ref="I462:J462"/>
    <mergeCell ref="C463:F463"/>
    <mergeCell ref="I463:J463"/>
    <mergeCell ref="C464:F464"/>
    <mergeCell ref="I464:J464"/>
    <mergeCell ref="C465:F465"/>
    <mergeCell ref="I465:J465"/>
    <mergeCell ref="C466:F466"/>
    <mergeCell ref="I466:J466"/>
    <mergeCell ref="C478:G478"/>
    <mergeCell ref="I478:J478"/>
    <mergeCell ref="B479:J479"/>
    <mergeCell ref="B482:J482"/>
    <mergeCell ref="B486:J486"/>
    <mergeCell ref="B488:J488"/>
    <mergeCell ref="C467:F467"/>
    <mergeCell ref="I467:J467"/>
    <mergeCell ref="B468:J468"/>
    <mergeCell ref="B471:J471"/>
    <mergeCell ref="B474:K474"/>
    <mergeCell ref="C476:G476"/>
    <mergeCell ref="I476:J476"/>
    <mergeCell ref="C477:G477"/>
    <mergeCell ref="I477:J477"/>
  </mergeCells>
  <pageMargins left="0.51180555555555596" right="0.51180555555555596" top="0.78749999999999998" bottom="0.78749999999999998" header="0.511811023622047" footer="0.31527777777777799"/>
  <pageSetup paperSize="9" firstPageNumber="17" fitToHeight="0" orientation="portrait" useFirstPageNumber="1" horizontalDpi="300" verticalDpi="300"/>
  <headerFooter>
    <oddFooter>&amp;R&amp;P de 45</oddFooter>
  </headerFooter>
  <rowBreaks count="6" manualBreakCount="6">
    <brk id="57" max="16383" man="1"/>
    <brk id="111" max="16383" man="1"/>
    <brk id="167" max="16383" man="1"/>
    <brk id="223" max="16383" man="1"/>
    <brk id="279" max="16383" man="1"/>
    <brk id="339" max="16383" man="1"/>
  </rowBreaks>
  <ignoredErrors>
    <ignoredError sqref="H12:H13" formulaRange="1"/>
    <ignoredError sqref="K11 K156 K251 K254 K401 K461 K463 K334 K33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048576"/>
  <sheetViews>
    <sheetView workbookViewId="0">
      <selection activeCell="I328" activeCellId="1" sqref="G325 I328:J328"/>
    </sheetView>
  </sheetViews>
  <sheetFormatPr defaultColWidth="14.7109375" defaultRowHeight="17.100000000000001" customHeight="1" x14ac:dyDescent="0.25"/>
  <cols>
    <col min="1" max="1" width="23.42578125" customWidth="1"/>
    <col min="11" max="11" width="18.5703125" customWidth="1"/>
    <col min="12" max="12" width="41.42578125" style="535" customWidth="1"/>
    <col min="13" max="14" width="14.7109375" style="536"/>
  </cols>
  <sheetData>
    <row r="1" spans="1:11" ht="17.100000000000001" customHeight="1" x14ac:dyDescent="0.25">
      <c r="A1" s="251"/>
      <c r="B1" s="86"/>
      <c r="C1" s="86"/>
      <c r="D1" s="86"/>
      <c r="E1" s="86"/>
      <c r="F1" s="86"/>
      <c r="G1" s="86"/>
      <c r="H1" s="86"/>
      <c r="I1" s="86"/>
      <c r="J1" s="86"/>
      <c r="K1" s="252"/>
    </row>
    <row r="2" spans="1:11" ht="17.100000000000001" customHeight="1" x14ac:dyDescent="0.25">
      <c r="A2" s="86"/>
      <c r="B2" s="849" t="s">
        <v>678</v>
      </c>
      <c r="C2" s="849"/>
      <c r="D2" s="849"/>
      <c r="E2" s="849"/>
      <c r="F2" s="849"/>
      <c r="G2" s="849"/>
      <c r="H2" s="849"/>
      <c r="I2" s="849"/>
      <c r="J2" s="849"/>
      <c r="K2" s="849"/>
    </row>
    <row r="3" spans="1:11" ht="17.100000000000001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252"/>
    </row>
    <row r="4" spans="1:11" ht="17.100000000000001" customHeight="1" x14ac:dyDescent="0.25">
      <c r="A4" s="86"/>
      <c r="B4" s="780" t="s">
        <v>36</v>
      </c>
      <c r="C4" s="780"/>
      <c r="D4" s="780"/>
      <c r="E4" s="780"/>
      <c r="F4" s="780"/>
      <c r="G4" s="780"/>
      <c r="H4" s="780"/>
      <c r="I4" s="780"/>
      <c r="J4" s="780"/>
      <c r="K4" s="780"/>
    </row>
    <row r="5" spans="1:11" ht="30" x14ac:dyDescent="0.25">
      <c r="A5" s="86"/>
      <c r="B5" s="750" t="s">
        <v>37</v>
      </c>
      <c r="C5" s="750"/>
      <c r="D5" s="750"/>
      <c r="E5" s="750"/>
      <c r="F5" s="750"/>
      <c r="G5" s="750"/>
      <c r="H5" s="89" t="s">
        <v>38</v>
      </c>
      <c r="I5" s="832" t="s">
        <v>39</v>
      </c>
      <c r="J5" s="832"/>
      <c r="K5" s="253" t="s">
        <v>40</v>
      </c>
    </row>
    <row r="6" spans="1:11" ht="17.100000000000001" customHeight="1" x14ac:dyDescent="0.25">
      <c r="A6" s="252"/>
      <c r="B6" s="254" t="s">
        <v>41</v>
      </c>
      <c r="C6" s="850" t="s">
        <v>42</v>
      </c>
      <c r="D6" s="850"/>
      <c r="E6" s="850"/>
      <c r="F6" s="850"/>
      <c r="G6" s="850"/>
      <c r="H6" s="255">
        <f>SUM(H7:H15)</f>
        <v>11</v>
      </c>
      <c r="I6" s="843"/>
      <c r="J6" s="843"/>
      <c r="K6" s="256">
        <f>SUM(K7:K15)</f>
        <v>77436.468061081294</v>
      </c>
    </row>
    <row r="7" spans="1:11" ht="17.100000000000001" customHeight="1" x14ac:dyDescent="0.25">
      <c r="A7" s="252"/>
      <c r="B7" s="77" t="s">
        <v>43</v>
      </c>
      <c r="C7" s="797" t="s">
        <v>44</v>
      </c>
      <c r="D7" s="797"/>
      <c r="E7" s="797"/>
      <c r="F7" s="797"/>
      <c r="G7" s="797"/>
      <c r="H7" s="76">
        <v>1</v>
      </c>
      <c r="I7" s="842">
        <f>K50</f>
        <v>12578.929312692355</v>
      </c>
      <c r="J7" s="842"/>
      <c r="K7" s="94">
        <f t="shared" ref="K7:K15" si="0">I7*H7</f>
        <v>12578.929312692355</v>
      </c>
    </row>
    <row r="8" spans="1:11" ht="17.100000000000001" customHeight="1" x14ac:dyDescent="0.25">
      <c r="A8" s="252"/>
      <c r="B8" s="77" t="s">
        <v>45</v>
      </c>
      <c r="C8" s="797" t="s">
        <v>46</v>
      </c>
      <c r="D8" s="797"/>
      <c r="E8" s="797"/>
      <c r="F8" s="797"/>
      <c r="G8" s="797"/>
      <c r="H8" s="76">
        <v>1</v>
      </c>
      <c r="I8" s="842">
        <f>K71</f>
        <v>10130.342291755216</v>
      </c>
      <c r="J8" s="842"/>
      <c r="K8" s="94">
        <f t="shared" si="0"/>
        <v>10130.342291755216</v>
      </c>
    </row>
    <row r="9" spans="1:11" ht="17.100000000000001" customHeight="1" x14ac:dyDescent="0.25">
      <c r="A9" s="252"/>
      <c r="B9" s="77" t="s">
        <v>47</v>
      </c>
      <c r="C9" s="797" t="s">
        <v>50</v>
      </c>
      <c r="D9" s="797"/>
      <c r="E9" s="797"/>
      <c r="F9" s="797"/>
      <c r="G9" s="797"/>
      <c r="H9" s="258">
        <v>1</v>
      </c>
      <c r="I9" s="842">
        <f>K90</f>
        <v>5130.0715059133481</v>
      </c>
      <c r="J9" s="842"/>
      <c r="K9" s="94">
        <f t="shared" si="0"/>
        <v>5130.0715059133481</v>
      </c>
    </row>
    <row r="10" spans="1:11" ht="17.100000000000001" customHeight="1" x14ac:dyDescent="0.25">
      <c r="A10" s="252"/>
      <c r="B10" s="77" t="s">
        <v>49</v>
      </c>
      <c r="C10" s="797" t="s">
        <v>514</v>
      </c>
      <c r="D10" s="797"/>
      <c r="E10" s="797"/>
      <c r="F10" s="797"/>
      <c r="G10" s="797"/>
      <c r="H10" s="76">
        <v>1</v>
      </c>
      <c r="I10" s="842">
        <f>K111</f>
        <v>6496.190580617138</v>
      </c>
      <c r="J10" s="842"/>
      <c r="K10" s="94">
        <f t="shared" si="0"/>
        <v>6496.190580617138</v>
      </c>
    </row>
    <row r="11" spans="1:11" ht="17.100000000000001" customHeight="1" x14ac:dyDescent="0.25">
      <c r="A11" s="252"/>
      <c r="B11" s="77" t="s">
        <v>51</v>
      </c>
      <c r="C11" s="797" t="s">
        <v>516</v>
      </c>
      <c r="D11" s="797"/>
      <c r="E11" s="797"/>
      <c r="F11" s="797"/>
      <c r="G11" s="797"/>
      <c r="H11" s="258">
        <v>1</v>
      </c>
      <c r="I11" s="842">
        <f>K132</f>
        <v>5926.5901046535892</v>
      </c>
      <c r="J11" s="842"/>
      <c r="K11" s="94">
        <f t="shared" si="0"/>
        <v>5926.5901046535892</v>
      </c>
    </row>
    <row r="12" spans="1:11" ht="17.100000000000001" customHeight="1" x14ac:dyDescent="0.25">
      <c r="A12" s="252"/>
      <c r="B12" s="77" t="s">
        <v>53</v>
      </c>
      <c r="C12" s="797" t="s">
        <v>60</v>
      </c>
      <c r="D12" s="797"/>
      <c r="E12" s="797"/>
      <c r="F12" s="797"/>
      <c r="G12" s="797"/>
      <c r="H12" s="76">
        <v>1</v>
      </c>
      <c r="I12" s="842">
        <f>K154</f>
        <v>5684.5797853274617</v>
      </c>
      <c r="J12" s="842"/>
      <c r="K12" s="94">
        <f t="shared" si="0"/>
        <v>5684.5797853274617</v>
      </c>
    </row>
    <row r="13" spans="1:11" ht="17.100000000000001" customHeight="1" x14ac:dyDescent="0.25">
      <c r="A13" s="252"/>
      <c r="B13" s="77" t="s">
        <v>55</v>
      </c>
      <c r="C13" s="797" t="s">
        <v>62</v>
      </c>
      <c r="D13" s="797"/>
      <c r="E13" s="797"/>
      <c r="F13" s="797"/>
      <c r="G13" s="797"/>
      <c r="H13" s="76">
        <v>1</v>
      </c>
      <c r="I13" s="842">
        <f>K176</f>
        <v>5684.5797853274617</v>
      </c>
      <c r="J13" s="842"/>
      <c r="K13" s="94">
        <f t="shared" si="0"/>
        <v>5684.5797853274617</v>
      </c>
    </row>
    <row r="14" spans="1:11" ht="17.100000000000001" customHeight="1" x14ac:dyDescent="0.25">
      <c r="A14" s="252"/>
      <c r="B14" s="77" t="s">
        <v>57</v>
      </c>
      <c r="C14" s="669" t="s">
        <v>64</v>
      </c>
      <c r="D14" s="669"/>
      <c r="E14" s="669"/>
      <c r="F14" s="669"/>
      <c r="G14" s="669"/>
      <c r="H14" s="258">
        <v>2</v>
      </c>
      <c r="I14" s="842">
        <f>K198</f>
        <v>6121.6611467860021</v>
      </c>
      <c r="J14" s="842"/>
      <c r="K14" s="94">
        <f t="shared" si="0"/>
        <v>12243.322293572004</v>
      </c>
    </row>
    <row r="15" spans="1:11" ht="17.100000000000001" customHeight="1" x14ac:dyDescent="0.25">
      <c r="A15" s="252"/>
      <c r="B15" s="77" t="s">
        <v>59</v>
      </c>
      <c r="C15" s="669" t="s">
        <v>66</v>
      </c>
      <c r="D15" s="669"/>
      <c r="E15" s="669"/>
      <c r="F15" s="669"/>
      <c r="G15" s="669"/>
      <c r="H15" s="258">
        <v>2</v>
      </c>
      <c r="I15" s="842">
        <f>K224</f>
        <v>6780.931200611356</v>
      </c>
      <c r="J15" s="842"/>
      <c r="K15" s="94">
        <f t="shared" si="0"/>
        <v>13561.862401222712</v>
      </c>
    </row>
    <row r="16" spans="1:11" ht="17.100000000000001" customHeight="1" x14ac:dyDescent="0.25">
      <c r="A16" s="252"/>
      <c r="B16" s="254" t="s">
        <v>67</v>
      </c>
      <c r="C16" s="843" t="s">
        <v>68</v>
      </c>
      <c r="D16" s="843"/>
      <c r="E16" s="843"/>
      <c r="F16" s="843"/>
      <c r="G16" s="843"/>
      <c r="H16" s="255">
        <f>SUM(H17:H21)</f>
        <v>11</v>
      </c>
      <c r="I16" s="844"/>
      <c r="J16" s="844"/>
      <c r="K16" s="256">
        <f>SUM(K17:K21)</f>
        <v>735.8461111111111</v>
      </c>
    </row>
    <row r="17" spans="1:12" ht="17.100000000000001" customHeight="1" x14ac:dyDescent="0.25">
      <c r="A17" s="252"/>
      <c r="B17" s="87" t="s">
        <v>69</v>
      </c>
      <c r="C17" s="797" t="s">
        <v>70</v>
      </c>
      <c r="D17" s="797"/>
      <c r="E17" s="797"/>
      <c r="F17" s="797"/>
      <c r="G17" s="797"/>
      <c r="H17" s="76">
        <f>H7+H9</f>
        <v>2</v>
      </c>
      <c r="I17" s="842">
        <f>K236</f>
        <v>22.152222222222221</v>
      </c>
      <c r="J17" s="842"/>
      <c r="K17" s="257">
        <f>I17*H17</f>
        <v>44.304444444444442</v>
      </c>
    </row>
    <row r="18" spans="1:12" ht="17.100000000000001" customHeight="1" x14ac:dyDescent="0.25">
      <c r="A18" s="252"/>
      <c r="B18" s="87" t="s">
        <v>71</v>
      </c>
      <c r="C18" s="855" t="s">
        <v>72</v>
      </c>
      <c r="D18" s="855"/>
      <c r="E18" s="855"/>
      <c r="F18" s="855"/>
      <c r="G18" s="855"/>
      <c r="H18" s="76">
        <f>H8</f>
        <v>1</v>
      </c>
      <c r="I18" s="842">
        <f>K248</f>
        <v>96.129444444444445</v>
      </c>
      <c r="J18" s="842"/>
      <c r="K18" s="257">
        <f>I18*H18</f>
        <v>96.129444444444445</v>
      </c>
    </row>
    <row r="19" spans="1:12" ht="17.100000000000001" customHeight="1" x14ac:dyDescent="0.25">
      <c r="A19" s="252"/>
      <c r="B19" s="87" t="s">
        <v>73</v>
      </c>
      <c r="C19" s="797" t="s">
        <v>74</v>
      </c>
      <c r="D19" s="797"/>
      <c r="E19" s="797"/>
      <c r="F19" s="797"/>
      <c r="G19" s="797"/>
      <c r="H19" s="76">
        <v>2</v>
      </c>
      <c r="I19" s="842">
        <f>K262</f>
        <v>94.691666666666649</v>
      </c>
      <c r="J19" s="842"/>
      <c r="K19" s="257">
        <f>I19*H19</f>
        <v>189.3833333333333</v>
      </c>
    </row>
    <row r="20" spans="1:12" ht="17.100000000000001" customHeight="1" x14ac:dyDescent="0.25">
      <c r="A20" s="252"/>
      <c r="B20" s="87" t="s">
        <v>75</v>
      </c>
      <c r="C20" s="846" t="s">
        <v>76</v>
      </c>
      <c r="D20" s="846"/>
      <c r="E20" s="846"/>
      <c r="F20" s="846"/>
      <c r="G20" s="846"/>
      <c r="H20" s="76">
        <f>H12+H13</f>
        <v>2</v>
      </c>
      <c r="I20" s="842">
        <f>K275</f>
        <v>72.135555555555555</v>
      </c>
      <c r="J20" s="842"/>
      <c r="K20" s="257">
        <f>I20*H20</f>
        <v>144.27111111111111</v>
      </c>
    </row>
    <row r="21" spans="1:12" ht="17.100000000000001" customHeight="1" x14ac:dyDescent="0.25">
      <c r="A21" s="252"/>
      <c r="B21" s="87" t="s">
        <v>77</v>
      </c>
      <c r="C21" s="669" t="s">
        <v>78</v>
      </c>
      <c r="D21" s="669"/>
      <c r="E21" s="669"/>
      <c r="F21" s="669"/>
      <c r="G21" s="669"/>
      <c r="H21" s="76">
        <v>4</v>
      </c>
      <c r="I21" s="842">
        <f>K285</f>
        <v>65.439444444444447</v>
      </c>
      <c r="J21" s="842"/>
      <c r="K21" s="257">
        <f>I21*H21</f>
        <v>261.75777777777779</v>
      </c>
    </row>
    <row r="22" spans="1:12" ht="17.100000000000001" customHeight="1" x14ac:dyDescent="0.25">
      <c r="A22" s="252"/>
      <c r="B22" s="254" t="s">
        <v>79</v>
      </c>
      <c r="C22" s="843" t="s">
        <v>80</v>
      </c>
      <c r="D22" s="843"/>
      <c r="E22" s="843"/>
      <c r="F22" s="843"/>
      <c r="G22" s="843"/>
      <c r="H22" s="255">
        <f>H23</f>
        <v>1</v>
      </c>
      <c r="I22" s="844"/>
      <c r="J22" s="844"/>
      <c r="K22" s="256">
        <f>K361</f>
        <v>1110.5074102277131</v>
      </c>
    </row>
    <row r="23" spans="1:12" ht="17.100000000000001" customHeight="1" x14ac:dyDescent="0.25">
      <c r="A23" s="252"/>
      <c r="B23" s="77" t="s">
        <v>81</v>
      </c>
      <c r="C23" s="797" t="s">
        <v>82</v>
      </c>
      <c r="D23" s="797"/>
      <c r="E23" s="797"/>
      <c r="F23" s="797"/>
      <c r="G23" s="797"/>
      <c r="H23" s="584">
        <v>1</v>
      </c>
      <c r="I23" s="842">
        <f>K301+K309+K320+I335+K345+K358</f>
        <v>1110.5074102277131</v>
      </c>
      <c r="J23" s="842"/>
      <c r="K23" s="94">
        <f>I23*H23</f>
        <v>1110.5074102277131</v>
      </c>
    </row>
    <row r="24" spans="1:12" ht="17.100000000000001" customHeight="1" x14ac:dyDescent="0.25">
      <c r="A24" s="252"/>
      <c r="B24" s="254" t="s">
        <v>83</v>
      </c>
      <c r="C24" s="843" t="s">
        <v>84</v>
      </c>
      <c r="D24" s="843"/>
      <c r="E24" s="843"/>
      <c r="F24" s="843"/>
      <c r="G24" s="843"/>
      <c r="H24" s="255">
        <v>1</v>
      </c>
      <c r="I24" s="845"/>
      <c r="J24" s="845"/>
      <c r="K24" s="256">
        <f>K370</f>
        <v>10000</v>
      </c>
    </row>
    <row r="25" spans="1:12" ht="17.100000000000001" customHeight="1" x14ac:dyDescent="0.25">
      <c r="A25" s="252"/>
      <c r="B25" s="254" t="s">
        <v>85</v>
      </c>
      <c r="C25" s="843" t="s">
        <v>86</v>
      </c>
      <c r="D25" s="843"/>
      <c r="E25" s="843"/>
      <c r="F25" s="843"/>
      <c r="G25" s="843"/>
      <c r="H25" s="255">
        <v>1</v>
      </c>
      <c r="I25" s="845"/>
      <c r="J25" s="845"/>
      <c r="K25" s="256">
        <f>K379</f>
        <v>24722.318652483336</v>
      </c>
    </row>
    <row r="26" spans="1:12" ht="17.100000000000001" customHeight="1" x14ac:dyDescent="0.25">
      <c r="A26" s="86"/>
      <c r="B26" s="840" t="s">
        <v>87</v>
      </c>
      <c r="C26" s="840"/>
      <c r="D26" s="840"/>
      <c r="E26" s="840"/>
      <c r="F26" s="840"/>
      <c r="G26" s="840"/>
      <c r="H26" s="840"/>
      <c r="I26" s="840"/>
      <c r="J26" s="840"/>
      <c r="K26" s="259">
        <f>K24+K22+K16+K6+K25</f>
        <v>114005.14023490346</v>
      </c>
      <c r="L26" s="541"/>
    </row>
    <row r="27" spans="1:12" ht="17.100000000000001" customHeight="1" x14ac:dyDescent="0.25">
      <c r="A27" s="86"/>
      <c r="B27" s="841" t="s">
        <v>88</v>
      </c>
      <c r="C27" s="841"/>
      <c r="D27" s="841"/>
      <c r="E27" s="841"/>
      <c r="F27" s="841"/>
      <c r="G27" s="841"/>
      <c r="H27" s="841"/>
      <c r="I27" s="841"/>
      <c r="J27" s="260" t="s">
        <v>89</v>
      </c>
      <c r="K27" s="261" t="s">
        <v>90</v>
      </c>
    </row>
    <row r="28" spans="1:12" ht="17.100000000000001" customHeight="1" x14ac:dyDescent="0.25">
      <c r="A28" s="86"/>
      <c r="B28" s="797" t="s">
        <v>310</v>
      </c>
      <c r="C28" s="797"/>
      <c r="D28" s="797"/>
      <c r="E28" s="797"/>
      <c r="F28" s="797"/>
      <c r="G28" s="797"/>
      <c r="H28" s="797"/>
      <c r="I28" s="797"/>
      <c r="J28" s="343">
        <f>I390</f>
        <v>0.16239191155359028</v>
      </c>
      <c r="K28" s="94">
        <f>$K$26*J28</f>
        <v>18513.512649681099</v>
      </c>
    </row>
    <row r="29" spans="1:12" ht="17.100000000000001" customHeight="1" x14ac:dyDescent="0.25">
      <c r="A29" s="86"/>
      <c r="B29" s="780" t="s">
        <v>34</v>
      </c>
      <c r="C29" s="780"/>
      <c r="D29" s="780"/>
      <c r="E29" s="780"/>
      <c r="F29" s="780"/>
      <c r="G29" s="780"/>
      <c r="H29" s="780"/>
      <c r="I29" s="780"/>
      <c r="J29" s="263">
        <f>SUM(J28)</f>
        <v>0.16239191155359028</v>
      </c>
      <c r="K29" s="264">
        <f>SUM(K28)</f>
        <v>18513.512649681099</v>
      </c>
    </row>
    <row r="30" spans="1:12" ht="17.100000000000001" customHeight="1" x14ac:dyDescent="0.25">
      <c r="A30" s="86"/>
      <c r="B30" s="810" t="s">
        <v>92</v>
      </c>
      <c r="C30" s="810"/>
      <c r="D30" s="810"/>
      <c r="E30" s="810"/>
      <c r="F30" s="810"/>
      <c r="G30" s="810"/>
      <c r="H30" s="810"/>
      <c r="I30" s="810"/>
      <c r="J30" s="810"/>
      <c r="K30" s="810"/>
    </row>
    <row r="31" spans="1:12" ht="17.100000000000001" customHeight="1" x14ac:dyDescent="0.25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252"/>
    </row>
    <row r="32" spans="1:12" ht="17.100000000000001" customHeight="1" x14ac:dyDescent="0.25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252"/>
    </row>
    <row r="33" spans="1:11" ht="17.100000000000001" customHeight="1" x14ac:dyDescent="0.25">
      <c r="A33" s="86"/>
      <c r="B33" s="788" t="s">
        <v>93</v>
      </c>
      <c r="C33" s="788"/>
      <c r="D33" s="788"/>
      <c r="E33" s="788"/>
      <c r="F33" s="788"/>
      <c r="G33" s="788"/>
      <c r="H33" s="788"/>
      <c r="I33" s="788"/>
      <c r="J33" s="788"/>
      <c r="K33" s="788"/>
    </row>
    <row r="34" spans="1:11" ht="17.100000000000001" customHeight="1" x14ac:dyDescent="0.25">
      <c r="A34" s="86"/>
      <c r="B34" s="781"/>
      <c r="C34" s="781"/>
      <c r="D34" s="781"/>
      <c r="E34" s="781"/>
      <c r="F34" s="781"/>
      <c r="G34" s="781"/>
      <c r="H34" s="781"/>
      <c r="I34" s="781"/>
      <c r="J34" s="781"/>
      <c r="K34" s="781"/>
    </row>
    <row r="35" spans="1:11" ht="17.100000000000001" customHeight="1" x14ac:dyDescent="0.25">
      <c r="A35" s="86"/>
      <c r="B35" s="752" t="s">
        <v>94</v>
      </c>
      <c r="C35" s="752"/>
      <c r="D35" s="752"/>
      <c r="E35" s="752"/>
      <c r="F35" s="752"/>
      <c r="G35" s="752"/>
      <c r="H35" s="752"/>
      <c r="I35" s="752"/>
      <c r="J35" s="752"/>
      <c r="K35" s="752"/>
    </row>
    <row r="36" spans="1:11" ht="17.100000000000001" customHeight="1" x14ac:dyDescent="0.25">
      <c r="A36" s="86"/>
      <c r="B36" s="72" t="s">
        <v>95</v>
      </c>
      <c r="C36" s="753" t="s">
        <v>96</v>
      </c>
      <c r="D36" s="753"/>
      <c r="E36" s="753"/>
      <c r="F36" s="753"/>
      <c r="G36" s="753"/>
      <c r="H36" s="753"/>
      <c r="I36" s="753"/>
      <c r="J36" s="73"/>
      <c r="K36" s="73" t="s">
        <v>97</v>
      </c>
    </row>
    <row r="37" spans="1:11" ht="17.100000000000001" customHeight="1" x14ac:dyDescent="0.25">
      <c r="A37" s="86"/>
      <c r="B37" s="77" t="s">
        <v>98</v>
      </c>
      <c r="C37" s="669" t="s">
        <v>99</v>
      </c>
      <c r="D37" s="669"/>
      <c r="E37" s="669"/>
      <c r="F37" s="669"/>
      <c r="G37" s="669"/>
      <c r="H37" s="669"/>
      <c r="I37" s="669"/>
      <c r="J37" s="81"/>
      <c r="K37" s="79">
        <f>'6 - DADOS CC MO'!E113</f>
        <v>6876.95</v>
      </c>
    </row>
    <row r="38" spans="1:11" ht="17.100000000000001" customHeight="1" x14ac:dyDescent="0.25">
      <c r="A38" s="86"/>
      <c r="B38" s="77"/>
      <c r="C38" s="748" t="s">
        <v>100</v>
      </c>
      <c r="D38" s="748"/>
      <c r="E38" s="748"/>
      <c r="F38" s="748"/>
      <c r="G38" s="748"/>
      <c r="H38" s="748"/>
      <c r="I38" s="748"/>
      <c r="J38" s="87"/>
      <c r="K38" s="88">
        <f>K37</f>
        <v>6876.95</v>
      </c>
    </row>
    <row r="39" spans="1:11" ht="17.100000000000001" customHeight="1" x14ac:dyDescent="0.25">
      <c r="A39" s="86"/>
      <c r="B39" s="73" t="s">
        <v>101</v>
      </c>
      <c r="C39" s="753" t="s">
        <v>102</v>
      </c>
      <c r="D39" s="753"/>
      <c r="E39" s="753"/>
      <c r="F39" s="753"/>
      <c r="G39" s="753"/>
      <c r="H39" s="753"/>
      <c r="I39" s="753"/>
      <c r="J39" s="73" t="s">
        <v>89</v>
      </c>
      <c r="K39" s="73" t="s">
        <v>97</v>
      </c>
    </row>
    <row r="40" spans="1:11" ht="17.100000000000001" customHeight="1" x14ac:dyDescent="0.25">
      <c r="A40" s="86"/>
      <c r="B40" s="76" t="s">
        <v>103</v>
      </c>
      <c r="C40" s="671" t="s">
        <v>104</v>
      </c>
      <c r="D40" s="671"/>
      <c r="E40" s="671"/>
      <c r="F40" s="671"/>
      <c r="G40" s="671"/>
      <c r="H40" s="671"/>
      <c r="I40" s="671"/>
      <c r="J40" s="262">
        <f>'7 - ENCARGOS SOCIAIS'!$D$13</f>
        <v>0.36800000000000005</v>
      </c>
      <c r="K40" s="79">
        <f>J40*K38</f>
        <v>2530.7176000000004</v>
      </c>
    </row>
    <row r="41" spans="1:11" ht="17.100000000000001" customHeight="1" x14ac:dyDescent="0.25">
      <c r="A41" s="86"/>
      <c r="B41" s="76" t="s">
        <v>105</v>
      </c>
      <c r="C41" s="671" t="s">
        <v>106</v>
      </c>
      <c r="D41" s="671"/>
      <c r="E41" s="671"/>
      <c r="F41" s="671"/>
      <c r="G41" s="671"/>
      <c r="H41" s="671"/>
      <c r="I41" s="671"/>
      <c r="J41" s="262">
        <f>'7 - ENCARGOS SOCIAIS'!$D$21</f>
        <v>0.15387245147090212</v>
      </c>
      <c r="K41" s="79">
        <f>J41*K38</f>
        <v>1058.1731551428202</v>
      </c>
    </row>
    <row r="42" spans="1:11" ht="17.100000000000001" customHeight="1" x14ac:dyDescent="0.25">
      <c r="A42" s="86"/>
      <c r="B42" s="76" t="s">
        <v>107</v>
      </c>
      <c r="C42" s="671" t="s">
        <v>108</v>
      </c>
      <c r="D42" s="671"/>
      <c r="E42" s="671"/>
      <c r="F42" s="671"/>
      <c r="G42" s="671"/>
      <c r="H42" s="671"/>
      <c r="I42" s="671"/>
      <c r="J42" s="262">
        <f>'7 - ENCARGOS SOCIAIS'!$D$28</f>
        <v>0.12666581537651095</v>
      </c>
      <c r="K42" s="79">
        <f>J42*K38</f>
        <v>871.07447905349693</v>
      </c>
    </row>
    <row r="43" spans="1:11" ht="17.100000000000001" customHeight="1" x14ac:dyDescent="0.25">
      <c r="A43" s="86"/>
      <c r="B43" s="76" t="s">
        <v>109</v>
      </c>
      <c r="C43" s="671" t="s">
        <v>110</v>
      </c>
      <c r="D43" s="671"/>
      <c r="E43" s="671"/>
      <c r="F43" s="671"/>
      <c r="G43" s="671"/>
      <c r="H43" s="671"/>
      <c r="I43" s="671"/>
      <c r="J43" s="262">
        <f>'7 - ENCARGOS SOCIAIS'!$D$32</f>
        <v>5.9231502118822603E-2</v>
      </c>
      <c r="K43" s="79">
        <f>J43*K38</f>
        <v>407.33207849603707</v>
      </c>
    </row>
    <row r="44" spans="1:11" ht="17.100000000000001" customHeight="1" x14ac:dyDescent="0.25">
      <c r="A44" s="86"/>
      <c r="B44" s="89"/>
      <c r="C44" s="750" t="s">
        <v>111</v>
      </c>
      <c r="D44" s="750"/>
      <c r="E44" s="750"/>
      <c r="F44" s="750"/>
      <c r="G44" s="750"/>
      <c r="H44" s="750"/>
      <c r="I44" s="750"/>
      <c r="J44" s="90">
        <f>SUM(J40:J43)</f>
        <v>0.70776976896623567</v>
      </c>
      <c r="K44" s="91">
        <f>SUM(K40:K43)</f>
        <v>4867.2973126923544</v>
      </c>
    </row>
    <row r="45" spans="1:11" ht="17.100000000000001" customHeight="1" x14ac:dyDescent="0.25">
      <c r="A45" s="86"/>
      <c r="B45" s="73" t="s">
        <v>112</v>
      </c>
      <c r="C45" s="751" t="s">
        <v>113</v>
      </c>
      <c r="D45" s="751"/>
      <c r="E45" s="751"/>
      <c r="F45" s="751"/>
      <c r="G45" s="751"/>
      <c r="H45" s="74" t="s">
        <v>114</v>
      </c>
      <c r="I45" s="73" t="s">
        <v>115</v>
      </c>
      <c r="J45" s="73" t="s">
        <v>116</v>
      </c>
      <c r="K45" s="73" t="s">
        <v>97</v>
      </c>
    </row>
    <row r="46" spans="1:11" ht="17.100000000000001" customHeight="1" x14ac:dyDescent="0.25">
      <c r="A46" s="86"/>
      <c r="B46" s="76" t="s">
        <v>117</v>
      </c>
      <c r="C46" s="671" t="s">
        <v>156</v>
      </c>
      <c r="D46" s="671"/>
      <c r="E46" s="671"/>
      <c r="F46" s="671"/>
      <c r="G46" s="671"/>
      <c r="H46" s="76">
        <v>26</v>
      </c>
      <c r="I46" s="92">
        <v>27.15</v>
      </c>
      <c r="J46" s="93">
        <v>0.19</v>
      </c>
      <c r="K46" s="94">
        <f>(H46*I46)-((H46*I46)*0.19)</f>
        <v>571.779</v>
      </c>
    </row>
    <row r="47" spans="1:11" ht="17.100000000000001" customHeight="1" x14ac:dyDescent="0.25">
      <c r="A47" s="86"/>
      <c r="B47" s="76" t="s">
        <v>119</v>
      </c>
      <c r="C47" s="671" t="s">
        <v>160</v>
      </c>
      <c r="D47" s="671"/>
      <c r="E47" s="671"/>
      <c r="F47" s="671"/>
      <c r="G47" s="671"/>
      <c r="H47" s="76">
        <f>H46*4</f>
        <v>104</v>
      </c>
      <c r="I47" s="95">
        <v>6.25</v>
      </c>
      <c r="J47" s="93">
        <v>0.06</v>
      </c>
      <c r="K47" s="94">
        <f>(H47*I47)-(K37*0.06)</f>
        <v>237.38300000000004</v>
      </c>
    </row>
    <row r="48" spans="1:11" ht="17.100000000000001" customHeight="1" x14ac:dyDescent="0.25">
      <c r="A48" s="86"/>
      <c r="B48" s="76" t="s">
        <v>121</v>
      </c>
      <c r="C48" s="671" t="s">
        <v>122</v>
      </c>
      <c r="D48" s="671"/>
      <c r="E48" s="671"/>
      <c r="F48" s="671"/>
      <c r="G48" s="671"/>
      <c r="H48" s="77">
        <v>1</v>
      </c>
      <c r="I48" s="92">
        <v>25.52</v>
      </c>
      <c r="J48" s="96"/>
      <c r="K48" s="265">
        <f>I48</f>
        <v>25.52</v>
      </c>
    </row>
    <row r="49" spans="1:11" ht="17.100000000000001" customHeight="1" x14ac:dyDescent="0.25">
      <c r="A49" s="86"/>
      <c r="B49" s="96"/>
      <c r="C49" s="748" t="s">
        <v>123</v>
      </c>
      <c r="D49" s="748"/>
      <c r="E49" s="748"/>
      <c r="F49" s="748"/>
      <c r="G49" s="748"/>
      <c r="H49" s="748"/>
      <c r="I49" s="748"/>
      <c r="J49" s="87"/>
      <c r="K49" s="98">
        <f>SUM(K46:K48)</f>
        <v>834.68200000000002</v>
      </c>
    </row>
    <row r="50" spans="1:11" ht="17.100000000000001" customHeight="1" x14ac:dyDescent="0.25">
      <c r="A50" s="86"/>
      <c r="B50" s="749" t="s">
        <v>124</v>
      </c>
      <c r="C50" s="749"/>
      <c r="D50" s="749"/>
      <c r="E50" s="749"/>
      <c r="F50" s="749"/>
      <c r="G50" s="749"/>
      <c r="H50" s="749"/>
      <c r="I50" s="749"/>
      <c r="J50" s="749"/>
      <c r="K50" s="99">
        <f>K49+K44+K38</f>
        <v>12578.929312692355</v>
      </c>
    </row>
    <row r="51" spans="1:11" ht="17.100000000000001" customHeight="1" x14ac:dyDescent="0.25">
      <c r="A51" s="86"/>
      <c r="B51" s="838" t="s">
        <v>518</v>
      </c>
      <c r="C51" s="838"/>
      <c r="D51" s="838"/>
      <c r="E51" s="838"/>
      <c r="F51" s="838"/>
      <c r="G51" s="838"/>
      <c r="H51" s="838"/>
      <c r="I51" s="838"/>
      <c r="J51" s="838"/>
      <c r="K51" s="100">
        <f>K50*1</f>
        <v>12578.929312692355</v>
      </c>
    </row>
    <row r="52" spans="1:11" ht="17.100000000000001" customHeight="1" x14ac:dyDescent="0.25">
      <c r="A52" s="86"/>
      <c r="B52" s="86"/>
      <c r="C52" s="86"/>
      <c r="D52" s="86"/>
      <c r="E52" s="86"/>
      <c r="F52" s="86"/>
      <c r="G52" s="86"/>
      <c r="H52" s="266"/>
      <c r="I52" s="86"/>
      <c r="J52" s="86"/>
      <c r="K52" s="252"/>
    </row>
    <row r="53" spans="1:11" ht="17.100000000000001" customHeight="1" x14ac:dyDescent="0.25">
      <c r="A53" s="86"/>
      <c r="B53" s="752" t="s">
        <v>519</v>
      </c>
      <c r="C53" s="752"/>
      <c r="D53" s="752"/>
      <c r="E53" s="752"/>
      <c r="F53" s="752"/>
      <c r="G53" s="752"/>
      <c r="H53" s="752"/>
      <c r="I53" s="752"/>
      <c r="J53" s="752"/>
      <c r="K53" s="752"/>
    </row>
    <row r="54" spans="1:11" ht="17.100000000000001" customHeight="1" x14ac:dyDescent="0.25">
      <c r="A54" s="86"/>
      <c r="B54" s="72" t="s">
        <v>95</v>
      </c>
      <c r="C54" s="753" t="s">
        <v>96</v>
      </c>
      <c r="D54" s="753"/>
      <c r="E54" s="753"/>
      <c r="F54" s="753"/>
      <c r="G54" s="753"/>
      <c r="H54" s="74" t="s">
        <v>128</v>
      </c>
      <c r="I54" s="75" t="s">
        <v>129</v>
      </c>
      <c r="J54" s="73" t="s">
        <v>115</v>
      </c>
      <c r="K54" s="73" t="s">
        <v>97</v>
      </c>
    </row>
    <row r="55" spans="1:11" ht="17.100000000000001" customHeight="1" x14ac:dyDescent="0.25">
      <c r="A55" s="86"/>
      <c r="B55" s="77" t="s">
        <v>98</v>
      </c>
      <c r="C55" s="797" t="s">
        <v>99</v>
      </c>
      <c r="D55" s="797"/>
      <c r="E55" s="797"/>
      <c r="F55" s="797"/>
      <c r="G55" s="797"/>
      <c r="H55" s="77">
        <v>220</v>
      </c>
      <c r="I55" s="76" t="s">
        <v>130</v>
      </c>
      <c r="J55" s="78">
        <f>K55/H55</f>
        <v>16.363636363636363</v>
      </c>
      <c r="K55" s="79">
        <f>'6 - DADOS CC MO'!E102</f>
        <v>3600</v>
      </c>
    </row>
    <row r="56" spans="1:11" ht="17.100000000000001" customHeight="1" x14ac:dyDescent="0.25">
      <c r="A56" s="86"/>
      <c r="B56" s="77" t="s">
        <v>131</v>
      </c>
      <c r="C56" s="83" t="s">
        <v>132</v>
      </c>
      <c r="D56" s="84"/>
      <c r="E56" s="84"/>
      <c r="F56" s="84"/>
      <c r="G56" s="85"/>
      <c r="H56" s="80">
        <v>7.33</v>
      </c>
      <c r="I56" s="77" t="s">
        <v>130</v>
      </c>
      <c r="J56" s="267">
        <f>J55*2</f>
        <v>32.727272727272727</v>
      </c>
      <c r="K56" s="79">
        <f>J56*H56</f>
        <v>239.89090909090908</v>
      </c>
    </row>
    <row r="57" spans="1:11" ht="17.100000000000001" customHeight="1" x14ac:dyDescent="0.25">
      <c r="A57" s="86"/>
      <c r="B57" s="77" t="s">
        <v>133</v>
      </c>
      <c r="C57" s="83" t="s">
        <v>159</v>
      </c>
      <c r="D57" s="84"/>
      <c r="E57" s="84"/>
      <c r="F57" s="84"/>
      <c r="G57" s="85"/>
      <c r="H57" s="77"/>
      <c r="I57" s="86"/>
      <c r="J57" s="267">
        <f>61/304*(SUM(K56))</f>
        <v>48.136004784688993</v>
      </c>
      <c r="K57" s="79">
        <f>J57</f>
        <v>48.136004784688993</v>
      </c>
    </row>
    <row r="58" spans="1:11" ht="17.100000000000001" customHeight="1" x14ac:dyDescent="0.25">
      <c r="A58" s="86"/>
      <c r="B58" s="77" t="s">
        <v>135</v>
      </c>
      <c r="C58" s="797" t="s">
        <v>136</v>
      </c>
      <c r="D58" s="797"/>
      <c r="E58" s="797"/>
      <c r="F58" s="797"/>
      <c r="G58" s="797"/>
      <c r="H58" s="77">
        <v>40</v>
      </c>
      <c r="I58" s="76" t="s">
        <v>89</v>
      </c>
      <c r="J58" s="77"/>
      <c r="K58" s="79">
        <f>K55*40%</f>
        <v>1440</v>
      </c>
    </row>
    <row r="59" spans="1:11" ht="17.100000000000001" customHeight="1" x14ac:dyDescent="0.25">
      <c r="A59" s="86"/>
      <c r="B59" s="77"/>
      <c r="C59" s="748" t="s">
        <v>100</v>
      </c>
      <c r="D59" s="748"/>
      <c r="E59" s="748"/>
      <c r="F59" s="748"/>
      <c r="G59" s="748"/>
      <c r="H59" s="748"/>
      <c r="I59" s="748"/>
      <c r="J59" s="87"/>
      <c r="K59" s="91">
        <f>SUM(K55:K58)</f>
        <v>5328.0269138755975</v>
      </c>
    </row>
    <row r="60" spans="1:11" ht="17.100000000000001" customHeight="1" x14ac:dyDescent="0.25">
      <c r="A60" s="86"/>
      <c r="B60" s="73" t="s">
        <v>101</v>
      </c>
      <c r="C60" s="753" t="s">
        <v>102</v>
      </c>
      <c r="D60" s="753"/>
      <c r="E60" s="753"/>
      <c r="F60" s="753"/>
      <c r="G60" s="753"/>
      <c r="H60" s="753"/>
      <c r="I60" s="753"/>
      <c r="J60" s="73" t="s">
        <v>89</v>
      </c>
      <c r="K60" s="73" t="s">
        <v>97</v>
      </c>
    </row>
    <row r="61" spans="1:11" ht="17.100000000000001" customHeight="1" x14ac:dyDescent="0.25">
      <c r="A61" s="86"/>
      <c r="B61" s="76" t="s">
        <v>103</v>
      </c>
      <c r="C61" s="671" t="s">
        <v>104</v>
      </c>
      <c r="D61" s="671"/>
      <c r="E61" s="671"/>
      <c r="F61" s="671"/>
      <c r="G61" s="671"/>
      <c r="H61" s="671"/>
      <c r="I61" s="671"/>
      <c r="J61" s="262">
        <f>'7 - ENCARGOS SOCIAIS'!$D$13</f>
        <v>0.36800000000000005</v>
      </c>
      <c r="K61" s="79">
        <f>J61*K59</f>
        <v>1960.7139043062202</v>
      </c>
    </row>
    <row r="62" spans="1:11" ht="17.100000000000001" customHeight="1" x14ac:dyDescent="0.25">
      <c r="A62" s="86"/>
      <c r="B62" s="76" t="s">
        <v>105</v>
      </c>
      <c r="C62" s="671" t="s">
        <v>106</v>
      </c>
      <c r="D62" s="671"/>
      <c r="E62" s="671"/>
      <c r="F62" s="671"/>
      <c r="G62" s="671"/>
      <c r="H62" s="671"/>
      <c r="I62" s="671"/>
      <c r="J62" s="262">
        <f>'7 - ENCARGOS SOCIAIS'!$D$21</f>
        <v>0.15387245147090212</v>
      </c>
      <c r="K62" s="79">
        <f>J62*K59</f>
        <v>819.83656274098325</v>
      </c>
    </row>
    <row r="63" spans="1:11" ht="17.100000000000001" customHeight="1" x14ac:dyDescent="0.25">
      <c r="A63" s="86"/>
      <c r="B63" s="76" t="s">
        <v>107</v>
      </c>
      <c r="C63" s="671" t="s">
        <v>108</v>
      </c>
      <c r="D63" s="671"/>
      <c r="E63" s="671"/>
      <c r="F63" s="671"/>
      <c r="G63" s="671"/>
      <c r="H63" s="671"/>
      <c r="I63" s="671"/>
      <c r="J63" s="262">
        <f>'7 - ENCARGOS SOCIAIS'!$D$28</f>
        <v>0.12666581537651095</v>
      </c>
      <c r="K63" s="79">
        <f>J63*K59</f>
        <v>674.87887339404779</v>
      </c>
    </row>
    <row r="64" spans="1:11" ht="17.100000000000001" customHeight="1" x14ac:dyDescent="0.25">
      <c r="A64" s="86"/>
      <c r="B64" s="76" t="s">
        <v>109</v>
      </c>
      <c r="C64" s="671" t="s">
        <v>110</v>
      </c>
      <c r="D64" s="671"/>
      <c r="E64" s="671"/>
      <c r="F64" s="671"/>
      <c r="G64" s="671"/>
      <c r="H64" s="671"/>
      <c r="I64" s="671"/>
      <c r="J64" s="262">
        <f>'7 - ENCARGOS SOCIAIS'!$D$32</f>
        <v>5.9231502118822603E-2</v>
      </c>
      <c r="K64" s="79">
        <f>J64*K59</f>
        <v>315.58703743836634</v>
      </c>
    </row>
    <row r="65" spans="1:11" ht="17.100000000000001" customHeight="1" x14ac:dyDescent="0.25">
      <c r="A65" s="86"/>
      <c r="B65" s="89"/>
      <c r="C65" s="750" t="s">
        <v>111</v>
      </c>
      <c r="D65" s="750"/>
      <c r="E65" s="750"/>
      <c r="F65" s="750"/>
      <c r="G65" s="750"/>
      <c r="H65" s="750"/>
      <c r="I65" s="750"/>
      <c r="J65" s="90">
        <f>SUM(J61:J64)</f>
        <v>0.70776976896623567</v>
      </c>
      <c r="K65" s="91">
        <f>SUM(K61:K64)</f>
        <v>3771.0163778796177</v>
      </c>
    </row>
    <row r="66" spans="1:11" ht="17.100000000000001" customHeight="1" x14ac:dyDescent="0.25">
      <c r="A66" s="86"/>
      <c r="B66" s="73" t="s">
        <v>112</v>
      </c>
      <c r="C66" s="751" t="s">
        <v>113</v>
      </c>
      <c r="D66" s="751"/>
      <c r="E66" s="751"/>
      <c r="F66" s="751"/>
      <c r="G66" s="751"/>
      <c r="H66" s="74" t="s">
        <v>114</v>
      </c>
      <c r="I66" s="73" t="s">
        <v>115</v>
      </c>
      <c r="J66" s="73" t="s">
        <v>116</v>
      </c>
      <c r="K66" s="73" t="s">
        <v>97</v>
      </c>
    </row>
    <row r="67" spans="1:11" ht="17.100000000000001" customHeight="1" x14ac:dyDescent="0.25">
      <c r="A67" s="86"/>
      <c r="B67" s="76" t="s">
        <v>117</v>
      </c>
      <c r="C67" s="671" t="s">
        <v>156</v>
      </c>
      <c r="D67" s="671"/>
      <c r="E67" s="671"/>
      <c r="F67" s="671"/>
      <c r="G67" s="671"/>
      <c r="H67" s="76">
        <v>26</v>
      </c>
      <c r="I67" s="92">
        <v>27.15</v>
      </c>
      <c r="J67" s="93">
        <v>0.19</v>
      </c>
      <c r="K67" s="94">
        <f>(H67*I67)-((H67*I67)*0.19)</f>
        <v>571.779</v>
      </c>
    </row>
    <row r="68" spans="1:11" ht="17.100000000000001" customHeight="1" x14ac:dyDescent="0.25">
      <c r="A68" s="86"/>
      <c r="B68" s="76" t="s">
        <v>119</v>
      </c>
      <c r="C68" s="671" t="s">
        <v>160</v>
      </c>
      <c r="D68" s="671"/>
      <c r="E68" s="671"/>
      <c r="F68" s="671"/>
      <c r="G68" s="671"/>
      <c r="H68" s="76">
        <f>H67*4</f>
        <v>104</v>
      </c>
      <c r="I68" s="95">
        <v>6.25</v>
      </c>
      <c r="J68" s="93">
        <v>0.06</v>
      </c>
      <c r="K68" s="94">
        <f>(H68*I68)-(K55*0.06)</f>
        <v>434</v>
      </c>
    </row>
    <row r="69" spans="1:11" ht="17.100000000000001" customHeight="1" x14ac:dyDescent="0.25">
      <c r="A69" s="86"/>
      <c r="B69" s="76" t="s">
        <v>121</v>
      </c>
      <c r="C69" s="671" t="s">
        <v>122</v>
      </c>
      <c r="D69" s="671"/>
      <c r="E69" s="671"/>
      <c r="F69" s="671"/>
      <c r="G69" s="671"/>
      <c r="H69" s="77">
        <v>1</v>
      </c>
      <c r="I69" s="92">
        <v>25.52</v>
      </c>
      <c r="J69" s="96"/>
      <c r="K69" s="79">
        <f>I69</f>
        <v>25.52</v>
      </c>
    </row>
    <row r="70" spans="1:11" ht="17.100000000000001" customHeight="1" x14ac:dyDescent="0.25">
      <c r="A70" s="86"/>
      <c r="B70" s="96"/>
      <c r="C70" s="748" t="s">
        <v>123</v>
      </c>
      <c r="D70" s="748"/>
      <c r="E70" s="748"/>
      <c r="F70" s="748"/>
      <c r="G70" s="748"/>
      <c r="H70" s="748"/>
      <c r="I70" s="748"/>
      <c r="J70" s="87"/>
      <c r="K70" s="91">
        <f>SUM(K67:K69)</f>
        <v>1031.299</v>
      </c>
    </row>
    <row r="71" spans="1:11" ht="17.100000000000001" customHeight="1" x14ac:dyDescent="0.25">
      <c r="A71" s="86"/>
      <c r="B71" s="749" t="s">
        <v>137</v>
      </c>
      <c r="C71" s="749"/>
      <c r="D71" s="749"/>
      <c r="E71" s="749"/>
      <c r="F71" s="749"/>
      <c r="G71" s="749"/>
      <c r="H71" s="749"/>
      <c r="I71" s="749"/>
      <c r="J71" s="749"/>
      <c r="K71" s="344">
        <f>K59+K65+K70</f>
        <v>10130.342291755216</v>
      </c>
    </row>
    <row r="72" spans="1:11" ht="17.100000000000001" customHeight="1" x14ac:dyDescent="0.25">
      <c r="A72" s="86"/>
      <c r="B72" s="838" t="s">
        <v>518</v>
      </c>
      <c r="C72" s="838"/>
      <c r="D72" s="838"/>
      <c r="E72" s="838"/>
      <c r="F72" s="838"/>
      <c r="G72" s="838"/>
      <c r="H72" s="838"/>
      <c r="I72" s="838"/>
      <c r="J72" s="838"/>
      <c r="K72" s="345">
        <f>K71</f>
        <v>10130.342291755216</v>
      </c>
    </row>
    <row r="73" spans="1:11" ht="17.100000000000001" customHeight="1" x14ac:dyDescent="0.25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252"/>
    </row>
    <row r="74" spans="1:11" ht="17.100000000000001" customHeight="1" x14ac:dyDescent="0.25">
      <c r="A74" s="86"/>
      <c r="B74" s="752" t="s">
        <v>679</v>
      </c>
      <c r="C74" s="752"/>
      <c r="D74" s="752"/>
      <c r="E74" s="752"/>
      <c r="F74" s="752"/>
      <c r="G74" s="752"/>
      <c r="H74" s="752"/>
      <c r="I74" s="752"/>
      <c r="J74" s="752"/>
      <c r="K74" s="752"/>
    </row>
    <row r="75" spans="1:11" ht="17.100000000000001" customHeight="1" x14ac:dyDescent="0.25">
      <c r="A75" s="86"/>
      <c r="B75" s="72" t="s">
        <v>95</v>
      </c>
      <c r="C75" s="753" t="s">
        <v>96</v>
      </c>
      <c r="D75" s="753"/>
      <c r="E75" s="753"/>
      <c r="F75" s="753"/>
      <c r="G75" s="753"/>
      <c r="H75" s="753"/>
      <c r="I75" s="753"/>
      <c r="J75" s="73"/>
      <c r="K75" s="73" t="s">
        <v>97</v>
      </c>
    </row>
    <row r="76" spans="1:11" ht="17.100000000000001" customHeight="1" x14ac:dyDescent="0.25">
      <c r="A76" s="86"/>
      <c r="B76" s="77" t="s">
        <v>98</v>
      </c>
      <c r="C76" s="669" t="s">
        <v>99</v>
      </c>
      <c r="D76" s="669"/>
      <c r="E76" s="669"/>
      <c r="F76" s="669"/>
      <c r="G76" s="669"/>
      <c r="H76" s="669"/>
      <c r="I76" s="669"/>
      <c r="J76" s="81"/>
      <c r="K76" s="79">
        <f>'6 - DADOS CC MO'!E56</f>
        <v>2307.83</v>
      </c>
    </row>
    <row r="77" spans="1:11" ht="17.100000000000001" customHeight="1" x14ac:dyDescent="0.25">
      <c r="A77" s="86"/>
      <c r="B77" s="77"/>
      <c r="C77" s="748" t="s">
        <v>100</v>
      </c>
      <c r="D77" s="748"/>
      <c r="E77" s="748"/>
      <c r="F77" s="748"/>
      <c r="G77" s="748"/>
      <c r="H77" s="748"/>
      <c r="I77" s="748"/>
      <c r="J77" s="87"/>
      <c r="K77" s="88">
        <f>K76</f>
        <v>2307.83</v>
      </c>
    </row>
    <row r="78" spans="1:11" ht="17.100000000000001" customHeight="1" x14ac:dyDescent="0.25">
      <c r="A78" s="86"/>
      <c r="B78" s="73" t="s">
        <v>101</v>
      </c>
      <c r="C78" s="753" t="s">
        <v>102</v>
      </c>
      <c r="D78" s="753"/>
      <c r="E78" s="753"/>
      <c r="F78" s="753"/>
      <c r="G78" s="753"/>
      <c r="H78" s="753"/>
      <c r="I78" s="753"/>
      <c r="J78" s="73" t="s">
        <v>89</v>
      </c>
      <c r="K78" s="73" t="s">
        <v>97</v>
      </c>
    </row>
    <row r="79" spans="1:11" ht="17.100000000000001" customHeight="1" x14ac:dyDescent="0.25">
      <c r="A79" s="86"/>
      <c r="B79" s="76" t="s">
        <v>103</v>
      </c>
      <c r="C79" s="671" t="s">
        <v>104</v>
      </c>
      <c r="D79" s="671"/>
      <c r="E79" s="671"/>
      <c r="F79" s="671"/>
      <c r="G79" s="671"/>
      <c r="H79" s="671"/>
      <c r="I79" s="671"/>
      <c r="J79" s="262">
        <f>'7 - ENCARGOS SOCIAIS'!$D$13</f>
        <v>0.36800000000000005</v>
      </c>
      <c r="K79" s="79">
        <f>J79*$K$77</f>
        <v>849.28144000000009</v>
      </c>
    </row>
    <row r="80" spans="1:11" ht="17.100000000000001" customHeight="1" x14ac:dyDescent="0.25">
      <c r="A80" s="86"/>
      <c r="B80" s="76" t="s">
        <v>105</v>
      </c>
      <c r="C80" s="671" t="s">
        <v>106</v>
      </c>
      <c r="D80" s="671"/>
      <c r="E80" s="671"/>
      <c r="F80" s="671"/>
      <c r="G80" s="671"/>
      <c r="H80" s="671"/>
      <c r="I80" s="671"/>
      <c r="J80" s="262">
        <f>'7 - ENCARGOS SOCIAIS'!$D$21</f>
        <v>0.15387245147090212</v>
      </c>
      <c r="K80" s="79">
        <f>J80*$K$77</f>
        <v>355.11145967809205</v>
      </c>
    </row>
    <row r="81" spans="1:11" ht="17.100000000000001" customHeight="1" x14ac:dyDescent="0.25">
      <c r="A81" s="86"/>
      <c r="B81" s="76" t="s">
        <v>107</v>
      </c>
      <c r="C81" s="671" t="s">
        <v>108</v>
      </c>
      <c r="D81" s="671"/>
      <c r="E81" s="671"/>
      <c r="F81" s="671"/>
      <c r="G81" s="671"/>
      <c r="H81" s="671"/>
      <c r="I81" s="671"/>
      <c r="J81" s="262">
        <f>'7 - ENCARGOS SOCIAIS'!$D$28</f>
        <v>0.12666581537651095</v>
      </c>
      <c r="K81" s="79">
        <f>J81*$K$77</f>
        <v>292.32316870037323</v>
      </c>
    </row>
    <row r="82" spans="1:11" ht="17.100000000000001" customHeight="1" x14ac:dyDescent="0.25">
      <c r="A82" s="86"/>
      <c r="B82" s="76" t="s">
        <v>109</v>
      </c>
      <c r="C82" s="671" t="s">
        <v>110</v>
      </c>
      <c r="D82" s="671"/>
      <c r="E82" s="671"/>
      <c r="F82" s="671"/>
      <c r="G82" s="671"/>
      <c r="H82" s="671"/>
      <c r="I82" s="671"/>
      <c r="J82" s="262">
        <f>'7 - ENCARGOS SOCIAIS'!$D$32</f>
        <v>5.9231502118822603E-2</v>
      </c>
      <c r="K82" s="79">
        <f>J82*$K$77</f>
        <v>136.69623753488236</v>
      </c>
    </row>
    <row r="83" spans="1:11" ht="17.100000000000001" customHeight="1" x14ac:dyDescent="0.25">
      <c r="A83" s="86"/>
      <c r="B83" s="89"/>
      <c r="C83" s="750" t="s">
        <v>111</v>
      </c>
      <c r="D83" s="750"/>
      <c r="E83" s="750"/>
      <c r="F83" s="750"/>
      <c r="G83" s="750"/>
      <c r="H83" s="750"/>
      <c r="I83" s="750"/>
      <c r="J83" s="90">
        <f>SUM(J79:J82)</f>
        <v>0.70776976896623567</v>
      </c>
      <c r="K83" s="91">
        <f>SUM(K79:K82)</f>
        <v>1633.4123059133478</v>
      </c>
    </row>
    <row r="84" spans="1:11" ht="17.100000000000001" customHeight="1" x14ac:dyDescent="0.25">
      <c r="A84" s="86"/>
      <c r="B84" s="73" t="s">
        <v>112</v>
      </c>
      <c r="C84" s="751" t="s">
        <v>113</v>
      </c>
      <c r="D84" s="751"/>
      <c r="E84" s="751"/>
      <c r="F84" s="751"/>
      <c r="G84" s="751"/>
      <c r="H84" s="74" t="s">
        <v>114</v>
      </c>
      <c r="I84" s="73" t="s">
        <v>115</v>
      </c>
      <c r="J84" s="73" t="s">
        <v>116</v>
      </c>
      <c r="K84" s="73" t="s">
        <v>97</v>
      </c>
    </row>
    <row r="85" spans="1:11" ht="17.100000000000001" customHeight="1" x14ac:dyDescent="0.25">
      <c r="A85" s="86"/>
      <c r="B85" s="76" t="s">
        <v>117</v>
      </c>
      <c r="C85" s="671" t="s">
        <v>156</v>
      </c>
      <c r="D85" s="671"/>
      <c r="E85" s="671"/>
      <c r="F85" s="671"/>
      <c r="G85" s="671"/>
      <c r="H85" s="76">
        <v>26</v>
      </c>
      <c r="I85" s="92">
        <v>27.15</v>
      </c>
      <c r="J85" s="93">
        <v>0.19</v>
      </c>
      <c r="K85" s="94">
        <f>(H85*I85)-((H85*I85)*0.19)</f>
        <v>571.779</v>
      </c>
    </row>
    <row r="86" spans="1:11" ht="17.100000000000001" customHeight="1" x14ac:dyDescent="0.25">
      <c r="A86" s="86"/>
      <c r="B86" s="76" t="s">
        <v>119</v>
      </c>
      <c r="C86" s="671" t="s">
        <v>160</v>
      </c>
      <c r="D86" s="671"/>
      <c r="E86" s="671"/>
      <c r="F86" s="671"/>
      <c r="G86" s="671"/>
      <c r="H86" s="76">
        <f>H85*4</f>
        <v>104</v>
      </c>
      <c r="I86" s="95">
        <v>6.25</v>
      </c>
      <c r="J86" s="93">
        <v>0.06</v>
      </c>
      <c r="K86" s="94">
        <f>(H86*I86)-(K76*0.06)</f>
        <v>511.53020000000004</v>
      </c>
    </row>
    <row r="87" spans="1:11" ht="17.100000000000001" customHeight="1" x14ac:dyDescent="0.25">
      <c r="A87" s="86"/>
      <c r="B87" s="76" t="s">
        <v>121</v>
      </c>
      <c r="C87" s="671" t="s">
        <v>122</v>
      </c>
      <c r="D87" s="671"/>
      <c r="E87" s="671"/>
      <c r="F87" s="671"/>
      <c r="G87" s="671"/>
      <c r="H87" s="77">
        <v>1</v>
      </c>
      <c r="I87" s="92">
        <f>'6 - DADOS CC MO'!E58</f>
        <v>25.52</v>
      </c>
      <c r="J87" s="96"/>
      <c r="K87" s="97">
        <f>I87</f>
        <v>25.52</v>
      </c>
    </row>
    <row r="88" spans="1:11" ht="17.100000000000001" customHeight="1" x14ac:dyDescent="0.25">
      <c r="A88" s="86"/>
      <c r="B88" s="76" t="s">
        <v>152</v>
      </c>
      <c r="C88" s="671" t="s">
        <v>153</v>
      </c>
      <c r="D88" s="671"/>
      <c r="E88" s="671"/>
      <c r="F88" s="671"/>
      <c r="G88" s="671"/>
      <c r="H88" s="77">
        <v>1</v>
      </c>
      <c r="I88" s="92">
        <v>80</v>
      </c>
      <c r="J88" s="96"/>
      <c r="K88" s="97">
        <f>I88</f>
        <v>80</v>
      </c>
    </row>
    <row r="89" spans="1:11" ht="17.100000000000001" customHeight="1" x14ac:dyDescent="0.25">
      <c r="A89" s="86"/>
      <c r="B89" s="96"/>
      <c r="C89" s="748" t="s">
        <v>123</v>
      </c>
      <c r="D89" s="748"/>
      <c r="E89" s="748"/>
      <c r="F89" s="748"/>
      <c r="G89" s="748"/>
      <c r="H89" s="748"/>
      <c r="I89" s="748"/>
      <c r="J89" s="87"/>
      <c r="K89" s="98">
        <f>SUM(K85:K88)</f>
        <v>1188.8292000000001</v>
      </c>
    </row>
    <row r="90" spans="1:11" ht="17.100000000000001" customHeight="1" x14ac:dyDescent="0.25">
      <c r="A90" s="86"/>
      <c r="B90" s="749" t="s">
        <v>154</v>
      </c>
      <c r="C90" s="749"/>
      <c r="D90" s="749"/>
      <c r="E90" s="749"/>
      <c r="F90" s="749"/>
      <c r="G90" s="749"/>
      <c r="H90" s="749"/>
      <c r="I90" s="749"/>
      <c r="J90" s="749"/>
      <c r="K90" s="99">
        <f>K89+K83+K77</f>
        <v>5130.0715059133481</v>
      </c>
    </row>
    <row r="91" spans="1:11" ht="17.100000000000001" customHeight="1" x14ac:dyDescent="0.25">
      <c r="A91" s="86"/>
      <c r="B91" s="838" t="s">
        <v>518</v>
      </c>
      <c r="C91" s="838"/>
      <c r="D91" s="838"/>
      <c r="E91" s="838"/>
      <c r="F91" s="838"/>
      <c r="G91" s="838"/>
      <c r="H91" s="838"/>
      <c r="I91" s="838"/>
      <c r="J91" s="838"/>
      <c r="K91" s="100">
        <f>K90*1</f>
        <v>5130.0715059133481</v>
      </c>
    </row>
    <row r="92" spans="1:11" ht="17.100000000000001" customHeight="1" x14ac:dyDescent="0.25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252"/>
    </row>
    <row r="93" spans="1:11" ht="17.100000000000001" customHeight="1" x14ac:dyDescent="0.25">
      <c r="A93" s="86"/>
      <c r="B93" s="752" t="s">
        <v>680</v>
      </c>
      <c r="C93" s="752"/>
      <c r="D93" s="752"/>
      <c r="E93" s="752"/>
      <c r="F93" s="752"/>
      <c r="G93" s="752"/>
      <c r="H93" s="752"/>
      <c r="I93" s="752"/>
      <c r="J93" s="752"/>
      <c r="K93" s="752"/>
    </row>
    <row r="94" spans="1:11" ht="17.100000000000001" customHeight="1" x14ac:dyDescent="0.25">
      <c r="A94" s="86"/>
      <c r="B94" s="72" t="s">
        <v>95</v>
      </c>
      <c r="C94" s="753" t="s">
        <v>96</v>
      </c>
      <c r="D94" s="753"/>
      <c r="E94" s="753"/>
      <c r="F94" s="753"/>
      <c r="G94" s="753"/>
      <c r="H94" s="74" t="s">
        <v>128</v>
      </c>
      <c r="I94" s="75" t="s">
        <v>129</v>
      </c>
      <c r="J94" s="73" t="s">
        <v>115</v>
      </c>
      <c r="K94" s="73" t="s">
        <v>97</v>
      </c>
    </row>
    <row r="95" spans="1:11" ht="17.100000000000001" customHeight="1" x14ac:dyDescent="0.25">
      <c r="A95" s="86"/>
      <c r="B95" s="76" t="s">
        <v>98</v>
      </c>
      <c r="C95" s="671" t="s">
        <v>99</v>
      </c>
      <c r="D95" s="671"/>
      <c r="E95" s="671"/>
      <c r="F95" s="671"/>
      <c r="G95" s="671"/>
      <c r="H95" s="77">
        <v>220</v>
      </c>
      <c r="I95" s="76" t="s">
        <v>130</v>
      </c>
      <c r="J95" s="78">
        <f>K95/H95</f>
        <v>9.6690909090909081</v>
      </c>
      <c r="K95" s="79">
        <f>'6 - DADOS CC MO'!E34</f>
        <v>2127.1999999999998</v>
      </c>
    </row>
    <row r="96" spans="1:11" ht="17.100000000000001" customHeight="1" x14ac:dyDescent="0.25">
      <c r="A96" s="86"/>
      <c r="B96" s="77" t="s">
        <v>131</v>
      </c>
      <c r="C96" s="83" t="s">
        <v>132</v>
      </c>
      <c r="D96" s="84"/>
      <c r="E96" s="84"/>
      <c r="F96" s="84"/>
      <c r="G96" s="85"/>
      <c r="H96" s="80">
        <v>7.33</v>
      </c>
      <c r="I96" s="77" t="s">
        <v>130</v>
      </c>
      <c r="J96" s="267">
        <f>J95*2</f>
        <v>19.338181818181816</v>
      </c>
      <c r="K96" s="79">
        <f>J96*H96</f>
        <v>141.74887272727273</v>
      </c>
    </row>
    <row r="97" spans="1:11" ht="17.100000000000001" customHeight="1" x14ac:dyDescent="0.25">
      <c r="A97" s="86"/>
      <c r="B97" s="76" t="s">
        <v>133</v>
      </c>
      <c r="C97" s="270" t="s">
        <v>134</v>
      </c>
      <c r="D97" s="271"/>
      <c r="E97" s="271"/>
      <c r="F97" s="271"/>
      <c r="G97" s="217"/>
      <c r="H97" s="80"/>
      <c r="I97" s="76"/>
      <c r="J97" s="78">
        <f>61/304*(SUM(K96))</f>
        <v>28.44303038277512</v>
      </c>
      <c r="K97" s="216">
        <f>J97</f>
        <v>28.44303038277512</v>
      </c>
    </row>
    <row r="98" spans="1:11" ht="17.100000000000001" customHeight="1" x14ac:dyDescent="0.25">
      <c r="A98" s="86"/>
      <c r="B98" s="76" t="s">
        <v>135</v>
      </c>
      <c r="C98" s="671" t="s">
        <v>136</v>
      </c>
      <c r="D98" s="671"/>
      <c r="E98" s="671"/>
      <c r="F98" s="671"/>
      <c r="G98" s="671"/>
      <c r="H98" s="77">
        <v>40</v>
      </c>
      <c r="I98" s="76" t="s">
        <v>89</v>
      </c>
      <c r="J98" s="81"/>
      <c r="K98" s="79">
        <f>K95*40%</f>
        <v>850.88</v>
      </c>
    </row>
    <row r="99" spans="1:11" ht="17.100000000000001" customHeight="1" x14ac:dyDescent="0.25">
      <c r="A99" s="86"/>
      <c r="B99" s="77"/>
      <c r="C99" s="748" t="s">
        <v>100</v>
      </c>
      <c r="D99" s="748"/>
      <c r="E99" s="748"/>
      <c r="F99" s="748"/>
      <c r="G99" s="748"/>
      <c r="H99" s="748"/>
      <c r="I99" s="748"/>
      <c r="J99" s="87"/>
      <c r="K99" s="88">
        <f>SUM(K95:K98)</f>
        <v>3148.2719031100478</v>
      </c>
    </row>
    <row r="100" spans="1:11" ht="17.100000000000001" customHeight="1" x14ac:dyDescent="0.25">
      <c r="A100" s="86"/>
      <c r="B100" s="73" t="s">
        <v>101</v>
      </c>
      <c r="C100" s="753" t="s">
        <v>102</v>
      </c>
      <c r="D100" s="753"/>
      <c r="E100" s="753"/>
      <c r="F100" s="753"/>
      <c r="G100" s="753"/>
      <c r="H100" s="753"/>
      <c r="I100" s="753"/>
      <c r="J100" s="73" t="s">
        <v>89</v>
      </c>
      <c r="K100" s="73" t="s">
        <v>97</v>
      </c>
    </row>
    <row r="101" spans="1:11" ht="17.100000000000001" customHeight="1" x14ac:dyDescent="0.25">
      <c r="A101" s="86"/>
      <c r="B101" s="76" t="s">
        <v>103</v>
      </c>
      <c r="C101" s="671" t="s">
        <v>104</v>
      </c>
      <c r="D101" s="671"/>
      <c r="E101" s="671"/>
      <c r="F101" s="671"/>
      <c r="G101" s="671"/>
      <c r="H101" s="671"/>
      <c r="I101" s="671"/>
      <c r="J101" s="262">
        <f>'7 - ENCARGOS SOCIAIS'!$D$13</f>
        <v>0.36800000000000005</v>
      </c>
      <c r="K101" s="79">
        <f>J101*$K$99</f>
        <v>1158.5640603444976</v>
      </c>
    </row>
    <row r="102" spans="1:11" ht="17.100000000000001" customHeight="1" x14ac:dyDescent="0.25">
      <c r="A102" s="86"/>
      <c r="B102" s="76" t="s">
        <v>105</v>
      </c>
      <c r="C102" s="671" t="s">
        <v>106</v>
      </c>
      <c r="D102" s="671"/>
      <c r="E102" s="671"/>
      <c r="F102" s="671"/>
      <c r="G102" s="671"/>
      <c r="H102" s="671"/>
      <c r="I102" s="671"/>
      <c r="J102" s="262">
        <f>'7 - ENCARGOS SOCIAIS'!$D$21</f>
        <v>0.15387245147090212</v>
      </c>
      <c r="K102" s="79">
        <f>J102*$K$99</f>
        <v>484.43231562850548</v>
      </c>
    </row>
    <row r="103" spans="1:11" ht="17.100000000000001" customHeight="1" x14ac:dyDescent="0.25">
      <c r="A103" s="86"/>
      <c r="B103" s="76" t="s">
        <v>107</v>
      </c>
      <c r="C103" s="671" t="s">
        <v>108</v>
      </c>
      <c r="D103" s="671"/>
      <c r="E103" s="671"/>
      <c r="F103" s="671"/>
      <c r="G103" s="671"/>
      <c r="H103" s="671"/>
      <c r="I103" s="671"/>
      <c r="J103" s="262">
        <f>'7 - ENCARGOS SOCIAIS'!$D$28</f>
        <v>0.12666581537651095</v>
      </c>
      <c r="K103" s="79">
        <f>J103*$K$99</f>
        <v>398.77842763439406</v>
      </c>
    </row>
    <row r="104" spans="1:11" ht="17.100000000000001" customHeight="1" x14ac:dyDescent="0.25">
      <c r="A104" s="86"/>
      <c r="B104" s="76" t="s">
        <v>109</v>
      </c>
      <c r="C104" s="671" t="s">
        <v>110</v>
      </c>
      <c r="D104" s="671"/>
      <c r="E104" s="671"/>
      <c r="F104" s="671"/>
      <c r="G104" s="671"/>
      <c r="H104" s="671"/>
      <c r="I104" s="671"/>
      <c r="J104" s="262">
        <f>'7 - ENCARGOS SOCIAIS'!$D$32</f>
        <v>5.9231502118822603E-2</v>
      </c>
      <c r="K104" s="79">
        <f>J104*$K$99</f>
        <v>186.47687389969246</v>
      </c>
    </row>
    <row r="105" spans="1:11" ht="17.100000000000001" customHeight="1" x14ac:dyDescent="0.25">
      <c r="A105" s="86"/>
      <c r="B105" s="73"/>
      <c r="C105" s="753" t="s">
        <v>111</v>
      </c>
      <c r="D105" s="753"/>
      <c r="E105" s="753"/>
      <c r="F105" s="753"/>
      <c r="G105" s="753"/>
      <c r="H105" s="753"/>
      <c r="I105" s="753"/>
      <c r="J105" s="272">
        <f>SUM(J101:J104)</f>
        <v>0.70776976896623567</v>
      </c>
      <c r="K105" s="273">
        <f>SUM(K101:K104)</f>
        <v>2228.2516775070899</v>
      </c>
    </row>
    <row r="106" spans="1:11" ht="17.100000000000001" customHeight="1" x14ac:dyDescent="0.25">
      <c r="A106" s="86"/>
      <c r="B106" s="89" t="s">
        <v>112</v>
      </c>
      <c r="C106" s="832" t="s">
        <v>113</v>
      </c>
      <c r="D106" s="832"/>
      <c r="E106" s="832"/>
      <c r="F106" s="832"/>
      <c r="G106" s="832"/>
      <c r="H106" s="253" t="s">
        <v>114</v>
      </c>
      <c r="I106" s="89" t="s">
        <v>115</v>
      </c>
      <c r="J106" s="89" t="s">
        <v>116</v>
      </c>
      <c r="K106" s="89" t="s">
        <v>97</v>
      </c>
    </row>
    <row r="107" spans="1:11" ht="17.100000000000001" customHeight="1" x14ac:dyDescent="0.25">
      <c r="A107" s="86"/>
      <c r="B107" s="76" t="s">
        <v>117</v>
      </c>
      <c r="C107" s="671" t="s">
        <v>156</v>
      </c>
      <c r="D107" s="671"/>
      <c r="E107" s="671"/>
      <c r="F107" s="671"/>
      <c r="G107" s="671"/>
      <c r="H107" s="76">
        <v>26</v>
      </c>
      <c r="I107" s="92">
        <v>27.15</v>
      </c>
      <c r="J107" s="93">
        <v>0.19</v>
      </c>
      <c r="K107" s="94">
        <f>(H107*I107)-((H107*I107)*0.19)</f>
        <v>571.779</v>
      </c>
    </row>
    <row r="108" spans="1:11" ht="17.100000000000001" customHeight="1" x14ac:dyDescent="0.25">
      <c r="A108" s="86"/>
      <c r="B108" s="76" t="s">
        <v>119</v>
      </c>
      <c r="C108" s="671" t="s">
        <v>160</v>
      </c>
      <c r="D108" s="671"/>
      <c r="E108" s="671"/>
      <c r="F108" s="671"/>
      <c r="G108" s="671"/>
      <c r="H108" s="76">
        <f>H107*4</f>
        <v>104</v>
      </c>
      <c r="I108" s="95">
        <v>6.25</v>
      </c>
      <c r="J108" s="93">
        <v>0.06</v>
      </c>
      <c r="K108" s="94">
        <f>(H108*I108)-(K95*0.06)</f>
        <v>522.36800000000005</v>
      </c>
    </row>
    <row r="109" spans="1:11" ht="17.100000000000001" customHeight="1" x14ac:dyDescent="0.25">
      <c r="A109" s="86"/>
      <c r="B109" s="76" t="s">
        <v>121</v>
      </c>
      <c r="C109" s="671" t="s">
        <v>122</v>
      </c>
      <c r="D109" s="671"/>
      <c r="E109" s="671"/>
      <c r="F109" s="671"/>
      <c r="G109" s="671"/>
      <c r="H109" s="77">
        <v>1</v>
      </c>
      <c r="I109" s="92">
        <f>'6 - DADOS CC MO'!E37</f>
        <v>25.52</v>
      </c>
      <c r="J109" s="96"/>
      <c r="K109" s="97">
        <f>I109</f>
        <v>25.52</v>
      </c>
    </row>
    <row r="110" spans="1:11" ht="17.100000000000001" customHeight="1" x14ac:dyDescent="0.25">
      <c r="A110" s="86"/>
      <c r="B110" s="96"/>
      <c r="C110" s="748" t="s">
        <v>123</v>
      </c>
      <c r="D110" s="748"/>
      <c r="E110" s="748"/>
      <c r="F110" s="748"/>
      <c r="G110" s="748"/>
      <c r="H110" s="748"/>
      <c r="I110" s="748"/>
      <c r="J110" s="87"/>
      <c r="K110" s="98">
        <f>SUM(K107:K109)</f>
        <v>1119.6669999999999</v>
      </c>
    </row>
    <row r="111" spans="1:11" ht="17.100000000000001" customHeight="1" x14ac:dyDescent="0.25">
      <c r="A111" s="86"/>
      <c r="B111" s="749" t="s">
        <v>157</v>
      </c>
      <c r="C111" s="749"/>
      <c r="D111" s="749"/>
      <c r="E111" s="749"/>
      <c r="F111" s="749"/>
      <c r="G111" s="749"/>
      <c r="H111" s="749"/>
      <c r="I111" s="749"/>
      <c r="J111" s="749"/>
      <c r="K111" s="99">
        <f>K110+K105+K99</f>
        <v>6496.190580617138</v>
      </c>
    </row>
    <row r="112" spans="1:11" ht="17.100000000000001" customHeight="1" x14ac:dyDescent="0.25">
      <c r="A112" s="86"/>
      <c r="B112" s="838" t="s">
        <v>518</v>
      </c>
      <c r="C112" s="838"/>
      <c r="D112" s="838"/>
      <c r="E112" s="838"/>
      <c r="F112" s="838"/>
      <c r="G112" s="838"/>
      <c r="H112" s="838"/>
      <c r="I112" s="838"/>
      <c r="J112" s="838"/>
      <c r="K112" s="100">
        <f>K111*1</f>
        <v>6496.190580617138</v>
      </c>
    </row>
    <row r="113" spans="1:11" ht="17.100000000000001" customHeight="1" x14ac:dyDescent="0.25">
      <c r="A113" s="86"/>
      <c r="B113" s="86"/>
      <c r="C113" s="86"/>
      <c r="D113" s="86"/>
      <c r="E113" s="86"/>
      <c r="F113" s="86"/>
      <c r="G113" s="86"/>
      <c r="H113" s="86"/>
      <c r="I113" s="86"/>
      <c r="J113" s="86"/>
      <c r="K113" s="252"/>
    </row>
    <row r="114" spans="1:11" ht="17.100000000000001" customHeight="1" x14ac:dyDescent="0.25">
      <c r="A114" s="86"/>
      <c r="B114" s="752" t="s">
        <v>681</v>
      </c>
      <c r="C114" s="752"/>
      <c r="D114" s="752"/>
      <c r="E114" s="752"/>
      <c r="F114" s="752"/>
      <c r="G114" s="752"/>
      <c r="H114" s="752"/>
      <c r="I114" s="752"/>
      <c r="J114" s="752"/>
      <c r="K114" s="752"/>
    </row>
    <row r="115" spans="1:11" ht="17.100000000000001" customHeight="1" x14ac:dyDescent="0.25">
      <c r="A115" s="86"/>
      <c r="B115" s="72" t="s">
        <v>95</v>
      </c>
      <c r="C115" s="753" t="s">
        <v>96</v>
      </c>
      <c r="D115" s="753"/>
      <c r="E115" s="753"/>
      <c r="F115" s="753"/>
      <c r="G115" s="753"/>
      <c r="H115" s="74" t="s">
        <v>128</v>
      </c>
      <c r="I115" s="75" t="s">
        <v>129</v>
      </c>
      <c r="J115" s="73" t="s">
        <v>115</v>
      </c>
      <c r="K115" s="73" t="s">
        <v>97</v>
      </c>
    </row>
    <row r="116" spans="1:11" ht="17.100000000000001" customHeight="1" x14ac:dyDescent="0.25">
      <c r="A116" s="86"/>
      <c r="B116" s="76" t="s">
        <v>98</v>
      </c>
      <c r="C116" s="671" t="s">
        <v>99</v>
      </c>
      <c r="D116" s="671"/>
      <c r="E116" s="671"/>
      <c r="F116" s="671"/>
      <c r="G116" s="671"/>
      <c r="H116" s="77">
        <v>220</v>
      </c>
      <c r="I116" s="76" t="s">
        <v>130</v>
      </c>
      <c r="J116" s="78">
        <f>K116/H116</f>
        <v>8.6198181818181805</v>
      </c>
      <c r="K116" s="79">
        <f>'6 - DADOS CC MO'!E45</f>
        <v>1896.36</v>
      </c>
    </row>
    <row r="117" spans="1:11" ht="17.100000000000001" customHeight="1" x14ac:dyDescent="0.25">
      <c r="A117" s="86"/>
      <c r="B117" s="77" t="s">
        <v>131</v>
      </c>
      <c r="C117" s="83" t="s">
        <v>132</v>
      </c>
      <c r="D117" s="84"/>
      <c r="E117" s="84"/>
      <c r="F117" s="84"/>
      <c r="G117" s="85"/>
      <c r="H117" s="80">
        <v>7.33</v>
      </c>
      <c r="I117" s="77" t="s">
        <v>130</v>
      </c>
      <c r="J117" s="267">
        <f>J116*2</f>
        <v>17.239636363636361</v>
      </c>
      <c r="K117" s="79">
        <f>J117*H117</f>
        <v>126.36653454545453</v>
      </c>
    </row>
    <row r="118" spans="1:11" ht="17.100000000000001" customHeight="1" x14ac:dyDescent="0.25">
      <c r="A118" s="86"/>
      <c r="B118" s="76" t="s">
        <v>133</v>
      </c>
      <c r="C118" s="270" t="s">
        <v>134</v>
      </c>
      <c r="D118" s="271"/>
      <c r="E118" s="271"/>
      <c r="F118" s="271"/>
      <c r="G118" s="217"/>
      <c r="H118" s="80"/>
      <c r="I118" s="76"/>
      <c r="J118" s="78">
        <f>61/304*(SUM(K117))</f>
        <v>25.356442787081338</v>
      </c>
      <c r="K118" s="216">
        <f>J118</f>
        <v>25.356442787081338</v>
      </c>
    </row>
    <row r="119" spans="1:11" ht="17.100000000000001" customHeight="1" x14ac:dyDescent="0.25">
      <c r="A119" s="86"/>
      <c r="B119" s="76" t="s">
        <v>135</v>
      </c>
      <c r="C119" s="671" t="s">
        <v>136</v>
      </c>
      <c r="D119" s="671"/>
      <c r="E119" s="671"/>
      <c r="F119" s="671"/>
      <c r="G119" s="671"/>
      <c r="H119" s="77">
        <v>40</v>
      </c>
      <c r="I119" s="76" t="s">
        <v>89</v>
      </c>
      <c r="J119" s="81"/>
      <c r="K119" s="79">
        <f>K116*40%</f>
        <v>758.54399999999998</v>
      </c>
    </row>
    <row r="120" spans="1:11" ht="17.100000000000001" customHeight="1" x14ac:dyDescent="0.25">
      <c r="A120" s="86"/>
      <c r="B120" s="77"/>
      <c r="C120" s="748" t="s">
        <v>100</v>
      </c>
      <c r="D120" s="748"/>
      <c r="E120" s="748"/>
      <c r="F120" s="748"/>
      <c r="G120" s="748"/>
      <c r="H120" s="748"/>
      <c r="I120" s="748"/>
      <c r="J120" s="87"/>
      <c r="K120" s="88">
        <f>SUM(K116:K119)</f>
        <v>2806.6269773325357</v>
      </c>
    </row>
    <row r="121" spans="1:11" ht="17.100000000000001" customHeight="1" x14ac:dyDescent="0.25">
      <c r="A121" s="86"/>
      <c r="B121" s="73" t="s">
        <v>101</v>
      </c>
      <c r="C121" s="753" t="s">
        <v>102</v>
      </c>
      <c r="D121" s="753"/>
      <c r="E121" s="753"/>
      <c r="F121" s="753"/>
      <c r="G121" s="753"/>
      <c r="H121" s="753"/>
      <c r="I121" s="753"/>
      <c r="J121" s="73" t="s">
        <v>89</v>
      </c>
      <c r="K121" s="73" t="s">
        <v>97</v>
      </c>
    </row>
    <row r="122" spans="1:11" ht="17.100000000000001" customHeight="1" x14ac:dyDescent="0.25">
      <c r="A122" s="86"/>
      <c r="B122" s="76" t="s">
        <v>103</v>
      </c>
      <c r="C122" s="671" t="s">
        <v>104</v>
      </c>
      <c r="D122" s="671"/>
      <c r="E122" s="671"/>
      <c r="F122" s="671"/>
      <c r="G122" s="671"/>
      <c r="H122" s="671"/>
      <c r="I122" s="671"/>
      <c r="J122" s="262">
        <f>'7 - ENCARGOS SOCIAIS'!$D$13</f>
        <v>0.36800000000000005</v>
      </c>
      <c r="K122" s="79">
        <f>J122*$K$120</f>
        <v>1032.8387276583733</v>
      </c>
    </row>
    <row r="123" spans="1:11" ht="17.100000000000001" customHeight="1" x14ac:dyDescent="0.25">
      <c r="A123" s="86"/>
      <c r="B123" s="76" t="s">
        <v>105</v>
      </c>
      <c r="C123" s="671" t="s">
        <v>106</v>
      </c>
      <c r="D123" s="671"/>
      <c r="E123" s="671"/>
      <c r="F123" s="671"/>
      <c r="G123" s="671"/>
      <c r="H123" s="671"/>
      <c r="I123" s="671"/>
      <c r="J123" s="262">
        <f>'7 - ENCARGOS SOCIAIS'!$D$21</f>
        <v>0.15387245147090212</v>
      </c>
      <c r="K123" s="79">
        <f>J123*$K$120</f>
        <v>431.86257336652528</v>
      </c>
    </row>
    <row r="124" spans="1:11" ht="17.100000000000001" customHeight="1" x14ac:dyDescent="0.25">
      <c r="A124" s="86"/>
      <c r="B124" s="76" t="s">
        <v>107</v>
      </c>
      <c r="C124" s="671" t="s">
        <v>108</v>
      </c>
      <c r="D124" s="671"/>
      <c r="E124" s="671"/>
      <c r="F124" s="671"/>
      <c r="G124" s="671"/>
      <c r="H124" s="671"/>
      <c r="I124" s="671"/>
      <c r="J124" s="262">
        <f>'7 - ENCARGOS SOCIAIS'!$D$28</f>
        <v>0.12666581537651095</v>
      </c>
      <c r="K124" s="79">
        <f>J124*$K$120</f>
        <v>355.50369454153793</v>
      </c>
    </row>
    <row r="125" spans="1:11" ht="17.100000000000001" customHeight="1" x14ac:dyDescent="0.25">
      <c r="A125" s="86"/>
      <c r="B125" s="76" t="s">
        <v>109</v>
      </c>
      <c r="C125" s="671" t="s">
        <v>110</v>
      </c>
      <c r="D125" s="671"/>
      <c r="E125" s="671"/>
      <c r="F125" s="671"/>
      <c r="G125" s="671"/>
      <c r="H125" s="671"/>
      <c r="I125" s="671"/>
      <c r="J125" s="262">
        <f>'7 - ENCARGOS SOCIAIS'!$D$32</f>
        <v>5.9231502118822603E-2</v>
      </c>
      <c r="K125" s="79">
        <f>J125*$K$120</f>
        <v>166.24073175461677</v>
      </c>
    </row>
    <row r="126" spans="1:11" ht="17.100000000000001" customHeight="1" x14ac:dyDescent="0.25">
      <c r="A126" s="86"/>
      <c r="B126" s="89"/>
      <c r="C126" s="750" t="s">
        <v>111</v>
      </c>
      <c r="D126" s="750"/>
      <c r="E126" s="750"/>
      <c r="F126" s="750"/>
      <c r="G126" s="750"/>
      <c r="H126" s="750"/>
      <c r="I126" s="750"/>
      <c r="J126" s="90">
        <f>SUM(J122:J125)</f>
        <v>0.70776976896623567</v>
      </c>
      <c r="K126" s="91">
        <f>SUM(K122:K125)</f>
        <v>1986.4457273210533</v>
      </c>
    </row>
    <row r="127" spans="1:11" ht="17.100000000000001" customHeight="1" x14ac:dyDescent="0.25">
      <c r="A127" s="86"/>
      <c r="B127" s="73" t="s">
        <v>112</v>
      </c>
      <c r="C127" s="751" t="s">
        <v>113</v>
      </c>
      <c r="D127" s="751"/>
      <c r="E127" s="751"/>
      <c r="F127" s="751"/>
      <c r="G127" s="751"/>
      <c r="H127" s="74" t="s">
        <v>114</v>
      </c>
      <c r="I127" s="73" t="s">
        <v>115</v>
      </c>
      <c r="J127" s="73" t="s">
        <v>116</v>
      </c>
      <c r="K127" s="73" t="s">
        <v>97</v>
      </c>
    </row>
    <row r="128" spans="1:11" ht="17.100000000000001" customHeight="1" x14ac:dyDescent="0.25">
      <c r="A128" s="86"/>
      <c r="B128" s="76" t="s">
        <v>117</v>
      </c>
      <c r="C128" s="671" t="s">
        <v>156</v>
      </c>
      <c r="D128" s="671"/>
      <c r="E128" s="671"/>
      <c r="F128" s="671"/>
      <c r="G128" s="671"/>
      <c r="H128" s="76">
        <v>26</v>
      </c>
      <c r="I128" s="92">
        <v>27.15</v>
      </c>
      <c r="J128" s="93">
        <v>0.19</v>
      </c>
      <c r="K128" s="94">
        <f>(H128*I128)-((H128*I128)*0.19)</f>
        <v>571.779</v>
      </c>
    </row>
    <row r="129" spans="1:11" ht="17.100000000000001" customHeight="1" x14ac:dyDescent="0.25">
      <c r="A129" s="86"/>
      <c r="B129" s="76" t="s">
        <v>119</v>
      </c>
      <c r="C129" s="671" t="s">
        <v>160</v>
      </c>
      <c r="D129" s="671"/>
      <c r="E129" s="671"/>
      <c r="F129" s="671"/>
      <c r="G129" s="671"/>
      <c r="H129" s="76">
        <f>H128*4</f>
        <v>104</v>
      </c>
      <c r="I129" s="95">
        <v>6.25</v>
      </c>
      <c r="J129" s="93">
        <v>0.06</v>
      </c>
      <c r="K129" s="94">
        <f>(H129*I129)-(K116*0.06)</f>
        <v>536.21839999999997</v>
      </c>
    </row>
    <row r="130" spans="1:11" ht="17.100000000000001" customHeight="1" x14ac:dyDescent="0.25">
      <c r="A130" s="86"/>
      <c r="B130" s="76" t="s">
        <v>121</v>
      </c>
      <c r="C130" s="671" t="s">
        <v>122</v>
      </c>
      <c r="D130" s="671"/>
      <c r="E130" s="671"/>
      <c r="F130" s="671"/>
      <c r="G130" s="671"/>
      <c r="H130" s="77">
        <v>1</v>
      </c>
      <c r="I130" s="92">
        <f>'6 - DADOS CC MO'!E48</f>
        <v>25.52</v>
      </c>
      <c r="J130" s="96"/>
      <c r="K130" s="97">
        <f>I130</f>
        <v>25.52</v>
      </c>
    </row>
    <row r="131" spans="1:11" ht="17.100000000000001" customHeight="1" x14ac:dyDescent="0.25">
      <c r="A131" s="86"/>
      <c r="B131" s="96"/>
      <c r="C131" s="748" t="s">
        <v>123</v>
      </c>
      <c r="D131" s="748"/>
      <c r="E131" s="748"/>
      <c r="F131" s="748"/>
      <c r="G131" s="748"/>
      <c r="H131" s="748"/>
      <c r="I131" s="748"/>
      <c r="J131" s="87"/>
      <c r="K131" s="98">
        <f>SUM(K128:K130)</f>
        <v>1133.5174</v>
      </c>
    </row>
    <row r="132" spans="1:11" ht="17.100000000000001" customHeight="1" x14ac:dyDescent="0.25">
      <c r="A132" s="86"/>
      <c r="B132" s="749" t="s">
        <v>162</v>
      </c>
      <c r="C132" s="749"/>
      <c r="D132" s="749"/>
      <c r="E132" s="749"/>
      <c r="F132" s="749"/>
      <c r="G132" s="749"/>
      <c r="H132" s="749"/>
      <c r="I132" s="749"/>
      <c r="J132" s="749"/>
      <c r="K132" s="99">
        <f>K131+K126+K120</f>
        <v>5926.5901046535892</v>
      </c>
    </row>
    <row r="133" spans="1:11" ht="17.100000000000001" customHeight="1" x14ac:dyDescent="0.25">
      <c r="A133" s="86"/>
      <c r="B133" s="838" t="s">
        <v>518</v>
      </c>
      <c r="C133" s="838"/>
      <c r="D133" s="838"/>
      <c r="E133" s="838"/>
      <c r="F133" s="838"/>
      <c r="G133" s="838"/>
      <c r="H133" s="838"/>
      <c r="I133" s="838"/>
      <c r="J133" s="838"/>
      <c r="K133" s="100">
        <f>K132*1</f>
        <v>5926.5901046535892</v>
      </c>
    </row>
    <row r="134" spans="1:11" ht="17.100000000000001" customHeight="1" x14ac:dyDescent="0.25">
      <c r="A134" s="86"/>
      <c r="B134" s="86"/>
      <c r="C134" s="86"/>
      <c r="D134" s="86"/>
      <c r="E134" s="86"/>
      <c r="F134" s="86"/>
      <c r="G134" s="86"/>
      <c r="H134" s="86"/>
      <c r="I134" s="86"/>
      <c r="J134" s="86"/>
      <c r="K134" s="252"/>
    </row>
    <row r="135" spans="1:11" ht="17.100000000000001" customHeight="1" x14ac:dyDescent="0.25">
      <c r="A135" s="86"/>
      <c r="B135" s="752" t="s">
        <v>682</v>
      </c>
      <c r="C135" s="752"/>
      <c r="D135" s="752"/>
      <c r="E135" s="752"/>
      <c r="F135" s="752"/>
      <c r="G135" s="752"/>
      <c r="H135" s="752"/>
      <c r="I135" s="752"/>
      <c r="J135" s="752"/>
      <c r="K135" s="752"/>
    </row>
    <row r="136" spans="1:11" ht="17.100000000000001" customHeight="1" x14ac:dyDescent="0.25">
      <c r="A136" s="86"/>
      <c r="B136" s="72" t="s">
        <v>95</v>
      </c>
      <c r="C136" s="753" t="s">
        <v>96</v>
      </c>
      <c r="D136" s="753"/>
      <c r="E136" s="753"/>
      <c r="F136" s="753"/>
      <c r="G136" s="753"/>
      <c r="H136" s="74" t="s">
        <v>128</v>
      </c>
      <c r="I136" s="75" t="s">
        <v>129</v>
      </c>
      <c r="J136" s="73" t="s">
        <v>115</v>
      </c>
      <c r="K136" s="73" t="s">
        <v>97</v>
      </c>
    </row>
    <row r="137" spans="1:11" ht="17.100000000000001" customHeight="1" x14ac:dyDescent="0.25">
      <c r="A137" s="86"/>
      <c r="B137" s="77" t="s">
        <v>98</v>
      </c>
      <c r="C137" s="797" t="s">
        <v>99</v>
      </c>
      <c r="D137" s="797"/>
      <c r="E137" s="797"/>
      <c r="F137" s="797"/>
      <c r="G137" s="797"/>
      <c r="H137" s="77">
        <v>220</v>
      </c>
      <c r="I137" s="76" t="s">
        <v>130</v>
      </c>
      <c r="J137" s="78">
        <f>K137/H137</f>
        <v>8.0266363636363636</v>
      </c>
      <c r="K137" s="79">
        <f>'6 - DADOS CC MO'!E67</f>
        <v>1765.86</v>
      </c>
    </row>
    <row r="138" spans="1:11" ht="17.100000000000001" customHeight="1" x14ac:dyDescent="0.25">
      <c r="A138" s="86"/>
      <c r="B138" s="77" t="s">
        <v>131</v>
      </c>
      <c r="C138" s="83" t="s">
        <v>132</v>
      </c>
      <c r="D138" s="84"/>
      <c r="E138" s="84"/>
      <c r="F138" s="84"/>
      <c r="G138" s="85"/>
      <c r="H138" s="80">
        <v>7.33</v>
      </c>
      <c r="I138" s="77" t="s">
        <v>130</v>
      </c>
      <c r="J138" s="267">
        <f>J137*2</f>
        <v>16.053272727272727</v>
      </c>
      <c r="K138" s="79">
        <f>J138*H138</f>
        <v>117.67048909090909</v>
      </c>
    </row>
    <row r="139" spans="1:11" ht="17.100000000000001" customHeight="1" x14ac:dyDescent="0.25">
      <c r="A139" s="86"/>
      <c r="B139" s="76" t="s">
        <v>133</v>
      </c>
      <c r="C139" s="270" t="s">
        <v>134</v>
      </c>
      <c r="D139" s="271"/>
      <c r="E139" s="271"/>
      <c r="F139" s="271"/>
      <c r="G139" s="217"/>
      <c r="H139" s="80"/>
      <c r="I139" s="76"/>
      <c r="J139" s="78">
        <f>61/304*(SUM(K138))</f>
        <v>23.611512613636364</v>
      </c>
      <c r="K139" s="216">
        <f>J139</f>
        <v>23.611512613636364</v>
      </c>
    </row>
    <row r="140" spans="1:11" ht="17.100000000000001" customHeight="1" x14ac:dyDescent="0.25">
      <c r="A140" s="86"/>
      <c r="B140" s="77" t="s">
        <v>135</v>
      </c>
      <c r="C140" s="797" t="s">
        <v>136</v>
      </c>
      <c r="D140" s="797"/>
      <c r="E140" s="797"/>
      <c r="F140" s="797"/>
      <c r="G140" s="797"/>
      <c r="H140" s="77">
        <v>40</v>
      </c>
      <c r="I140" s="76" t="s">
        <v>89</v>
      </c>
      <c r="J140" s="81"/>
      <c r="K140" s="79">
        <f>K137*40%</f>
        <v>706.34400000000005</v>
      </c>
    </row>
    <row r="141" spans="1:11" ht="17.100000000000001" customHeight="1" x14ac:dyDescent="0.25">
      <c r="A141" s="86"/>
      <c r="B141" s="77"/>
      <c r="C141" s="748" t="s">
        <v>100</v>
      </c>
      <c r="D141" s="748"/>
      <c r="E141" s="748"/>
      <c r="F141" s="748"/>
      <c r="G141" s="748"/>
      <c r="H141" s="748"/>
      <c r="I141" s="748"/>
      <c r="J141" s="87"/>
      <c r="K141" s="88">
        <f>SUM(K137:K140)</f>
        <v>2613.4860017045453</v>
      </c>
    </row>
    <row r="142" spans="1:11" ht="17.100000000000001" customHeight="1" x14ac:dyDescent="0.25">
      <c r="A142" s="86"/>
      <c r="B142" s="73" t="s">
        <v>101</v>
      </c>
      <c r="C142" s="753" t="s">
        <v>102</v>
      </c>
      <c r="D142" s="753"/>
      <c r="E142" s="753"/>
      <c r="F142" s="753"/>
      <c r="G142" s="753"/>
      <c r="H142" s="753"/>
      <c r="I142" s="753"/>
      <c r="J142" s="73" t="s">
        <v>89</v>
      </c>
      <c r="K142" s="73" t="s">
        <v>97</v>
      </c>
    </row>
    <row r="143" spans="1:11" ht="17.100000000000001" customHeight="1" x14ac:dyDescent="0.25">
      <c r="A143" s="86"/>
      <c r="B143" s="76" t="s">
        <v>103</v>
      </c>
      <c r="C143" s="671" t="s">
        <v>104</v>
      </c>
      <c r="D143" s="671"/>
      <c r="E143" s="671"/>
      <c r="F143" s="671"/>
      <c r="G143" s="671"/>
      <c r="H143" s="671"/>
      <c r="I143" s="671"/>
      <c r="J143" s="262">
        <f>'7 - ENCARGOS SOCIAIS'!$D$13</f>
        <v>0.36800000000000005</v>
      </c>
      <c r="K143" s="79">
        <f>J143*$K$141</f>
        <v>961.76284862727277</v>
      </c>
    </row>
    <row r="144" spans="1:11" ht="17.100000000000001" customHeight="1" x14ac:dyDescent="0.25">
      <c r="A144" s="86"/>
      <c r="B144" s="76" t="s">
        <v>105</v>
      </c>
      <c r="C144" s="671" t="s">
        <v>106</v>
      </c>
      <c r="D144" s="671"/>
      <c r="E144" s="671"/>
      <c r="F144" s="671"/>
      <c r="G144" s="671"/>
      <c r="H144" s="671"/>
      <c r="I144" s="671"/>
      <c r="J144" s="262">
        <f>'7 - ENCARGOS SOCIAIS'!$D$21</f>
        <v>0.15387245147090212</v>
      </c>
      <c r="K144" s="79">
        <f>J144*$K$141</f>
        <v>402.14349796716465</v>
      </c>
    </row>
    <row r="145" spans="1:11" ht="17.100000000000001" customHeight="1" x14ac:dyDescent="0.25">
      <c r="A145" s="86"/>
      <c r="B145" s="76" t="s">
        <v>107</v>
      </c>
      <c r="C145" s="671" t="s">
        <v>108</v>
      </c>
      <c r="D145" s="671"/>
      <c r="E145" s="671"/>
      <c r="F145" s="671"/>
      <c r="G145" s="671"/>
      <c r="H145" s="671"/>
      <c r="I145" s="671"/>
      <c r="J145" s="262">
        <f>'7 - ENCARGOS SOCIAIS'!$D$28</f>
        <v>0.12666581537651095</v>
      </c>
      <c r="K145" s="79">
        <f>J145*$K$141</f>
        <v>331.0393353810037</v>
      </c>
    </row>
    <row r="146" spans="1:11" ht="17.100000000000001" customHeight="1" x14ac:dyDescent="0.25">
      <c r="A146" s="86"/>
      <c r="B146" s="76" t="s">
        <v>109</v>
      </c>
      <c r="C146" s="671" t="s">
        <v>110</v>
      </c>
      <c r="D146" s="671"/>
      <c r="E146" s="671"/>
      <c r="F146" s="671"/>
      <c r="G146" s="671"/>
      <c r="H146" s="671"/>
      <c r="I146" s="671"/>
      <c r="J146" s="262">
        <f>'7 - ENCARGOS SOCIAIS'!$D$32</f>
        <v>5.9231502118822603E-2</v>
      </c>
      <c r="K146" s="79">
        <f>J146*$K$141</f>
        <v>154.80070164747599</v>
      </c>
    </row>
    <row r="147" spans="1:11" ht="17.100000000000001" customHeight="1" x14ac:dyDescent="0.25">
      <c r="A147" s="86"/>
      <c r="B147" s="89"/>
      <c r="C147" s="750" t="s">
        <v>111</v>
      </c>
      <c r="D147" s="750"/>
      <c r="E147" s="750"/>
      <c r="F147" s="750"/>
      <c r="G147" s="750"/>
      <c r="H147" s="750"/>
      <c r="I147" s="750"/>
      <c r="J147" s="90">
        <f>SUM(J143:J146)</f>
        <v>0.70776976896623567</v>
      </c>
      <c r="K147" s="91">
        <f>SUM(K143:K146)</f>
        <v>1849.7463836229169</v>
      </c>
    </row>
    <row r="148" spans="1:11" ht="17.100000000000001" customHeight="1" x14ac:dyDescent="0.25">
      <c r="A148" s="86"/>
      <c r="B148" s="73" t="s">
        <v>112</v>
      </c>
      <c r="C148" s="751" t="s">
        <v>113</v>
      </c>
      <c r="D148" s="751"/>
      <c r="E148" s="751"/>
      <c r="F148" s="751"/>
      <c r="G148" s="751"/>
      <c r="H148" s="74" t="s">
        <v>114</v>
      </c>
      <c r="I148" s="73" t="s">
        <v>115</v>
      </c>
      <c r="J148" s="73" t="s">
        <v>116</v>
      </c>
      <c r="K148" s="73" t="s">
        <v>97</v>
      </c>
    </row>
    <row r="149" spans="1:11" ht="17.100000000000001" customHeight="1" x14ac:dyDescent="0.25">
      <c r="A149" s="86"/>
      <c r="B149" s="76" t="s">
        <v>117</v>
      </c>
      <c r="C149" s="671" t="s">
        <v>156</v>
      </c>
      <c r="D149" s="671"/>
      <c r="E149" s="671"/>
      <c r="F149" s="671"/>
      <c r="G149" s="671"/>
      <c r="H149" s="76">
        <v>26</v>
      </c>
      <c r="I149" s="92">
        <v>27.15</v>
      </c>
      <c r="J149" s="93">
        <v>0.19</v>
      </c>
      <c r="K149" s="94">
        <f>(H149*I149)-((H149*I149)*0.19)</f>
        <v>571.779</v>
      </c>
    </row>
    <row r="150" spans="1:11" ht="17.100000000000001" customHeight="1" x14ac:dyDescent="0.25">
      <c r="A150" s="86"/>
      <c r="B150" s="76" t="s">
        <v>119</v>
      </c>
      <c r="C150" s="671" t="s">
        <v>160</v>
      </c>
      <c r="D150" s="671"/>
      <c r="E150" s="671"/>
      <c r="F150" s="671"/>
      <c r="G150" s="671"/>
      <c r="H150" s="76">
        <f>H149*4</f>
        <v>104</v>
      </c>
      <c r="I150" s="95">
        <v>6.25</v>
      </c>
      <c r="J150" s="93">
        <v>0.06</v>
      </c>
      <c r="K150" s="94">
        <f>(H150*I150)-(K137*0.06)</f>
        <v>544.04840000000002</v>
      </c>
    </row>
    <row r="151" spans="1:11" ht="17.100000000000001" customHeight="1" x14ac:dyDescent="0.25">
      <c r="A151" s="86"/>
      <c r="B151" s="76" t="s">
        <v>121</v>
      </c>
      <c r="C151" s="671" t="s">
        <v>122</v>
      </c>
      <c r="D151" s="671"/>
      <c r="E151" s="671"/>
      <c r="F151" s="671"/>
      <c r="G151" s="671"/>
      <c r="H151" s="77">
        <v>1</v>
      </c>
      <c r="I151" s="92">
        <f>'6 - DADOS CC MO'!E70</f>
        <v>25.52</v>
      </c>
      <c r="J151" s="96"/>
      <c r="K151" s="97">
        <f>I151</f>
        <v>25.52</v>
      </c>
    </row>
    <row r="152" spans="1:11" ht="17.100000000000001" customHeight="1" x14ac:dyDescent="0.25">
      <c r="A152" s="86"/>
      <c r="B152" s="76" t="s">
        <v>152</v>
      </c>
      <c r="C152" s="671" t="s">
        <v>153</v>
      </c>
      <c r="D152" s="671"/>
      <c r="E152" s="671"/>
      <c r="F152" s="671"/>
      <c r="G152" s="671"/>
      <c r="H152" s="77">
        <v>1</v>
      </c>
      <c r="I152" s="92">
        <v>80</v>
      </c>
      <c r="J152" s="96"/>
      <c r="K152" s="97">
        <f>I152</f>
        <v>80</v>
      </c>
    </row>
    <row r="153" spans="1:11" ht="17.100000000000001" customHeight="1" x14ac:dyDescent="0.25">
      <c r="A153" s="86"/>
      <c r="B153" s="96"/>
      <c r="C153" s="748" t="s">
        <v>123</v>
      </c>
      <c r="D153" s="748"/>
      <c r="E153" s="748"/>
      <c r="F153" s="748"/>
      <c r="G153" s="748"/>
      <c r="H153" s="748"/>
      <c r="I153" s="748"/>
      <c r="J153" s="87"/>
      <c r="K153" s="98">
        <f>SUM(K149:K152)</f>
        <v>1221.3474000000001</v>
      </c>
    </row>
    <row r="154" spans="1:11" ht="17.100000000000001" customHeight="1" x14ac:dyDescent="0.25">
      <c r="A154" s="86"/>
      <c r="B154" s="749" t="s">
        <v>165</v>
      </c>
      <c r="C154" s="749"/>
      <c r="D154" s="749"/>
      <c r="E154" s="749"/>
      <c r="F154" s="749"/>
      <c r="G154" s="749"/>
      <c r="H154" s="749"/>
      <c r="I154" s="749"/>
      <c r="J154" s="749"/>
      <c r="K154" s="99">
        <f>K153+K147+K141</f>
        <v>5684.5797853274617</v>
      </c>
    </row>
    <row r="155" spans="1:11" ht="17.100000000000001" customHeight="1" x14ac:dyDescent="0.25">
      <c r="A155" s="86"/>
      <c r="B155" s="838" t="s">
        <v>518</v>
      </c>
      <c r="C155" s="838"/>
      <c r="D155" s="838"/>
      <c r="E155" s="838"/>
      <c r="F155" s="838"/>
      <c r="G155" s="838"/>
      <c r="H155" s="838"/>
      <c r="I155" s="838"/>
      <c r="J155" s="838"/>
      <c r="K155" s="100">
        <f>K154*1</f>
        <v>5684.5797853274617</v>
      </c>
    </row>
    <row r="156" spans="1:11" ht="17.100000000000001" customHeight="1" x14ac:dyDescent="0.25">
      <c r="A156" s="86"/>
      <c r="B156" s="86"/>
      <c r="C156" s="86"/>
      <c r="D156" s="86"/>
      <c r="E156" s="86"/>
      <c r="F156" s="86"/>
      <c r="G156" s="86"/>
      <c r="H156" s="86"/>
      <c r="I156" s="86"/>
      <c r="J156" s="86"/>
      <c r="K156" s="252"/>
    </row>
    <row r="157" spans="1:11" ht="17.100000000000001" customHeight="1" x14ac:dyDescent="0.25">
      <c r="A157" s="86"/>
      <c r="B157" s="752" t="s">
        <v>683</v>
      </c>
      <c r="C157" s="752"/>
      <c r="D157" s="752"/>
      <c r="E157" s="752"/>
      <c r="F157" s="752"/>
      <c r="G157" s="752"/>
      <c r="H157" s="752"/>
      <c r="I157" s="752"/>
      <c r="J157" s="752"/>
      <c r="K157" s="752"/>
    </row>
    <row r="158" spans="1:11" ht="17.100000000000001" customHeight="1" x14ac:dyDescent="0.25">
      <c r="A158" s="86"/>
      <c r="B158" s="72" t="s">
        <v>95</v>
      </c>
      <c r="C158" s="753" t="s">
        <v>96</v>
      </c>
      <c r="D158" s="753"/>
      <c r="E158" s="753"/>
      <c r="F158" s="753"/>
      <c r="G158" s="753"/>
      <c r="H158" s="74" t="s">
        <v>128</v>
      </c>
      <c r="I158" s="75" t="s">
        <v>129</v>
      </c>
      <c r="J158" s="73" t="s">
        <v>115</v>
      </c>
      <c r="K158" s="73" t="s">
        <v>97</v>
      </c>
    </row>
    <row r="159" spans="1:11" ht="17.100000000000001" customHeight="1" x14ac:dyDescent="0.25">
      <c r="A159" s="86"/>
      <c r="B159" s="77" t="s">
        <v>98</v>
      </c>
      <c r="C159" s="797" t="s">
        <v>99</v>
      </c>
      <c r="D159" s="797"/>
      <c r="E159" s="797"/>
      <c r="F159" s="797"/>
      <c r="G159" s="797"/>
      <c r="H159" s="77">
        <v>220</v>
      </c>
      <c r="I159" s="76" t="s">
        <v>130</v>
      </c>
      <c r="J159" s="78">
        <f>K159/H159</f>
        <v>8.0266363636363636</v>
      </c>
      <c r="K159" s="275">
        <f>'6 - DADOS CC MO'!E79</f>
        <v>1765.86</v>
      </c>
    </row>
    <row r="160" spans="1:11" ht="17.100000000000001" customHeight="1" x14ac:dyDescent="0.25">
      <c r="A160" s="86"/>
      <c r="B160" s="77" t="s">
        <v>131</v>
      </c>
      <c r="C160" s="83" t="s">
        <v>132</v>
      </c>
      <c r="D160" s="84"/>
      <c r="E160" s="84"/>
      <c r="F160" s="84"/>
      <c r="G160" s="85"/>
      <c r="H160" s="80">
        <v>7.33</v>
      </c>
      <c r="I160" s="77" t="s">
        <v>130</v>
      </c>
      <c r="J160" s="267">
        <f>J159*2</f>
        <v>16.053272727272727</v>
      </c>
      <c r="K160" s="79">
        <f>J160*H160</f>
        <v>117.67048909090909</v>
      </c>
    </row>
    <row r="161" spans="1:11" ht="17.100000000000001" customHeight="1" x14ac:dyDescent="0.25">
      <c r="A161" s="86"/>
      <c r="B161" s="76" t="s">
        <v>133</v>
      </c>
      <c r="C161" s="270" t="s">
        <v>134</v>
      </c>
      <c r="D161" s="271"/>
      <c r="E161" s="271"/>
      <c r="F161" s="271"/>
      <c r="G161" s="217"/>
      <c r="H161" s="80"/>
      <c r="I161" s="76"/>
      <c r="J161" s="78">
        <f>61/304*(SUM(K160))</f>
        <v>23.611512613636364</v>
      </c>
      <c r="K161" s="216">
        <f>J161</f>
        <v>23.611512613636364</v>
      </c>
    </row>
    <row r="162" spans="1:11" ht="17.100000000000001" customHeight="1" x14ac:dyDescent="0.25">
      <c r="A162" s="86"/>
      <c r="B162" s="77" t="s">
        <v>135</v>
      </c>
      <c r="C162" s="797" t="s">
        <v>136</v>
      </c>
      <c r="D162" s="797"/>
      <c r="E162" s="797"/>
      <c r="F162" s="797"/>
      <c r="G162" s="797"/>
      <c r="H162" s="77">
        <v>40</v>
      </c>
      <c r="I162" s="76" t="s">
        <v>89</v>
      </c>
      <c r="J162" s="81"/>
      <c r="K162" s="79">
        <f>K159*40%</f>
        <v>706.34400000000005</v>
      </c>
    </row>
    <row r="163" spans="1:11" ht="17.100000000000001" customHeight="1" x14ac:dyDescent="0.25">
      <c r="A163" s="86"/>
      <c r="B163" s="77"/>
      <c r="C163" s="748" t="s">
        <v>100</v>
      </c>
      <c r="D163" s="748"/>
      <c r="E163" s="748"/>
      <c r="F163" s="748"/>
      <c r="G163" s="748"/>
      <c r="H163" s="748"/>
      <c r="I163" s="748"/>
      <c r="J163" s="87"/>
      <c r="K163" s="88">
        <f>SUM(K159:K162)</f>
        <v>2613.4860017045453</v>
      </c>
    </row>
    <row r="164" spans="1:11" ht="17.100000000000001" customHeight="1" x14ac:dyDescent="0.25">
      <c r="A164" s="86"/>
      <c r="B164" s="73" t="s">
        <v>101</v>
      </c>
      <c r="C164" s="753" t="s">
        <v>102</v>
      </c>
      <c r="D164" s="753"/>
      <c r="E164" s="753"/>
      <c r="F164" s="753"/>
      <c r="G164" s="753"/>
      <c r="H164" s="753"/>
      <c r="I164" s="753"/>
      <c r="J164" s="73" t="s">
        <v>89</v>
      </c>
      <c r="K164" s="73" t="s">
        <v>97</v>
      </c>
    </row>
    <row r="165" spans="1:11" ht="17.100000000000001" customHeight="1" x14ac:dyDescent="0.25">
      <c r="A165" s="86"/>
      <c r="B165" s="76" t="s">
        <v>103</v>
      </c>
      <c r="C165" s="671" t="s">
        <v>104</v>
      </c>
      <c r="D165" s="671"/>
      <c r="E165" s="671"/>
      <c r="F165" s="671"/>
      <c r="G165" s="671"/>
      <c r="H165" s="671"/>
      <c r="I165" s="671"/>
      <c r="J165" s="262">
        <f>'7 - ENCARGOS SOCIAIS'!$D$13</f>
        <v>0.36800000000000005</v>
      </c>
      <c r="K165" s="79">
        <f>J165*$K$163</f>
        <v>961.76284862727277</v>
      </c>
    </row>
    <row r="166" spans="1:11" ht="17.100000000000001" customHeight="1" x14ac:dyDescent="0.25">
      <c r="A166" s="86"/>
      <c r="B166" s="76" t="s">
        <v>105</v>
      </c>
      <c r="C166" s="671" t="s">
        <v>106</v>
      </c>
      <c r="D166" s="671"/>
      <c r="E166" s="671"/>
      <c r="F166" s="671"/>
      <c r="G166" s="671"/>
      <c r="H166" s="671"/>
      <c r="I166" s="671"/>
      <c r="J166" s="262">
        <f>'7 - ENCARGOS SOCIAIS'!$D$21</f>
        <v>0.15387245147090212</v>
      </c>
      <c r="K166" s="79">
        <f>J166*$K$163</f>
        <v>402.14349796716465</v>
      </c>
    </row>
    <row r="167" spans="1:11" ht="17.100000000000001" customHeight="1" x14ac:dyDescent="0.25">
      <c r="A167" s="86"/>
      <c r="B167" s="76" t="s">
        <v>107</v>
      </c>
      <c r="C167" s="671" t="s">
        <v>108</v>
      </c>
      <c r="D167" s="671"/>
      <c r="E167" s="671"/>
      <c r="F167" s="671"/>
      <c r="G167" s="671"/>
      <c r="H167" s="671"/>
      <c r="I167" s="671"/>
      <c r="J167" s="262">
        <f>'7 - ENCARGOS SOCIAIS'!$D$28</f>
        <v>0.12666581537651095</v>
      </c>
      <c r="K167" s="79">
        <f>J167*$K$163</f>
        <v>331.0393353810037</v>
      </c>
    </row>
    <row r="168" spans="1:11" ht="17.100000000000001" customHeight="1" x14ac:dyDescent="0.25">
      <c r="A168" s="86"/>
      <c r="B168" s="76" t="s">
        <v>109</v>
      </c>
      <c r="C168" s="671" t="s">
        <v>110</v>
      </c>
      <c r="D168" s="671"/>
      <c r="E168" s="671"/>
      <c r="F168" s="671"/>
      <c r="G168" s="671"/>
      <c r="H168" s="671"/>
      <c r="I168" s="671"/>
      <c r="J168" s="262">
        <f>'7 - ENCARGOS SOCIAIS'!$D$32</f>
        <v>5.9231502118822603E-2</v>
      </c>
      <c r="K168" s="79">
        <f>J168*$K$163</f>
        <v>154.80070164747599</v>
      </c>
    </row>
    <row r="169" spans="1:11" ht="17.100000000000001" customHeight="1" x14ac:dyDescent="0.25">
      <c r="A169" s="86"/>
      <c r="B169" s="89"/>
      <c r="C169" s="750" t="s">
        <v>111</v>
      </c>
      <c r="D169" s="750"/>
      <c r="E169" s="750"/>
      <c r="F169" s="750"/>
      <c r="G169" s="750"/>
      <c r="H169" s="750"/>
      <c r="I169" s="750"/>
      <c r="J169" s="90">
        <f>SUM(J165:J168)</f>
        <v>0.70776976896623567</v>
      </c>
      <c r="K169" s="91">
        <f>SUM(K165:K168)</f>
        <v>1849.7463836229169</v>
      </c>
    </row>
    <row r="170" spans="1:11" ht="17.100000000000001" customHeight="1" x14ac:dyDescent="0.25">
      <c r="A170" s="86"/>
      <c r="B170" s="73" t="s">
        <v>112</v>
      </c>
      <c r="C170" s="751" t="s">
        <v>113</v>
      </c>
      <c r="D170" s="751"/>
      <c r="E170" s="751"/>
      <c r="F170" s="751"/>
      <c r="G170" s="751"/>
      <c r="H170" s="74" t="s">
        <v>114</v>
      </c>
      <c r="I170" s="73" t="s">
        <v>115</v>
      </c>
      <c r="J170" s="73" t="s">
        <v>116</v>
      </c>
      <c r="K170" s="73" t="s">
        <v>97</v>
      </c>
    </row>
    <row r="171" spans="1:11" ht="17.100000000000001" customHeight="1" x14ac:dyDescent="0.25">
      <c r="A171" s="86"/>
      <c r="B171" s="76" t="s">
        <v>117</v>
      </c>
      <c r="C171" s="671" t="s">
        <v>156</v>
      </c>
      <c r="D171" s="671"/>
      <c r="E171" s="671"/>
      <c r="F171" s="671"/>
      <c r="G171" s="671"/>
      <c r="H171" s="76">
        <v>26</v>
      </c>
      <c r="I171" s="92">
        <v>27.15</v>
      </c>
      <c r="J171" s="93">
        <v>0.19</v>
      </c>
      <c r="K171" s="94">
        <f>(H171*I171)-((H171*I171)*0.19)</f>
        <v>571.779</v>
      </c>
    </row>
    <row r="172" spans="1:11" ht="17.100000000000001" customHeight="1" x14ac:dyDescent="0.25">
      <c r="A172" s="86"/>
      <c r="B172" s="76" t="s">
        <v>119</v>
      </c>
      <c r="C172" s="671" t="s">
        <v>160</v>
      </c>
      <c r="D172" s="671"/>
      <c r="E172" s="671"/>
      <c r="F172" s="671"/>
      <c r="G172" s="671"/>
      <c r="H172" s="76">
        <f>H171*4</f>
        <v>104</v>
      </c>
      <c r="I172" s="95">
        <v>6.25</v>
      </c>
      <c r="J172" s="93">
        <v>0.06</v>
      </c>
      <c r="K172" s="94">
        <f>(H172*I172)-(K159*0.06)</f>
        <v>544.04840000000002</v>
      </c>
    </row>
    <row r="173" spans="1:11" ht="17.100000000000001" customHeight="1" x14ac:dyDescent="0.25">
      <c r="A173" s="86"/>
      <c r="B173" s="258" t="s">
        <v>121</v>
      </c>
      <c r="C173" s="839" t="s">
        <v>122</v>
      </c>
      <c r="D173" s="839"/>
      <c r="E173" s="839"/>
      <c r="F173" s="839"/>
      <c r="G173" s="839"/>
      <c r="H173" s="77">
        <v>1</v>
      </c>
      <c r="I173" s="92">
        <f>'6 - DADOS CC MO'!E82</f>
        <v>25.52</v>
      </c>
      <c r="J173" s="276"/>
      <c r="K173" s="277">
        <f>I173</f>
        <v>25.52</v>
      </c>
    </row>
    <row r="174" spans="1:11" ht="17.100000000000001" customHeight="1" x14ac:dyDescent="0.25">
      <c r="A174" s="86"/>
      <c r="B174" s="76" t="s">
        <v>152</v>
      </c>
      <c r="C174" s="671" t="s">
        <v>153</v>
      </c>
      <c r="D174" s="671"/>
      <c r="E174" s="671"/>
      <c r="F174" s="671"/>
      <c r="G174" s="671"/>
      <c r="H174" s="77">
        <v>1</v>
      </c>
      <c r="I174" s="92">
        <v>80</v>
      </c>
      <c r="J174" s="96"/>
      <c r="K174" s="97">
        <f>I174</f>
        <v>80</v>
      </c>
    </row>
    <row r="175" spans="1:11" ht="17.100000000000001" customHeight="1" x14ac:dyDescent="0.25">
      <c r="A175" s="86"/>
      <c r="B175" s="96"/>
      <c r="C175" s="748" t="s">
        <v>123</v>
      </c>
      <c r="D175" s="748"/>
      <c r="E175" s="748"/>
      <c r="F175" s="748"/>
      <c r="G175" s="748"/>
      <c r="H175" s="748"/>
      <c r="I175" s="748"/>
      <c r="J175" s="87"/>
      <c r="K175" s="98">
        <f>SUM(K171:K174)</f>
        <v>1221.3474000000001</v>
      </c>
    </row>
    <row r="176" spans="1:11" ht="17.100000000000001" customHeight="1" x14ac:dyDescent="0.25">
      <c r="A176" s="86"/>
      <c r="B176" s="749" t="s">
        <v>167</v>
      </c>
      <c r="C176" s="749"/>
      <c r="D176" s="749"/>
      <c r="E176" s="749"/>
      <c r="F176" s="749"/>
      <c r="G176" s="749"/>
      <c r="H176" s="749"/>
      <c r="I176" s="749"/>
      <c r="J176" s="749"/>
      <c r="K176" s="99">
        <f>K175+K169+K163</f>
        <v>5684.5797853274617</v>
      </c>
    </row>
    <row r="177" spans="1:11" ht="17.100000000000001" customHeight="1" x14ac:dyDescent="0.25">
      <c r="A177" s="86"/>
      <c r="B177" s="838" t="s">
        <v>518</v>
      </c>
      <c r="C177" s="838"/>
      <c r="D177" s="838"/>
      <c r="E177" s="838"/>
      <c r="F177" s="838"/>
      <c r="G177" s="838"/>
      <c r="H177" s="838"/>
      <c r="I177" s="838"/>
      <c r="J177" s="838"/>
      <c r="K177" s="100">
        <f>K176*1</f>
        <v>5684.5797853274617</v>
      </c>
    </row>
    <row r="178" spans="1:11" ht="17.100000000000001" customHeight="1" x14ac:dyDescent="0.25">
      <c r="A178" s="86"/>
      <c r="B178" s="86"/>
      <c r="C178" s="86"/>
      <c r="D178" s="86"/>
      <c r="E178" s="86"/>
      <c r="F178" s="86"/>
      <c r="G178" s="86"/>
      <c r="H178" s="86"/>
      <c r="I178" s="86"/>
      <c r="J178" s="86"/>
      <c r="K178" s="252"/>
    </row>
    <row r="179" spans="1:11" ht="17.100000000000001" customHeight="1" x14ac:dyDescent="0.25">
      <c r="A179" s="86"/>
      <c r="B179" s="752" t="s">
        <v>684</v>
      </c>
      <c r="C179" s="752"/>
      <c r="D179" s="752"/>
      <c r="E179" s="752"/>
      <c r="F179" s="752"/>
      <c r="G179" s="752"/>
      <c r="H179" s="752"/>
      <c r="I179" s="752"/>
      <c r="J179" s="752"/>
      <c r="K179" s="752"/>
    </row>
    <row r="180" spans="1:11" ht="17.100000000000001" customHeight="1" x14ac:dyDescent="0.25">
      <c r="A180" s="86"/>
      <c r="B180" s="72" t="s">
        <v>95</v>
      </c>
      <c r="C180" s="753" t="s">
        <v>96</v>
      </c>
      <c r="D180" s="753"/>
      <c r="E180" s="753"/>
      <c r="F180" s="753"/>
      <c r="G180" s="753"/>
      <c r="H180" s="74" t="s">
        <v>128</v>
      </c>
      <c r="I180" s="75" t="s">
        <v>129</v>
      </c>
      <c r="J180" s="73" t="s">
        <v>115</v>
      </c>
      <c r="K180" s="73" t="s">
        <v>97</v>
      </c>
    </row>
    <row r="181" spans="1:11" ht="17.100000000000001" customHeight="1" x14ac:dyDescent="0.25">
      <c r="A181" s="86"/>
      <c r="B181" s="76" t="s">
        <v>98</v>
      </c>
      <c r="C181" s="671" t="s">
        <v>99</v>
      </c>
      <c r="D181" s="671"/>
      <c r="E181" s="671"/>
      <c r="F181" s="671"/>
      <c r="G181" s="671"/>
      <c r="H181" s="77">
        <v>180</v>
      </c>
      <c r="I181" s="76" t="s">
        <v>130</v>
      </c>
      <c r="J181" s="78">
        <f>K181/H181</f>
        <v>11.8125</v>
      </c>
      <c r="K181" s="79">
        <f>'6 - DADOS CC MO'!E91</f>
        <v>2126.25</v>
      </c>
    </row>
    <row r="182" spans="1:11" ht="17.100000000000001" customHeight="1" x14ac:dyDescent="0.25">
      <c r="A182" s="86"/>
      <c r="B182" s="76" t="s">
        <v>131</v>
      </c>
      <c r="C182" s="83" t="s">
        <v>132</v>
      </c>
      <c r="D182" s="84"/>
      <c r="E182" s="84"/>
      <c r="F182" s="84"/>
      <c r="G182" s="217"/>
      <c r="H182" s="80">
        <f>7+1/3</f>
        <v>7.333333333333333</v>
      </c>
      <c r="I182" s="76" t="s">
        <v>130</v>
      </c>
      <c r="J182" s="218">
        <f>J181*2</f>
        <v>23.625</v>
      </c>
      <c r="K182" s="79">
        <f>J182*H182</f>
        <v>173.25</v>
      </c>
    </row>
    <row r="183" spans="1:11" ht="17.100000000000001" customHeight="1" x14ac:dyDescent="0.25">
      <c r="A183" s="86"/>
      <c r="B183" s="76" t="s">
        <v>133</v>
      </c>
      <c r="C183" s="83" t="s">
        <v>159</v>
      </c>
      <c r="D183" s="84"/>
      <c r="E183" s="84"/>
      <c r="F183" s="84"/>
      <c r="G183" s="217"/>
      <c r="H183" s="77"/>
      <c r="I183" s="76"/>
      <c r="J183" s="218">
        <f>61/304*(SUM(K182))</f>
        <v>34.763980263157897</v>
      </c>
      <c r="K183" s="79">
        <f>J183</f>
        <v>34.763980263157897</v>
      </c>
    </row>
    <row r="184" spans="1:11" ht="17.100000000000001" customHeight="1" x14ac:dyDescent="0.25">
      <c r="A184" s="86"/>
      <c r="B184" s="76" t="s">
        <v>135</v>
      </c>
      <c r="C184" s="671" t="s">
        <v>136</v>
      </c>
      <c r="D184" s="671"/>
      <c r="E184" s="671"/>
      <c r="F184" s="671"/>
      <c r="G184" s="671"/>
      <c r="H184" s="77">
        <v>40</v>
      </c>
      <c r="I184" s="76" t="s">
        <v>89</v>
      </c>
      <c r="J184" s="81"/>
      <c r="K184" s="79">
        <f>K181*40%</f>
        <v>850.5</v>
      </c>
    </row>
    <row r="185" spans="1:11" ht="17.100000000000001" customHeight="1" x14ac:dyDescent="0.25">
      <c r="A185" s="86"/>
      <c r="B185" s="77"/>
      <c r="C185" s="748" t="s">
        <v>100</v>
      </c>
      <c r="D185" s="748"/>
      <c r="E185" s="748"/>
      <c r="F185" s="748"/>
      <c r="G185" s="748"/>
      <c r="H185" s="748"/>
      <c r="I185" s="748"/>
      <c r="J185" s="87"/>
      <c r="K185" s="88">
        <f>SUM(K181:K184)</f>
        <v>3184.7639802631579</v>
      </c>
    </row>
    <row r="186" spans="1:11" ht="17.100000000000001" customHeight="1" x14ac:dyDescent="0.25">
      <c r="A186" s="86"/>
      <c r="B186" s="73" t="s">
        <v>101</v>
      </c>
      <c r="C186" s="753" t="s">
        <v>102</v>
      </c>
      <c r="D186" s="753"/>
      <c r="E186" s="753"/>
      <c r="F186" s="753"/>
      <c r="G186" s="753"/>
      <c r="H186" s="753"/>
      <c r="I186" s="753"/>
      <c r="J186" s="73" t="s">
        <v>89</v>
      </c>
      <c r="K186" s="73" t="s">
        <v>97</v>
      </c>
    </row>
    <row r="187" spans="1:11" ht="17.100000000000001" customHeight="1" x14ac:dyDescent="0.25">
      <c r="A187" s="86"/>
      <c r="B187" s="76" t="s">
        <v>103</v>
      </c>
      <c r="C187" s="671" t="s">
        <v>104</v>
      </c>
      <c r="D187" s="671"/>
      <c r="E187" s="671"/>
      <c r="F187" s="671"/>
      <c r="G187" s="671"/>
      <c r="H187" s="671"/>
      <c r="I187" s="671"/>
      <c r="J187" s="262">
        <f>'7 - ENCARGOS SOCIAIS'!$D$13</f>
        <v>0.36800000000000005</v>
      </c>
      <c r="K187" s="79">
        <f>J187*$K$185</f>
        <v>1171.9931447368422</v>
      </c>
    </row>
    <row r="188" spans="1:11" ht="17.100000000000001" customHeight="1" x14ac:dyDescent="0.25">
      <c r="A188" s="86"/>
      <c r="B188" s="76" t="s">
        <v>105</v>
      </c>
      <c r="C188" s="671" t="s">
        <v>106</v>
      </c>
      <c r="D188" s="671"/>
      <c r="E188" s="671"/>
      <c r="F188" s="671"/>
      <c r="G188" s="671"/>
      <c r="H188" s="671"/>
      <c r="I188" s="671"/>
      <c r="J188" s="262">
        <f>'7 - ENCARGOS SOCIAIS'!$D$21</f>
        <v>0.15387245147090212</v>
      </c>
      <c r="K188" s="79">
        <f>J188*$K$185</f>
        <v>490.0474409993198</v>
      </c>
    </row>
    <row r="189" spans="1:11" ht="17.100000000000001" customHeight="1" x14ac:dyDescent="0.25">
      <c r="A189" s="86"/>
      <c r="B189" s="76" t="s">
        <v>107</v>
      </c>
      <c r="C189" s="671" t="s">
        <v>108</v>
      </c>
      <c r="D189" s="671"/>
      <c r="E189" s="671"/>
      <c r="F189" s="671"/>
      <c r="G189" s="671"/>
      <c r="H189" s="671"/>
      <c r="I189" s="671"/>
      <c r="J189" s="262">
        <f>'7 - ENCARGOS SOCIAIS'!$D$28</f>
        <v>0.12666581537651095</v>
      </c>
      <c r="K189" s="79">
        <f>J189*$K$185</f>
        <v>403.40072634177534</v>
      </c>
    </row>
    <row r="190" spans="1:11" ht="17.100000000000001" customHeight="1" x14ac:dyDescent="0.25">
      <c r="A190" s="86"/>
      <c r="B190" s="76" t="s">
        <v>109</v>
      </c>
      <c r="C190" s="671" t="s">
        <v>110</v>
      </c>
      <c r="D190" s="671"/>
      <c r="E190" s="671"/>
      <c r="F190" s="671"/>
      <c r="G190" s="671"/>
      <c r="H190" s="671"/>
      <c r="I190" s="671"/>
      <c r="J190" s="262">
        <f>'7 - ENCARGOS SOCIAIS'!$D$32</f>
        <v>5.9231502118822603E-2</v>
      </c>
      <c r="K190" s="79">
        <f>J190*$K$185</f>
        <v>188.63835444490715</v>
      </c>
    </row>
    <row r="191" spans="1:11" ht="17.100000000000001" customHeight="1" x14ac:dyDescent="0.25">
      <c r="A191" s="86"/>
      <c r="B191" s="89"/>
      <c r="C191" s="750" t="s">
        <v>111</v>
      </c>
      <c r="D191" s="750"/>
      <c r="E191" s="750"/>
      <c r="F191" s="750"/>
      <c r="G191" s="750"/>
      <c r="H191" s="750"/>
      <c r="I191" s="750"/>
      <c r="J191" s="90">
        <f>SUM(J187:J190)</f>
        <v>0.70776976896623567</v>
      </c>
      <c r="K191" s="91">
        <f>SUM(K187:K190)</f>
        <v>2254.0796665228445</v>
      </c>
    </row>
    <row r="192" spans="1:11" ht="17.100000000000001" customHeight="1" x14ac:dyDescent="0.25">
      <c r="A192" s="86"/>
      <c r="B192" s="73" t="s">
        <v>112</v>
      </c>
      <c r="C192" s="751" t="s">
        <v>113</v>
      </c>
      <c r="D192" s="751"/>
      <c r="E192" s="751"/>
      <c r="F192" s="751"/>
      <c r="G192" s="751"/>
      <c r="H192" s="74" t="s">
        <v>114</v>
      </c>
      <c r="I192" s="73" t="s">
        <v>115</v>
      </c>
      <c r="J192" s="73" t="s">
        <v>116</v>
      </c>
      <c r="K192" s="73" t="s">
        <v>97</v>
      </c>
    </row>
    <row r="193" spans="1:11" ht="17.100000000000001" customHeight="1" x14ac:dyDescent="0.25">
      <c r="A193" s="86"/>
      <c r="B193" s="76" t="s">
        <v>117</v>
      </c>
      <c r="C193" s="671" t="s">
        <v>525</v>
      </c>
      <c r="D193" s="671"/>
      <c r="E193" s="671"/>
      <c r="F193" s="671"/>
      <c r="G193" s="671"/>
      <c r="H193" s="76">
        <v>15</v>
      </c>
      <c r="I193" s="92">
        <v>27.15</v>
      </c>
      <c r="J193" s="93">
        <v>0.19</v>
      </c>
      <c r="K193" s="94">
        <f>(H193*I193)-((H193*I193)*0.19)</f>
        <v>329.8725</v>
      </c>
    </row>
    <row r="194" spans="1:11" ht="17.100000000000001" customHeight="1" x14ac:dyDescent="0.25">
      <c r="A194" s="86"/>
      <c r="B194" s="76" t="s">
        <v>119</v>
      </c>
      <c r="C194" s="671" t="s">
        <v>160</v>
      </c>
      <c r="D194" s="671"/>
      <c r="E194" s="671"/>
      <c r="F194" s="671"/>
      <c r="G194" s="671"/>
      <c r="H194" s="76">
        <f>H193*4</f>
        <v>60</v>
      </c>
      <c r="I194" s="95">
        <v>6.25</v>
      </c>
      <c r="J194" s="93">
        <v>0.06</v>
      </c>
      <c r="K194" s="94">
        <f>(H194*I194)-(K181*0.06)</f>
        <v>247.42500000000001</v>
      </c>
    </row>
    <row r="195" spans="1:11" ht="17.100000000000001" customHeight="1" x14ac:dyDescent="0.25">
      <c r="A195" s="86"/>
      <c r="B195" s="76" t="s">
        <v>121</v>
      </c>
      <c r="C195" s="671" t="s">
        <v>122</v>
      </c>
      <c r="D195" s="671"/>
      <c r="E195" s="671"/>
      <c r="F195" s="671"/>
      <c r="G195" s="671"/>
      <c r="H195" s="77">
        <v>1</v>
      </c>
      <c r="I195" s="92">
        <f>'6 - DADOS CC MO'!E93</f>
        <v>25.52</v>
      </c>
      <c r="J195" s="96"/>
      <c r="K195" s="97">
        <f>I195</f>
        <v>25.52</v>
      </c>
    </row>
    <row r="196" spans="1:11" ht="17.100000000000001" customHeight="1" x14ac:dyDescent="0.25">
      <c r="A196" s="86"/>
      <c r="B196" s="76" t="s">
        <v>152</v>
      </c>
      <c r="C196" s="671" t="s">
        <v>153</v>
      </c>
      <c r="D196" s="671"/>
      <c r="E196" s="671"/>
      <c r="F196" s="671"/>
      <c r="G196" s="671"/>
      <c r="H196" s="77">
        <v>1</v>
      </c>
      <c r="I196" s="92">
        <v>80</v>
      </c>
      <c r="J196" s="96"/>
      <c r="K196" s="97">
        <f>I196</f>
        <v>80</v>
      </c>
    </row>
    <row r="197" spans="1:11" ht="17.100000000000001" customHeight="1" x14ac:dyDescent="0.25">
      <c r="A197" s="86"/>
      <c r="B197" s="96"/>
      <c r="C197" s="748" t="s">
        <v>123</v>
      </c>
      <c r="D197" s="748"/>
      <c r="E197" s="748"/>
      <c r="F197" s="748"/>
      <c r="G197" s="748"/>
      <c r="H197" s="748"/>
      <c r="I197" s="748"/>
      <c r="J197" s="87"/>
      <c r="K197" s="98">
        <f>SUM(K193:K196)</f>
        <v>682.8175</v>
      </c>
    </row>
    <row r="198" spans="1:11" ht="17.100000000000001" customHeight="1" x14ac:dyDescent="0.25">
      <c r="A198" s="86"/>
      <c r="B198" s="749" t="s">
        <v>169</v>
      </c>
      <c r="C198" s="749"/>
      <c r="D198" s="749"/>
      <c r="E198" s="749"/>
      <c r="F198" s="749"/>
      <c r="G198" s="749"/>
      <c r="H198" s="749"/>
      <c r="I198" s="749"/>
      <c r="J198" s="749"/>
      <c r="K198" s="99">
        <f>K197+K191+K185</f>
        <v>6121.6611467860021</v>
      </c>
    </row>
    <row r="199" spans="1:11" ht="17.100000000000001" customHeight="1" x14ac:dyDescent="0.25">
      <c r="A199" s="86"/>
      <c r="B199" s="838" t="s">
        <v>526</v>
      </c>
      <c r="C199" s="838"/>
      <c r="D199" s="838"/>
      <c r="E199" s="838"/>
      <c r="F199" s="838"/>
      <c r="G199" s="838"/>
      <c r="H199" s="838"/>
      <c r="I199" s="838"/>
      <c r="J199" s="838"/>
      <c r="K199" s="100">
        <f>K198*2</f>
        <v>12243.322293572004</v>
      </c>
    </row>
    <row r="200" spans="1:11" ht="17.100000000000001" customHeight="1" x14ac:dyDescent="0.25">
      <c r="A200" s="86"/>
      <c r="B200" s="278"/>
      <c r="C200" s="278"/>
      <c r="D200" s="278"/>
      <c r="E200" s="278"/>
      <c r="F200" s="278"/>
      <c r="G200" s="278"/>
      <c r="H200" s="278"/>
      <c r="I200" s="278"/>
      <c r="J200" s="278"/>
      <c r="K200" s="279"/>
    </row>
    <row r="201" spans="1:11" ht="17.100000000000001" customHeight="1" x14ac:dyDescent="0.25">
      <c r="A201" s="86"/>
      <c r="B201" s="752" t="s">
        <v>685</v>
      </c>
      <c r="C201" s="752"/>
      <c r="D201" s="752"/>
      <c r="E201" s="752"/>
      <c r="F201" s="752"/>
      <c r="G201" s="752"/>
      <c r="H201" s="752"/>
      <c r="I201" s="752"/>
      <c r="J201" s="752"/>
      <c r="K201" s="752"/>
    </row>
    <row r="202" spans="1:11" ht="17.100000000000001" customHeight="1" x14ac:dyDescent="0.25">
      <c r="A202" s="86"/>
      <c r="B202" s="72" t="s">
        <v>95</v>
      </c>
      <c r="C202" s="753" t="s">
        <v>96</v>
      </c>
      <c r="D202" s="753"/>
      <c r="E202" s="753"/>
      <c r="F202" s="753"/>
      <c r="G202" s="753"/>
      <c r="H202" s="74" t="s">
        <v>128</v>
      </c>
      <c r="I202" s="75" t="s">
        <v>129</v>
      </c>
      <c r="J202" s="73" t="s">
        <v>115</v>
      </c>
      <c r="K202" s="73" t="s">
        <v>97</v>
      </c>
    </row>
    <row r="203" spans="1:11" ht="17.100000000000001" customHeight="1" x14ac:dyDescent="0.25">
      <c r="A203" s="86"/>
      <c r="B203" s="76" t="s">
        <v>98</v>
      </c>
      <c r="C203" s="671" t="s">
        <v>99</v>
      </c>
      <c r="D203" s="671"/>
      <c r="E203" s="671"/>
      <c r="F203" s="671"/>
      <c r="G203" s="671"/>
      <c r="H203" s="77">
        <v>180</v>
      </c>
      <c r="I203" s="76" t="s">
        <v>130</v>
      </c>
      <c r="J203" s="78">
        <f>K203/H203</f>
        <v>11.8125</v>
      </c>
      <c r="K203" s="79">
        <f>'6 - DADOS CC MO'!E91</f>
        <v>2126.25</v>
      </c>
    </row>
    <row r="204" spans="1:11" ht="17.100000000000001" customHeight="1" x14ac:dyDescent="0.25">
      <c r="A204" s="86"/>
      <c r="B204" s="754" t="s">
        <v>135</v>
      </c>
      <c r="C204" s="755" t="s">
        <v>139</v>
      </c>
      <c r="D204" s="755"/>
      <c r="E204" s="755"/>
      <c r="F204" s="755"/>
      <c r="G204" s="755"/>
      <c r="H204" s="77">
        <f>7*15</f>
        <v>105</v>
      </c>
      <c r="I204" s="76" t="s">
        <v>140</v>
      </c>
      <c r="J204" s="78"/>
      <c r="K204" s="79"/>
    </row>
    <row r="205" spans="1:11" ht="17.100000000000001" customHeight="1" x14ac:dyDescent="0.25">
      <c r="A205" s="86"/>
      <c r="B205" s="754"/>
      <c r="C205" s="755"/>
      <c r="D205" s="755"/>
      <c r="E205" s="755"/>
      <c r="F205" s="755"/>
      <c r="G205" s="755"/>
      <c r="H205" s="77">
        <f>H204*8/7</f>
        <v>120</v>
      </c>
      <c r="I205" s="76" t="s">
        <v>141</v>
      </c>
      <c r="J205" s="78">
        <f>J203*0.2</f>
        <v>2.3625000000000003</v>
      </c>
      <c r="K205" s="79">
        <f>H205*J205</f>
        <v>283.50000000000006</v>
      </c>
    </row>
    <row r="206" spans="1:11" ht="17.100000000000001" customHeight="1" x14ac:dyDescent="0.25">
      <c r="A206" s="86"/>
      <c r="B206" s="76" t="s">
        <v>142</v>
      </c>
      <c r="C206" s="83" t="s">
        <v>132</v>
      </c>
      <c r="D206" s="84"/>
      <c r="E206" s="84"/>
      <c r="F206" s="84"/>
      <c r="G206" s="85"/>
      <c r="H206" s="80">
        <f>7+1/3-H207</f>
        <v>3</v>
      </c>
      <c r="I206" s="77" t="s">
        <v>130</v>
      </c>
      <c r="J206" s="267">
        <f>J203*2</f>
        <v>23.625</v>
      </c>
      <c r="K206" s="79">
        <f>J206*H206</f>
        <v>70.875</v>
      </c>
    </row>
    <row r="207" spans="1:11" ht="17.100000000000001" customHeight="1" x14ac:dyDescent="0.25">
      <c r="A207" s="86"/>
      <c r="B207" s="76" t="s">
        <v>143</v>
      </c>
      <c r="C207" s="83" t="s">
        <v>144</v>
      </c>
      <c r="D207" s="84"/>
      <c r="E207" s="84"/>
      <c r="F207" s="84"/>
      <c r="G207" s="85"/>
      <c r="H207" s="80">
        <f>4+1/3</f>
        <v>4.333333333333333</v>
      </c>
      <c r="I207" s="77" t="s">
        <v>130</v>
      </c>
      <c r="J207" s="267"/>
      <c r="K207" s="79"/>
    </row>
    <row r="208" spans="1:11" ht="17.100000000000001" customHeight="1" x14ac:dyDescent="0.25">
      <c r="A208" s="86"/>
      <c r="B208" s="76" t="s">
        <v>145</v>
      </c>
      <c r="C208" s="83" t="s">
        <v>146</v>
      </c>
      <c r="D208" s="84"/>
      <c r="E208" s="84"/>
      <c r="F208" s="84"/>
      <c r="G208" s="85"/>
      <c r="H208" s="80">
        <f>H207*8/7</f>
        <v>4.9523809523809517</v>
      </c>
      <c r="I208" s="77" t="s">
        <v>130</v>
      </c>
      <c r="J208" s="267">
        <f>J203*2*1.2</f>
        <v>28.349999999999998</v>
      </c>
      <c r="K208" s="79">
        <f>J208*H208</f>
        <v>140.39999999999998</v>
      </c>
    </row>
    <row r="209" spans="1:11" ht="17.100000000000001" customHeight="1" x14ac:dyDescent="0.25">
      <c r="A209" s="86"/>
      <c r="B209" s="76" t="s">
        <v>147</v>
      </c>
      <c r="C209" s="83" t="s">
        <v>159</v>
      </c>
      <c r="D209" s="84"/>
      <c r="E209" s="84"/>
      <c r="F209" s="84"/>
      <c r="G209" s="85"/>
      <c r="H209" s="77"/>
      <c r="I209" s="86"/>
      <c r="J209" s="267">
        <f>61/304*(SUM(K205:K208))</f>
        <v>99.280509868421063</v>
      </c>
      <c r="K209" s="79">
        <f>J209</f>
        <v>99.280509868421063</v>
      </c>
    </row>
    <row r="210" spans="1:11" ht="17.100000000000001" customHeight="1" x14ac:dyDescent="0.25">
      <c r="A210" s="86"/>
      <c r="B210" s="76" t="s">
        <v>148</v>
      </c>
      <c r="C210" s="671" t="s">
        <v>136</v>
      </c>
      <c r="D210" s="671"/>
      <c r="E210" s="671"/>
      <c r="F210" s="671"/>
      <c r="G210" s="671"/>
      <c r="H210" s="77">
        <v>40</v>
      </c>
      <c r="I210" s="76" t="s">
        <v>89</v>
      </c>
      <c r="J210" s="81"/>
      <c r="K210" s="79">
        <f>K203*40%</f>
        <v>850.5</v>
      </c>
    </row>
    <row r="211" spans="1:11" ht="17.100000000000001" customHeight="1" x14ac:dyDescent="0.25">
      <c r="A211" s="86"/>
      <c r="B211" s="77"/>
      <c r="C211" s="748" t="s">
        <v>100</v>
      </c>
      <c r="D211" s="748"/>
      <c r="E211" s="748"/>
      <c r="F211" s="748"/>
      <c r="G211" s="748"/>
      <c r="H211" s="748"/>
      <c r="I211" s="748"/>
      <c r="J211" s="87"/>
      <c r="K211" s="88">
        <f>SUM(K203:K210)</f>
        <v>3570.8055098684213</v>
      </c>
    </row>
    <row r="212" spans="1:11" ht="17.100000000000001" customHeight="1" x14ac:dyDescent="0.25">
      <c r="A212" s="86"/>
      <c r="B212" s="73" t="s">
        <v>101</v>
      </c>
      <c r="C212" s="753" t="s">
        <v>102</v>
      </c>
      <c r="D212" s="753"/>
      <c r="E212" s="753"/>
      <c r="F212" s="753"/>
      <c r="G212" s="753"/>
      <c r="H212" s="753"/>
      <c r="I212" s="753"/>
      <c r="J212" s="73" t="s">
        <v>89</v>
      </c>
      <c r="K212" s="73" t="s">
        <v>97</v>
      </c>
    </row>
    <row r="213" spans="1:11" ht="17.100000000000001" customHeight="1" x14ac:dyDescent="0.25">
      <c r="A213" s="86"/>
      <c r="B213" s="76" t="s">
        <v>103</v>
      </c>
      <c r="C213" s="671" t="s">
        <v>104</v>
      </c>
      <c r="D213" s="671"/>
      <c r="E213" s="671"/>
      <c r="F213" s="671"/>
      <c r="G213" s="671"/>
      <c r="H213" s="671"/>
      <c r="I213" s="671"/>
      <c r="J213" s="262">
        <f>'7 - ENCARGOS SOCIAIS'!$D$13</f>
        <v>0.36800000000000005</v>
      </c>
      <c r="K213" s="79">
        <f>J213*K211</f>
        <v>1314.0564276315793</v>
      </c>
    </row>
    <row r="214" spans="1:11" ht="17.100000000000001" customHeight="1" x14ac:dyDescent="0.25">
      <c r="A214" s="86"/>
      <c r="B214" s="76" t="s">
        <v>105</v>
      </c>
      <c r="C214" s="671" t="s">
        <v>106</v>
      </c>
      <c r="D214" s="671"/>
      <c r="E214" s="671"/>
      <c r="F214" s="671"/>
      <c r="G214" s="671"/>
      <c r="H214" s="671"/>
      <c r="I214" s="671"/>
      <c r="J214" s="262">
        <f>'7 - ENCARGOS SOCIAIS'!$D$21</f>
        <v>0.15387245147090212</v>
      </c>
      <c r="K214" s="79">
        <f>J214*K211</f>
        <v>549.44859752925856</v>
      </c>
    </row>
    <row r="215" spans="1:11" ht="17.100000000000001" customHeight="1" x14ac:dyDescent="0.25">
      <c r="A215" s="86"/>
      <c r="B215" s="76" t="s">
        <v>107</v>
      </c>
      <c r="C215" s="671" t="s">
        <v>108</v>
      </c>
      <c r="D215" s="671"/>
      <c r="E215" s="671"/>
      <c r="F215" s="671"/>
      <c r="G215" s="671"/>
      <c r="H215" s="671"/>
      <c r="I215" s="671"/>
      <c r="J215" s="262">
        <f>'7 - ENCARGOS SOCIAIS'!$D$28</f>
        <v>0.12666581537651095</v>
      </c>
      <c r="K215" s="79">
        <f>J215*K211</f>
        <v>452.29899145842148</v>
      </c>
    </row>
    <row r="216" spans="1:11" ht="17.100000000000001" customHeight="1" x14ac:dyDescent="0.25">
      <c r="A216" s="86"/>
      <c r="B216" s="76" t="s">
        <v>109</v>
      </c>
      <c r="C216" s="671" t="s">
        <v>110</v>
      </c>
      <c r="D216" s="671"/>
      <c r="E216" s="671"/>
      <c r="F216" s="671"/>
      <c r="G216" s="671"/>
      <c r="H216" s="671"/>
      <c r="I216" s="671"/>
      <c r="J216" s="262">
        <f>'7 - ENCARGOS SOCIAIS'!$D$32</f>
        <v>5.9231502118822603E-2</v>
      </c>
      <c r="K216" s="79">
        <f>J216*K211</f>
        <v>211.50417412367483</v>
      </c>
    </row>
    <row r="217" spans="1:11" ht="17.100000000000001" customHeight="1" x14ac:dyDescent="0.25">
      <c r="A217" s="86"/>
      <c r="B217" s="89"/>
      <c r="C217" s="750" t="s">
        <v>111</v>
      </c>
      <c r="D217" s="750"/>
      <c r="E217" s="750"/>
      <c r="F217" s="750"/>
      <c r="G217" s="750"/>
      <c r="H217" s="750"/>
      <c r="I217" s="750"/>
      <c r="J217" s="90">
        <f>SUM(J213:J216)</f>
        <v>0.70776976896623567</v>
      </c>
      <c r="K217" s="91">
        <f>SUM(K213:K216)</f>
        <v>2527.3081907429341</v>
      </c>
    </row>
    <row r="218" spans="1:11" ht="17.100000000000001" customHeight="1" x14ac:dyDescent="0.25">
      <c r="A218" s="86"/>
      <c r="B218" s="73" t="s">
        <v>112</v>
      </c>
      <c r="C218" s="751" t="s">
        <v>113</v>
      </c>
      <c r="D218" s="751"/>
      <c r="E218" s="751"/>
      <c r="F218" s="751"/>
      <c r="G218" s="751"/>
      <c r="H218" s="74" t="s">
        <v>114</v>
      </c>
      <c r="I218" s="73" t="s">
        <v>115</v>
      </c>
      <c r="J218" s="73" t="s">
        <v>116</v>
      </c>
      <c r="K218" s="73" t="s">
        <v>97</v>
      </c>
    </row>
    <row r="219" spans="1:11" ht="17.100000000000001" customHeight="1" x14ac:dyDescent="0.25">
      <c r="A219" s="86"/>
      <c r="B219" s="76" t="s">
        <v>117</v>
      </c>
      <c r="C219" s="671" t="s">
        <v>156</v>
      </c>
      <c r="D219" s="671"/>
      <c r="E219" s="671"/>
      <c r="F219" s="671"/>
      <c r="G219" s="671"/>
      <c r="H219" s="76">
        <v>15</v>
      </c>
      <c r="I219" s="92">
        <v>27.15</v>
      </c>
      <c r="J219" s="93">
        <v>0.19</v>
      </c>
      <c r="K219" s="94">
        <f>(H219*I219)-((H219*I219)*0.19)</f>
        <v>329.8725</v>
      </c>
    </row>
    <row r="220" spans="1:11" ht="17.100000000000001" customHeight="1" x14ac:dyDescent="0.25">
      <c r="A220" s="86"/>
      <c r="B220" s="76" t="s">
        <v>119</v>
      </c>
      <c r="C220" s="671" t="s">
        <v>160</v>
      </c>
      <c r="D220" s="671"/>
      <c r="E220" s="671"/>
      <c r="F220" s="671"/>
      <c r="G220" s="671"/>
      <c r="H220" s="76">
        <f>H219*4</f>
        <v>60</v>
      </c>
      <c r="I220" s="95">
        <v>6.25</v>
      </c>
      <c r="J220" s="93">
        <v>0.06</v>
      </c>
      <c r="K220" s="94">
        <f>(H220*I220)-(K203*0.06)</f>
        <v>247.42500000000001</v>
      </c>
    </row>
    <row r="221" spans="1:11" ht="17.100000000000001" customHeight="1" x14ac:dyDescent="0.25">
      <c r="A221" s="86"/>
      <c r="B221" s="76" t="s">
        <v>121</v>
      </c>
      <c r="C221" s="671" t="s">
        <v>122</v>
      </c>
      <c r="D221" s="671"/>
      <c r="E221" s="671"/>
      <c r="F221" s="671"/>
      <c r="G221" s="671"/>
      <c r="H221" s="77">
        <v>1</v>
      </c>
      <c r="I221" s="92">
        <f>'6 - DADOS CC MO'!E93</f>
        <v>25.52</v>
      </c>
      <c r="J221" s="96"/>
      <c r="K221" s="97">
        <f>I221</f>
        <v>25.52</v>
      </c>
    </row>
    <row r="222" spans="1:11" ht="17.100000000000001" customHeight="1" x14ac:dyDescent="0.25">
      <c r="A222" s="86"/>
      <c r="B222" s="76" t="s">
        <v>152</v>
      </c>
      <c r="C222" s="671" t="s">
        <v>153</v>
      </c>
      <c r="D222" s="671"/>
      <c r="E222" s="671"/>
      <c r="F222" s="671"/>
      <c r="G222" s="671"/>
      <c r="H222" s="77">
        <v>1</v>
      </c>
      <c r="I222" s="92">
        <v>80</v>
      </c>
      <c r="J222" s="96"/>
      <c r="K222" s="97">
        <f>I222</f>
        <v>80</v>
      </c>
    </row>
    <row r="223" spans="1:11" ht="17.100000000000001" customHeight="1" x14ac:dyDescent="0.25">
      <c r="A223" s="86"/>
      <c r="B223" s="96"/>
      <c r="C223" s="748" t="s">
        <v>123</v>
      </c>
      <c r="D223" s="748"/>
      <c r="E223" s="748"/>
      <c r="F223" s="748"/>
      <c r="G223" s="748"/>
      <c r="H223" s="748"/>
      <c r="I223" s="748"/>
      <c r="J223" s="87"/>
      <c r="K223" s="98">
        <f>SUM(K219:K222)</f>
        <v>682.8175</v>
      </c>
    </row>
    <row r="224" spans="1:11" ht="17.100000000000001" customHeight="1" x14ac:dyDescent="0.25">
      <c r="A224" s="86"/>
      <c r="B224" s="749" t="s">
        <v>169</v>
      </c>
      <c r="C224" s="749"/>
      <c r="D224" s="749"/>
      <c r="E224" s="749"/>
      <c r="F224" s="749"/>
      <c r="G224" s="749"/>
      <c r="H224" s="749"/>
      <c r="I224" s="749"/>
      <c r="J224" s="749"/>
      <c r="K224" s="99">
        <f>K223+K217+K211</f>
        <v>6780.931200611356</v>
      </c>
    </row>
    <row r="225" spans="1:12" ht="17.100000000000001" customHeight="1" x14ac:dyDescent="0.25">
      <c r="A225" s="86"/>
      <c r="B225" s="838" t="s">
        <v>526</v>
      </c>
      <c r="C225" s="838"/>
      <c r="D225" s="838"/>
      <c r="E225" s="838"/>
      <c r="F225" s="838"/>
      <c r="G225" s="838"/>
      <c r="H225" s="838"/>
      <c r="I225" s="838"/>
      <c r="J225" s="838"/>
      <c r="K225" s="100">
        <f>K224*2</f>
        <v>13561.862401222712</v>
      </c>
    </row>
    <row r="226" spans="1:12" ht="17.100000000000001" customHeight="1" x14ac:dyDescent="0.25">
      <c r="A226" s="86"/>
      <c r="B226" s="86"/>
      <c r="C226" s="86"/>
      <c r="D226" s="86"/>
      <c r="E226" s="86"/>
      <c r="F226" s="86"/>
      <c r="G226" s="86"/>
      <c r="H226" s="86"/>
      <c r="I226" s="86"/>
      <c r="J226" s="86"/>
      <c r="K226" s="252"/>
    </row>
    <row r="227" spans="1:12" ht="17.100000000000001" customHeight="1" x14ac:dyDescent="0.25">
      <c r="A227" s="86"/>
      <c r="B227" s="779" t="s">
        <v>527</v>
      </c>
      <c r="C227" s="779"/>
      <c r="D227" s="779"/>
      <c r="E227" s="779"/>
      <c r="F227" s="779"/>
      <c r="G227" s="779"/>
      <c r="H227" s="779"/>
      <c r="I227" s="779"/>
      <c r="J227" s="779"/>
      <c r="K227" s="280">
        <f>K225+K199+K177+K155+K133+K112+K91+K72+K51</f>
        <v>77436.468061081279</v>
      </c>
    </row>
    <row r="228" spans="1:12" ht="17.100000000000001" customHeight="1" x14ac:dyDescent="0.25">
      <c r="A228" s="86"/>
      <c r="B228" s="86"/>
      <c r="C228" s="86"/>
      <c r="D228" s="86"/>
      <c r="E228" s="86"/>
      <c r="F228" s="86"/>
      <c r="G228" s="86"/>
      <c r="H228" s="86"/>
      <c r="I228" s="86"/>
      <c r="J228" s="86"/>
      <c r="K228" s="252"/>
    </row>
    <row r="229" spans="1:12" ht="17.100000000000001" customHeight="1" x14ac:dyDescent="0.25">
      <c r="A229" s="86"/>
      <c r="B229" s="86"/>
      <c r="C229" s="86"/>
      <c r="D229" s="86"/>
      <c r="E229" s="86"/>
      <c r="F229" s="86"/>
      <c r="G229" s="86"/>
      <c r="H229" s="86"/>
      <c r="I229" s="86"/>
      <c r="J229" s="86"/>
      <c r="K229" s="252"/>
    </row>
    <row r="230" spans="1:12" ht="17.100000000000001" customHeight="1" x14ac:dyDescent="0.25">
      <c r="A230" s="86"/>
      <c r="B230" s="788" t="s">
        <v>172</v>
      </c>
      <c r="C230" s="788"/>
      <c r="D230" s="788"/>
      <c r="E230" s="788"/>
      <c r="F230" s="788"/>
      <c r="G230" s="788"/>
      <c r="H230" s="788"/>
      <c r="I230" s="788"/>
      <c r="J230" s="788"/>
      <c r="K230" s="788"/>
    </row>
    <row r="231" spans="1:12" ht="17.100000000000001" customHeight="1" x14ac:dyDescent="0.25">
      <c r="A231" s="86"/>
      <c r="B231" s="86"/>
      <c r="C231" s="86"/>
      <c r="D231" s="86"/>
      <c r="E231" s="86"/>
      <c r="F231" s="86"/>
      <c r="G231" s="86"/>
      <c r="H231" s="86"/>
      <c r="I231" s="86"/>
      <c r="J231" s="86"/>
      <c r="K231" s="252"/>
    </row>
    <row r="232" spans="1:12" ht="17.100000000000001" customHeight="1" x14ac:dyDescent="0.25">
      <c r="A232" s="86"/>
      <c r="B232" s="752" t="s">
        <v>173</v>
      </c>
      <c r="C232" s="752"/>
      <c r="D232" s="752"/>
      <c r="E232" s="752"/>
      <c r="F232" s="752"/>
      <c r="G232" s="752"/>
      <c r="H232" s="752"/>
      <c r="I232" s="752"/>
      <c r="J232" s="752"/>
      <c r="K232" s="752"/>
    </row>
    <row r="233" spans="1:12" ht="32.450000000000003" customHeight="1" x14ac:dyDescent="0.25">
      <c r="A233" s="86"/>
      <c r="B233" s="750" t="s">
        <v>174</v>
      </c>
      <c r="C233" s="750"/>
      <c r="D233" s="750"/>
      <c r="E233" s="750"/>
      <c r="F233" s="750"/>
      <c r="G233" s="253" t="s">
        <v>1678</v>
      </c>
      <c r="H233" s="253" t="s">
        <v>176</v>
      </c>
      <c r="I233" s="832" t="s">
        <v>177</v>
      </c>
      <c r="J233" s="832"/>
      <c r="K233" s="89" t="s">
        <v>178</v>
      </c>
      <c r="L233" s="545"/>
    </row>
    <row r="234" spans="1:12" ht="17.100000000000001" customHeight="1" x14ac:dyDescent="0.25">
      <c r="A234" s="86"/>
      <c r="B234" s="797" t="s">
        <v>179</v>
      </c>
      <c r="C234" s="797"/>
      <c r="D234" s="797"/>
      <c r="E234" s="797"/>
      <c r="F234" s="797"/>
      <c r="G234" s="77">
        <v>1</v>
      </c>
      <c r="H234" s="95">
        <f>'10 - CUSTOS UN'!$J$36</f>
        <v>21.349999999999998</v>
      </c>
      <c r="I234" s="798">
        <f>H234/6</f>
        <v>3.5583333333333331</v>
      </c>
      <c r="J234" s="798"/>
      <c r="K234" s="94">
        <f>I234*G234</f>
        <v>3.5583333333333331</v>
      </c>
    </row>
    <row r="235" spans="1:12" ht="17.100000000000001" customHeight="1" x14ac:dyDescent="0.25">
      <c r="A235" s="86"/>
      <c r="B235" s="829" t="s">
        <v>180</v>
      </c>
      <c r="C235" s="829"/>
      <c r="D235" s="829"/>
      <c r="E235" s="829"/>
      <c r="F235" s="829"/>
      <c r="G235" s="282">
        <v>1</v>
      </c>
      <c r="H235" s="283">
        <f>'10 - CUSTOS UN'!$J$63</f>
        <v>111.56333333333333</v>
      </c>
      <c r="I235" s="807">
        <f>H235/6</f>
        <v>18.593888888888888</v>
      </c>
      <c r="J235" s="807"/>
      <c r="K235" s="284">
        <f>I235*G235</f>
        <v>18.593888888888888</v>
      </c>
    </row>
    <row r="236" spans="1:12" ht="17.100000000000001" customHeight="1" x14ac:dyDescent="0.25">
      <c r="A236" s="86"/>
      <c r="B236" s="801" t="s">
        <v>371</v>
      </c>
      <c r="C236" s="801"/>
      <c r="D236" s="801"/>
      <c r="E236" s="801"/>
      <c r="F236" s="801"/>
      <c r="G236" s="285"/>
      <c r="H236" s="285"/>
      <c r="I236" s="813"/>
      <c r="J236" s="813"/>
      <c r="K236" s="286">
        <f>SUM(K234:K235)</f>
        <v>22.152222222222221</v>
      </c>
    </row>
    <row r="237" spans="1:12" ht="17.100000000000001" customHeight="1" x14ac:dyDescent="0.25">
      <c r="A237" s="86"/>
      <c r="B237" s="805" t="s">
        <v>528</v>
      </c>
      <c r="C237" s="805"/>
      <c r="D237" s="805"/>
      <c r="E237" s="805"/>
      <c r="F237" s="805"/>
      <c r="G237" s="96"/>
      <c r="H237" s="96"/>
      <c r="I237" s="816">
        <f>K236</f>
        <v>22.152222222222221</v>
      </c>
      <c r="J237" s="816"/>
      <c r="K237" s="98">
        <f>K236*2</f>
        <v>44.304444444444442</v>
      </c>
    </row>
    <row r="238" spans="1:12" ht="17.100000000000001" customHeight="1" x14ac:dyDescent="0.25">
      <c r="A238" s="86"/>
      <c r="B238" s="86"/>
      <c r="C238" s="86"/>
      <c r="D238" s="86"/>
      <c r="E238" s="86"/>
      <c r="F238" s="86"/>
      <c r="G238" s="86"/>
      <c r="H238" s="86"/>
      <c r="I238" s="86"/>
      <c r="J238" s="86"/>
      <c r="K238" s="252"/>
    </row>
    <row r="239" spans="1:12" ht="17.100000000000001" customHeight="1" x14ac:dyDescent="0.25">
      <c r="A239" s="86"/>
      <c r="B239" s="752" t="s">
        <v>183</v>
      </c>
      <c r="C239" s="752"/>
      <c r="D239" s="752"/>
      <c r="E239" s="752"/>
      <c r="F239" s="752"/>
      <c r="G239" s="752"/>
      <c r="H239" s="752"/>
      <c r="I239" s="752"/>
      <c r="J239" s="752"/>
      <c r="K239" s="752"/>
    </row>
    <row r="240" spans="1:12" ht="32.25" customHeight="1" x14ac:dyDescent="0.25">
      <c r="A240" s="86"/>
      <c r="B240" s="750" t="s">
        <v>174</v>
      </c>
      <c r="C240" s="750"/>
      <c r="D240" s="750"/>
      <c r="E240" s="750"/>
      <c r="F240" s="750"/>
      <c r="G240" s="539" t="s">
        <v>1678</v>
      </c>
      <c r="H240" s="253" t="s">
        <v>176</v>
      </c>
      <c r="I240" s="832" t="s">
        <v>177</v>
      </c>
      <c r="J240" s="832"/>
      <c r="K240" s="89" t="s">
        <v>178</v>
      </c>
      <c r="L240" s="545"/>
    </row>
    <row r="241" spans="1:12" ht="17.100000000000001" customHeight="1" x14ac:dyDescent="0.25">
      <c r="A241" s="86"/>
      <c r="B241" s="797" t="s">
        <v>179</v>
      </c>
      <c r="C241" s="797"/>
      <c r="D241" s="797"/>
      <c r="E241" s="797"/>
      <c r="F241" s="797"/>
      <c r="G241" s="77">
        <v>1</v>
      </c>
      <c r="H241" s="288">
        <f>'10 - CUSTOS UN'!$J$36</f>
        <v>21.349999999999998</v>
      </c>
      <c r="I241" s="816">
        <f t="shared" ref="I241:I247" si="1">H241/6</f>
        <v>3.5583333333333331</v>
      </c>
      <c r="J241" s="816"/>
      <c r="K241" s="257">
        <f t="shared" ref="K241:K247" si="2">I241*G241</f>
        <v>3.5583333333333331</v>
      </c>
    </row>
    <row r="242" spans="1:12" ht="17.100000000000001" customHeight="1" x14ac:dyDescent="0.25">
      <c r="A242" s="86"/>
      <c r="B242" s="797" t="s">
        <v>184</v>
      </c>
      <c r="C242" s="797"/>
      <c r="D242" s="797"/>
      <c r="E242" s="797"/>
      <c r="F242" s="797"/>
      <c r="G242" s="77">
        <v>1</v>
      </c>
      <c r="H242" s="288">
        <f>'10 - CUSTOS UN'!$J$27</f>
        <v>67.736666666666665</v>
      </c>
      <c r="I242" s="816">
        <f t="shared" si="1"/>
        <v>11.289444444444444</v>
      </c>
      <c r="J242" s="816"/>
      <c r="K242" s="257">
        <f t="shared" si="2"/>
        <v>11.289444444444444</v>
      </c>
    </row>
    <row r="243" spans="1:12" ht="17.100000000000001" customHeight="1" x14ac:dyDescent="0.25">
      <c r="A243" s="86"/>
      <c r="B243" s="797" t="s">
        <v>185</v>
      </c>
      <c r="C243" s="797"/>
      <c r="D243" s="797"/>
      <c r="E243" s="797"/>
      <c r="F243" s="797"/>
      <c r="G243" s="77">
        <v>1</v>
      </c>
      <c r="H243" s="288">
        <f>'10 - CUSTOS UN'!$J$66</f>
        <v>156.05666666666664</v>
      </c>
      <c r="I243" s="816">
        <f t="shared" si="1"/>
        <v>26.009444444444441</v>
      </c>
      <c r="J243" s="816"/>
      <c r="K243" s="257">
        <f t="shared" si="2"/>
        <v>26.009444444444441</v>
      </c>
    </row>
    <row r="244" spans="1:12" ht="17.100000000000001" customHeight="1" x14ac:dyDescent="0.25">
      <c r="A244" s="86"/>
      <c r="B244" s="797" t="s">
        <v>186</v>
      </c>
      <c r="C244" s="797"/>
      <c r="D244" s="797"/>
      <c r="E244" s="797"/>
      <c r="F244" s="797"/>
      <c r="G244" s="77">
        <v>1</v>
      </c>
      <c r="H244" s="288">
        <f>'10 - CUSTOS UN'!$J$30</f>
        <v>84.38</v>
      </c>
      <c r="I244" s="816">
        <f t="shared" si="1"/>
        <v>14.063333333333333</v>
      </c>
      <c r="J244" s="816"/>
      <c r="K244" s="257">
        <f t="shared" si="2"/>
        <v>14.063333333333333</v>
      </c>
    </row>
    <row r="245" spans="1:12" ht="17.100000000000001" customHeight="1" x14ac:dyDescent="0.25">
      <c r="A245" s="86"/>
      <c r="B245" s="797" t="s">
        <v>187</v>
      </c>
      <c r="C245" s="797"/>
      <c r="D245" s="797"/>
      <c r="E245" s="797"/>
      <c r="F245" s="797"/>
      <c r="G245" s="77">
        <v>2</v>
      </c>
      <c r="H245" s="288">
        <f>'10 - CUSTOS UN'!$J$72</f>
        <v>8.2700000000000014</v>
      </c>
      <c r="I245" s="816">
        <f t="shared" si="1"/>
        <v>1.3783333333333336</v>
      </c>
      <c r="J245" s="816"/>
      <c r="K245" s="257">
        <f t="shared" si="2"/>
        <v>2.7566666666666673</v>
      </c>
    </row>
    <row r="246" spans="1:12" ht="17.100000000000001" customHeight="1" x14ac:dyDescent="0.25">
      <c r="A246" s="86"/>
      <c r="B246" s="797" t="s">
        <v>188</v>
      </c>
      <c r="C246" s="797"/>
      <c r="D246" s="797"/>
      <c r="E246" s="797"/>
      <c r="F246" s="797"/>
      <c r="G246" s="77">
        <v>1</v>
      </c>
      <c r="H246" s="288">
        <f>'10 - CUSTOS UN'!$J$51</f>
        <v>212.1933333333333</v>
      </c>
      <c r="I246" s="816">
        <f t="shared" si="1"/>
        <v>35.365555555555552</v>
      </c>
      <c r="J246" s="816"/>
      <c r="K246" s="257">
        <f t="shared" si="2"/>
        <v>35.365555555555552</v>
      </c>
    </row>
    <row r="247" spans="1:12" ht="17.100000000000001" customHeight="1" x14ac:dyDescent="0.25">
      <c r="A247" s="86"/>
      <c r="B247" s="829" t="s">
        <v>189</v>
      </c>
      <c r="C247" s="829"/>
      <c r="D247" s="829"/>
      <c r="E247" s="829"/>
      <c r="F247" s="829"/>
      <c r="G247" s="282">
        <v>1</v>
      </c>
      <c r="H247" s="289">
        <f>'10 - CUSTOS UN'!$J$48</f>
        <v>18.52</v>
      </c>
      <c r="I247" s="822">
        <f t="shared" si="1"/>
        <v>3.0866666666666664</v>
      </c>
      <c r="J247" s="822"/>
      <c r="K247" s="290">
        <f t="shared" si="2"/>
        <v>3.0866666666666664</v>
      </c>
    </row>
    <row r="248" spans="1:12" ht="17.100000000000001" customHeight="1" x14ac:dyDescent="0.25">
      <c r="A248" s="86"/>
      <c r="B248" s="801" t="s">
        <v>371</v>
      </c>
      <c r="C248" s="801"/>
      <c r="D248" s="801"/>
      <c r="E248" s="801"/>
      <c r="F248" s="801"/>
      <c r="G248" s="285"/>
      <c r="H248" s="285"/>
      <c r="I248" s="837"/>
      <c r="J248" s="837"/>
      <c r="K248" s="286">
        <f>SUM(K241:K247)</f>
        <v>96.129444444444445</v>
      </c>
    </row>
    <row r="249" spans="1:12" ht="17.100000000000001" customHeight="1" x14ac:dyDescent="0.25">
      <c r="A249" s="86"/>
      <c r="B249" s="805" t="s">
        <v>686</v>
      </c>
      <c r="C249" s="805"/>
      <c r="D249" s="805"/>
      <c r="E249" s="805"/>
      <c r="F249" s="805"/>
      <c r="G249" s="96"/>
      <c r="H249" s="96"/>
      <c r="I249" s="816">
        <f>K248</f>
        <v>96.129444444444445</v>
      </c>
      <c r="J249" s="816"/>
      <c r="K249" s="98">
        <f>K248*1</f>
        <v>96.129444444444445</v>
      </c>
    </row>
    <row r="250" spans="1:12" ht="17.100000000000001" customHeight="1" x14ac:dyDescent="0.25">
      <c r="A250" s="86"/>
      <c r="B250" s="86"/>
      <c r="C250" s="86"/>
      <c r="D250" s="86"/>
      <c r="E250" s="86"/>
      <c r="F250" s="86"/>
      <c r="G250" s="86"/>
      <c r="H250" s="86"/>
      <c r="I250" s="86"/>
      <c r="J250" s="86"/>
      <c r="K250" s="252"/>
    </row>
    <row r="251" spans="1:12" ht="17.100000000000001" customHeight="1" x14ac:dyDescent="0.25">
      <c r="A251" s="86"/>
      <c r="B251" s="752" t="s">
        <v>190</v>
      </c>
      <c r="C251" s="752"/>
      <c r="D251" s="752"/>
      <c r="E251" s="752"/>
      <c r="F251" s="752"/>
      <c r="G251" s="752"/>
      <c r="H251" s="752"/>
      <c r="I251" s="752"/>
      <c r="J251" s="752"/>
      <c r="K251" s="752"/>
    </row>
    <row r="252" spans="1:12" ht="32.450000000000003" customHeight="1" x14ac:dyDescent="0.25">
      <c r="A252" s="86"/>
      <c r="B252" s="750" t="s">
        <v>174</v>
      </c>
      <c r="C252" s="750"/>
      <c r="D252" s="750"/>
      <c r="E252" s="750"/>
      <c r="F252" s="750"/>
      <c r="G252" s="539" t="s">
        <v>1678</v>
      </c>
      <c r="H252" s="253" t="s">
        <v>176</v>
      </c>
      <c r="I252" s="832" t="s">
        <v>177</v>
      </c>
      <c r="J252" s="832"/>
      <c r="K252" s="89" t="s">
        <v>178</v>
      </c>
      <c r="L252" s="545"/>
    </row>
    <row r="253" spans="1:12" ht="17.100000000000001" customHeight="1" x14ac:dyDescent="0.25">
      <c r="A253" s="86"/>
      <c r="B253" s="755" t="s">
        <v>179</v>
      </c>
      <c r="C253" s="755"/>
      <c r="D253" s="755"/>
      <c r="E253" s="755"/>
      <c r="F253" s="755"/>
      <c r="G253" s="291">
        <v>2</v>
      </c>
      <c r="H253" s="288">
        <f>'10 - CUSTOS UN'!$J$36</f>
        <v>21.349999999999998</v>
      </c>
      <c r="I253" s="816">
        <f t="shared" ref="I253:I261" si="3">H253/6</f>
        <v>3.5583333333333331</v>
      </c>
      <c r="J253" s="816"/>
      <c r="K253" s="257">
        <f t="shared" ref="K253:K261" si="4">I253*G253</f>
        <v>7.1166666666666663</v>
      </c>
    </row>
    <row r="254" spans="1:12" ht="17.100000000000001" customHeight="1" x14ac:dyDescent="0.25">
      <c r="A254" s="86"/>
      <c r="B254" s="755" t="s">
        <v>180</v>
      </c>
      <c r="C254" s="755"/>
      <c r="D254" s="755"/>
      <c r="E254" s="755"/>
      <c r="F254" s="755"/>
      <c r="G254" s="291">
        <v>1</v>
      </c>
      <c r="H254" s="95">
        <f>'10 - CUSTOS UN'!$J$63</f>
        <v>111.56333333333333</v>
      </c>
      <c r="I254" s="834">
        <f t="shared" si="3"/>
        <v>18.593888888888888</v>
      </c>
      <c r="J254" s="834"/>
      <c r="K254" s="257">
        <f t="shared" si="4"/>
        <v>18.593888888888888</v>
      </c>
    </row>
    <row r="255" spans="1:12" ht="17.100000000000001" customHeight="1" x14ac:dyDescent="0.25">
      <c r="A255" s="86"/>
      <c r="B255" s="755" t="s">
        <v>191</v>
      </c>
      <c r="C255" s="755"/>
      <c r="D255" s="755"/>
      <c r="E255" s="755"/>
      <c r="F255" s="755"/>
      <c r="G255" s="291">
        <v>1</v>
      </c>
      <c r="H255" s="540">
        <f>'10 - CUSTOS UN'!$J$78</f>
        <v>146.51999999999998</v>
      </c>
      <c r="I255" s="834">
        <f t="shared" si="3"/>
        <v>24.419999999999998</v>
      </c>
      <c r="J255" s="834"/>
      <c r="K255" s="257">
        <f t="shared" si="4"/>
        <v>24.419999999999998</v>
      </c>
    </row>
    <row r="256" spans="1:12" ht="17.100000000000001" customHeight="1" x14ac:dyDescent="0.25">
      <c r="A256" s="86"/>
      <c r="B256" s="797" t="s">
        <v>192</v>
      </c>
      <c r="C256" s="797"/>
      <c r="D256" s="797"/>
      <c r="E256" s="797"/>
      <c r="F256" s="797"/>
      <c r="G256" s="77">
        <v>1</v>
      </c>
      <c r="H256" s="288">
        <f>'10 - CUSTOS UN'!$J$81</f>
        <v>134.89000000000001</v>
      </c>
      <c r="I256" s="834">
        <f t="shared" si="3"/>
        <v>22.481666666666669</v>
      </c>
      <c r="J256" s="834"/>
      <c r="K256" s="257">
        <f t="shared" si="4"/>
        <v>22.481666666666669</v>
      </c>
    </row>
    <row r="257" spans="1:12" ht="17.100000000000001" customHeight="1" x14ac:dyDescent="0.25">
      <c r="A257" s="86"/>
      <c r="B257" s="797" t="s">
        <v>193</v>
      </c>
      <c r="C257" s="797"/>
      <c r="D257" s="797"/>
      <c r="E257" s="797"/>
      <c r="F257" s="797"/>
      <c r="G257" s="77">
        <v>2</v>
      </c>
      <c r="H257" s="288">
        <f>'10 - CUSTOS UN'!$J$54</f>
        <v>10.023333333333333</v>
      </c>
      <c r="I257" s="834">
        <f t="shared" si="3"/>
        <v>1.6705555555555556</v>
      </c>
      <c r="J257" s="834"/>
      <c r="K257" s="257">
        <f t="shared" si="4"/>
        <v>3.3411111111111111</v>
      </c>
    </row>
    <row r="258" spans="1:12" ht="17.100000000000001" customHeight="1" x14ac:dyDescent="0.25">
      <c r="A258" s="86"/>
      <c r="B258" s="797" t="s">
        <v>194</v>
      </c>
      <c r="C258" s="797"/>
      <c r="D258" s="797"/>
      <c r="E258" s="797"/>
      <c r="F258" s="797"/>
      <c r="G258" s="77">
        <v>1</v>
      </c>
      <c r="H258" s="288">
        <f>'10 - CUSTOS UN'!$J$90</f>
        <v>3.0066666666666664</v>
      </c>
      <c r="I258" s="834">
        <f t="shared" si="3"/>
        <v>0.50111111111111106</v>
      </c>
      <c r="J258" s="834"/>
      <c r="K258" s="257">
        <f t="shared" si="4"/>
        <v>0.50111111111111106</v>
      </c>
    </row>
    <row r="259" spans="1:12" ht="17.100000000000001" customHeight="1" x14ac:dyDescent="0.25">
      <c r="A259" s="86"/>
      <c r="B259" s="797" t="s">
        <v>195</v>
      </c>
      <c r="C259" s="797"/>
      <c r="D259" s="797"/>
      <c r="E259" s="797"/>
      <c r="F259" s="797"/>
      <c r="G259" s="77">
        <v>3</v>
      </c>
      <c r="H259" s="288">
        <f>'10 - CUSTOS UN'!$J$75</f>
        <v>2.8833333333333333</v>
      </c>
      <c r="I259" s="834">
        <f t="shared" si="3"/>
        <v>0.48055555555555557</v>
      </c>
      <c r="J259" s="834"/>
      <c r="K259" s="257">
        <f t="shared" si="4"/>
        <v>1.4416666666666667</v>
      </c>
    </row>
    <row r="260" spans="1:12" ht="17.100000000000001" customHeight="1" x14ac:dyDescent="0.25">
      <c r="A260" s="86"/>
      <c r="B260" s="797" t="s">
        <v>186</v>
      </c>
      <c r="C260" s="797"/>
      <c r="D260" s="797"/>
      <c r="E260" s="797"/>
      <c r="F260" s="797"/>
      <c r="G260" s="77">
        <v>1</v>
      </c>
      <c r="H260" s="288">
        <f>'10 - CUSTOS UN'!$J$30</f>
        <v>84.38</v>
      </c>
      <c r="I260" s="834">
        <f t="shared" si="3"/>
        <v>14.063333333333333</v>
      </c>
      <c r="J260" s="834"/>
      <c r="K260" s="257">
        <f t="shared" si="4"/>
        <v>14.063333333333333</v>
      </c>
    </row>
    <row r="261" spans="1:12" ht="17.100000000000001" customHeight="1" x14ac:dyDescent="0.25">
      <c r="A261" s="86"/>
      <c r="B261" s="829" t="s">
        <v>196</v>
      </c>
      <c r="C261" s="829"/>
      <c r="D261" s="829"/>
      <c r="E261" s="829"/>
      <c r="F261" s="829"/>
      <c r="G261" s="282">
        <v>1</v>
      </c>
      <c r="H261" s="289">
        <f>'10 - CUSTOS UN'!$J$42</f>
        <v>16.393333333333334</v>
      </c>
      <c r="I261" s="835">
        <f t="shared" si="3"/>
        <v>2.7322222222222226</v>
      </c>
      <c r="J261" s="835"/>
      <c r="K261" s="290">
        <f t="shared" si="4"/>
        <v>2.7322222222222226</v>
      </c>
    </row>
    <row r="262" spans="1:12" ht="17.100000000000001" customHeight="1" x14ac:dyDescent="0.25">
      <c r="A262" s="86"/>
      <c r="B262" s="801" t="s">
        <v>371</v>
      </c>
      <c r="C262" s="801"/>
      <c r="D262" s="801"/>
      <c r="E262" s="801"/>
      <c r="F262" s="801"/>
      <c r="G262" s="285"/>
      <c r="H262" s="285"/>
      <c r="I262" s="836"/>
      <c r="J262" s="836"/>
      <c r="K262" s="293">
        <f>SUM(K253:K261)</f>
        <v>94.691666666666649</v>
      </c>
    </row>
    <row r="263" spans="1:12" ht="17.100000000000001" customHeight="1" x14ac:dyDescent="0.25">
      <c r="A263" s="86"/>
      <c r="B263" s="805" t="s">
        <v>528</v>
      </c>
      <c r="C263" s="805"/>
      <c r="D263" s="805"/>
      <c r="E263" s="805"/>
      <c r="F263" s="805"/>
      <c r="G263" s="96"/>
      <c r="H263" s="96"/>
      <c r="I263" s="816">
        <f>K262</f>
        <v>94.691666666666649</v>
      </c>
      <c r="J263" s="816"/>
      <c r="K263" s="294">
        <f>K262*2</f>
        <v>189.3833333333333</v>
      </c>
    </row>
    <row r="264" spans="1:12" ht="17.100000000000001" customHeight="1" x14ac:dyDescent="0.25">
      <c r="A264" s="86"/>
      <c r="B264" s="86"/>
      <c r="C264" s="86"/>
      <c r="D264" s="86"/>
      <c r="E264" s="86"/>
      <c r="F264" s="86"/>
      <c r="G264" s="86"/>
      <c r="H264" s="86"/>
      <c r="I264" s="86"/>
      <c r="J264" s="86"/>
      <c r="K264" s="252"/>
    </row>
    <row r="265" spans="1:12" ht="17.100000000000001" customHeight="1" x14ac:dyDescent="0.25">
      <c r="A265" s="86"/>
      <c r="B265" s="752" t="s">
        <v>197</v>
      </c>
      <c r="C265" s="752"/>
      <c r="D265" s="752"/>
      <c r="E265" s="752"/>
      <c r="F265" s="752"/>
      <c r="G265" s="752"/>
      <c r="H265" s="752"/>
      <c r="I265" s="752"/>
      <c r="J265" s="752"/>
      <c r="K265" s="752"/>
    </row>
    <row r="266" spans="1:12" ht="37.15" customHeight="1" x14ac:dyDescent="0.25">
      <c r="A266" s="86"/>
      <c r="B266" s="750" t="s">
        <v>174</v>
      </c>
      <c r="C266" s="750"/>
      <c r="D266" s="750"/>
      <c r="E266" s="750"/>
      <c r="F266" s="750"/>
      <c r="G266" s="539" t="s">
        <v>1678</v>
      </c>
      <c r="H266" s="253" t="s">
        <v>176</v>
      </c>
      <c r="I266" s="832" t="s">
        <v>177</v>
      </c>
      <c r="J266" s="832"/>
      <c r="K266" s="89" t="s">
        <v>178</v>
      </c>
      <c r="L266" s="545"/>
    </row>
    <row r="267" spans="1:12" ht="17.100000000000001" customHeight="1" x14ac:dyDescent="0.25">
      <c r="A267" s="86"/>
      <c r="B267" s="797" t="s">
        <v>179</v>
      </c>
      <c r="C267" s="797"/>
      <c r="D267" s="797"/>
      <c r="E267" s="797"/>
      <c r="F267" s="797"/>
      <c r="G267" s="77">
        <v>2</v>
      </c>
      <c r="H267" s="288">
        <f>'10 - CUSTOS UN'!$J$36</f>
        <v>21.349999999999998</v>
      </c>
      <c r="I267" s="798">
        <f t="shared" ref="I267:I274" si="5">H267/6</f>
        <v>3.5583333333333331</v>
      </c>
      <c r="J267" s="798"/>
      <c r="K267" s="94">
        <f t="shared" ref="K267:K274" si="6">I267*G267</f>
        <v>7.1166666666666663</v>
      </c>
    </row>
    <row r="268" spans="1:12" ht="17.100000000000001" customHeight="1" x14ac:dyDescent="0.25">
      <c r="A268" s="86"/>
      <c r="B268" s="797" t="s">
        <v>180</v>
      </c>
      <c r="C268" s="797"/>
      <c r="D268" s="797"/>
      <c r="E268" s="797"/>
      <c r="F268" s="797"/>
      <c r="G268" s="77">
        <v>1</v>
      </c>
      <c r="H268" s="95">
        <f>'10 - CUSTOS UN'!$J$63</f>
        <v>111.56333333333333</v>
      </c>
      <c r="I268" s="798">
        <f t="shared" si="5"/>
        <v>18.593888888888888</v>
      </c>
      <c r="J268" s="798"/>
      <c r="K268" s="94">
        <f t="shared" si="6"/>
        <v>18.593888888888888</v>
      </c>
    </row>
    <row r="269" spans="1:12" ht="17.100000000000001" customHeight="1" x14ac:dyDescent="0.25">
      <c r="A269" s="86"/>
      <c r="B269" s="797" t="s">
        <v>184</v>
      </c>
      <c r="C269" s="797"/>
      <c r="D269" s="797"/>
      <c r="E269" s="797"/>
      <c r="F269" s="797"/>
      <c r="G269" s="77">
        <v>2</v>
      </c>
      <c r="H269" s="288">
        <f>'10 - CUSTOS UN'!$J$27</f>
        <v>67.736666666666665</v>
      </c>
      <c r="I269" s="798">
        <f t="shared" si="5"/>
        <v>11.289444444444444</v>
      </c>
      <c r="J269" s="798"/>
      <c r="K269" s="94">
        <f t="shared" si="6"/>
        <v>22.578888888888887</v>
      </c>
    </row>
    <row r="270" spans="1:12" ht="17.100000000000001" customHeight="1" x14ac:dyDescent="0.25">
      <c r="A270" s="86"/>
      <c r="B270" s="797" t="s">
        <v>186</v>
      </c>
      <c r="C270" s="797"/>
      <c r="D270" s="797"/>
      <c r="E270" s="797"/>
      <c r="F270" s="797"/>
      <c r="G270" s="77">
        <v>1</v>
      </c>
      <c r="H270" s="288">
        <f>'10 - CUSTOS UN'!$J$30</f>
        <v>84.38</v>
      </c>
      <c r="I270" s="798">
        <f t="shared" si="5"/>
        <v>14.063333333333333</v>
      </c>
      <c r="J270" s="798"/>
      <c r="K270" s="94">
        <f t="shared" si="6"/>
        <v>14.063333333333333</v>
      </c>
    </row>
    <row r="271" spans="1:12" ht="17.100000000000001" customHeight="1" x14ac:dyDescent="0.25">
      <c r="A271" s="86"/>
      <c r="B271" s="797" t="s">
        <v>198</v>
      </c>
      <c r="C271" s="797"/>
      <c r="D271" s="797"/>
      <c r="E271" s="797"/>
      <c r="F271" s="797"/>
      <c r="G271" s="77">
        <v>6</v>
      </c>
      <c r="H271" s="95">
        <f>'10 - CUSTOS UN'!$J$69</f>
        <v>5.1333333333333337</v>
      </c>
      <c r="I271" s="798">
        <f t="shared" si="5"/>
        <v>0.85555555555555562</v>
      </c>
      <c r="J271" s="798"/>
      <c r="K271" s="94">
        <f t="shared" si="6"/>
        <v>5.1333333333333337</v>
      </c>
    </row>
    <row r="272" spans="1:12" ht="17.100000000000001" customHeight="1" x14ac:dyDescent="0.25">
      <c r="A272" s="86"/>
      <c r="B272" s="797" t="s">
        <v>194</v>
      </c>
      <c r="C272" s="797"/>
      <c r="D272" s="797"/>
      <c r="E272" s="797"/>
      <c r="F272" s="797"/>
      <c r="G272" s="77">
        <v>1</v>
      </c>
      <c r="H272" s="288">
        <f>'10 - CUSTOS UN'!$J$90</f>
        <v>3.0066666666666664</v>
      </c>
      <c r="I272" s="798">
        <f t="shared" si="5"/>
        <v>0.50111111111111106</v>
      </c>
      <c r="J272" s="798"/>
      <c r="K272" s="94">
        <f t="shared" si="6"/>
        <v>0.50111111111111106</v>
      </c>
    </row>
    <row r="273" spans="1:12" ht="17.100000000000001" customHeight="1" x14ac:dyDescent="0.25">
      <c r="A273" s="86"/>
      <c r="B273" s="797" t="s">
        <v>199</v>
      </c>
      <c r="C273" s="797"/>
      <c r="D273" s="797"/>
      <c r="E273" s="797"/>
      <c r="F273" s="797"/>
      <c r="G273" s="77">
        <v>1</v>
      </c>
      <c r="H273" s="95">
        <f>'10 - CUSTOS UN'!$J$9</f>
        <v>8.4966666666666661</v>
      </c>
      <c r="I273" s="798">
        <f t="shared" si="5"/>
        <v>1.4161111111111111</v>
      </c>
      <c r="J273" s="798"/>
      <c r="K273" s="94">
        <f t="shared" si="6"/>
        <v>1.4161111111111111</v>
      </c>
    </row>
    <row r="274" spans="1:12" ht="17.100000000000001" customHeight="1" x14ac:dyDescent="0.25">
      <c r="A274" s="86"/>
      <c r="B274" s="829" t="s">
        <v>196</v>
      </c>
      <c r="C274" s="829"/>
      <c r="D274" s="829"/>
      <c r="E274" s="829"/>
      <c r="F274" s="829"/>
      <c r="G274" s="282">
        <v>1</v>
      </c>
      <c r="H274" s="289">
        <f>'10 - CUSTOS UN'!$J$42</f>
        <v>16.393333333333334</v>
      </c>
      <c r="I274" s="807">
        <f t="shared" si="5"/>
        <v>2.7322222222222226</v>
      </c>
      <c r="J274" s="807"/>
      <c r="K274" s="284">
        <f t="shared" si="6"/>
        <v>2.7322222222222226</v>
      </c>
    </row>
    <row r="275" spans="1:12" ht="17.100000000000001" customHeight="1" x14ac:dyDescent="0.25">
      <c r="A275" s="86"/>
      <c r="B275" s="801" t="s">
        <v>371</v>
      </c>
      <c r="C275" s="801"/>
      <c r="D275" s="801"/>
      <c r="E275" s="801"/>
      <c r="F275" s="801"/>
      <c r="G275" s="285"/>
      <c r="H275" s="285"/>
      <c r="I275" s="827"/>
      <c r="J275" s="827"/>
      <c r="K275" s="293">
        <f>SUM(K267:K274)</f>
        <v>72.135555555555555</v>
      </c>
    </row>
    <row r="276" spans="1:12" ht="17.100000000000001" customHeight="1" x14ac:dyDescent="0.25">
      <c r="A276" s="86"/>
      <c r="B276" s="805" t="s">
        <v>528</v>
      </c>
      <c r="C276" s="805"/>
      <c r="D276" s="805"/>
      <c r="E276" s="805"/>
      <c r="F276" s="805"/>
      <c r="G276" s="96"/>
      <c r="H276" s="96"/>
      <c r="I276" s="816">
        <f>K275</f>
        <v>72.135555555555555</v>
      </c>
      <c r="J276" s="816"/>
      <c r="K276" s="294">
        <f>K275*2</f>
        <v>144.27111111111111</v>
      </c>
    </row>
    <row r="277" spans="1:12" ht="17.100000000000001" customHeight="1" x14ac:dyDescent="0.25">
      <c r="A277" s="86"/>
      <c r="B277" s="833"/>
      <c r="C277" s="833"/>
      <c r="D277" s="833"/>
      <c r="E277" s="833"/>
      <c r="F277" s="833"/>
      <c r="G277" s="86"/>
      <c r="H277" s="86"/>
      <c r="I277" s="833"/>
      <c r="J277" s="833"/>
      <c r="K277" s="296"/>
    </row>
    <row r="278" spans="1:12" ht="17.100000000000001" customHeight="1" x14ac:dyDescent="0.25">
      <c r="A278" s="86"/>
      <c r="B278" s="752" t="s">
        <v>200</v>
      </c>
      <c r="C278" s="752"/>
      <c r="D278" s="752"/>
      <c r="E278" s="752"/>
      <c r="F278" s="752"/>
      <c r="G278" s="752"/>
      <c r="H278" s="752"/>
      <c r="I278" s="752"/>
      <c r="J278" s="752"/>
      <c r="K278" s="752"/>
    </row>
    <row r="279" spans="1:12" ht="33" customHeight="1" x14ac:dyDescent="0.25">
      <c r="A279" s="86"/>
      <c r="B279" s="750" t="s">
        <v>174</v>
      </c>
      <c r="C279" s="750"/>
      <c r="D279" s="750"/>
      <c r="E279" s="750"/>
      <c r="F279" s="750"/>
      <c r="G279" s="539" t="s">
        <v>1678</v>
      </c>
      <c r="H279" s="253" t="s">
        <v>176</v>
      </c>
      <c r="I279" s="832" t="s">
        <v>177</v>
      </c>
      <c r="J279" s="832"/>
      <c r="K279" s="89" t="s">
        <v>178</v>
      </c>
      <c r="L279" s="545"/>
    </row>
    <row r="280" spans="1:12" ht="17.100000000000001" customHeight="1" x14ac:dyDescent="0.25">
      <c r="A280" s="86"/>
      <c r="B280" s="797" t="s">
        <v>179</v>
      </c>
      <c r="C280" s="797"/>
      <c r="D280" s="797"/>
      <c r="E280" s="797"/>
      <c r="F280" s="797"/>
      <c r="G280" s="77">
        <v>2</v>
      </c>
      <c r="H280" s="288">
        <f>'10 - CUSTOS UN'!$J$36</f>
        <v>21.349999999999998</v>
      </c>
      <c r="I280" s="816">
        <f>H280/6</f>
        <v>3.5583333333333331</v>
      </c>
      <c r="J280" s="816"/>
      <c r="K280" s="257">
        <f>I280*G280</f>
        <v>7.1166666666666663</v>
      </c>
    </row>
    <row r="281" spans="1:12" ht="17.100000000000001" customHeight="1" x14ac:dyDescent="0.25">
      <c r="A281" s="86"/>
      <c r="B281" s="797" t="s">
        <v>184</v>
      </c>
      <c r="C281" s="797"/>
      <c r="D281" s="797"/>
      <c r="E281" s="797"/>
      <c r="F281" s="797"/>
      <c r="G281" s="77">
        <v>2</v>
      </c>
      <c r="H281" s="288">
        <f>'10 - CUSTOS UN'!$J$27</f>
        <v>67.736666666666665</v>
      </c>
      <c r="I281" s="816">
        <f>H281/6</f>
        <v>11.289444444444444</v>
      </c>
      <c r="J281" s="816"/>
      <c r="K281" s="257">
        <f>I281*G281</f>
        <v>22.578888888888887</v>
      </c>
    </row>
    <row r="282" spans="1:12" ht="17.100000000000001" customHeight="1" x14ac:dyDescent="0.25">
      <c r="A282" s="86"/>
      <c r="B282" s="669" t="s">
        <v>180</v>
      </c>
      <c r="C282" s="669"/>
      <c r="D282" s="669"/>
      <c r="E282" s="669"/>
      <c r="F282" s="669"/>
      <c r="G282" s="77">
        <v>1</v>
      </c>
      <c r="H282" s="95">
        <f>'10 - CUSTOS UN'!$J$63</f>
        <v>111.56333333333333</v>
      </c>
      <c r="I282" s="816">
        <f>H282/6</f>
        <v>18.593888888888888</v>
      </c>
      <c r="J282" s="816"/>
      <c r="K282" s="257">
        <f>I282*G282</f>
        <v>18.593888888888888</v>
      </c>
    </row>
    <row r="283" spans="1:12" ht="17.100000000000001" customHeight="1" x14ac:dyDescent="0.25">
      <c r="A283" s="86"/>
      <c r="B283" s="797" t="s">
        <v>201</v>
      </c>
      <c r="C283" s="797"/>
      <c r="D283" s="797"/>
      <c r="E283" s="797"/>
      <c r="F283" s="797"/>
      <c r="G283" s="77">
        <v>1</v>
      </c>
      <c r="H283" s="288">
        <f>'10 - CUSTOS UN'!$J$30</f>
        <v>84.38</v>
      </c>
      <c r="I283" s="816">
        <f>H283/6</f>
        <v>14.063333333333333</v>
      </c>
      <c r="J283" s="816"/>
      <c r="K283" s="257">
        <f>I283*G283</f>
        <v>14.063333333333333</v>
      </c>
    </row>
    <row r="284" spans="1:12" ht="17.100000000000001" customHeight="1" x14ac:dyDescent="0.25">
      <c r="A284" s="86"/>
      <c r="B284" s="829" t="s">
        <v>202</v>
      </c>
      <c r="C284" s="829"/>
      <c r="D284" s="829"/>
      <c r="E284" s="829"/>
      <c r="F284" s="829"/>
      <c r="G284" s="282">
        <v>1</v>
      </c>
      <c r="H284" s="289">
        <f>'10 - CUSTOS UN'!$J$48</f>
        <v>18.52</v>
      </c>
      <c r="I284" s="822">
        <f>H284/6</f>
        <v>3.0866666666666664</v>
      </c>
      <c r="J284" s="822"/>
      <c r="K284" s="290">
        <f>I284*G284</f>
        <v>3.0866666666666664</v>
      </c>
    </row>
    <row r="285" spans="1:12" ht="17.100000000000001" customHeight="1" x14ac:dyDescent="0.25">
      <c r="A285" s="86"/>
      <c r="B285" s="801" t="s">
        <v>371</v>
      </c>
      <c r="C285" s="801"/>
      <c r="D285" s="801"/>
      <c r="E285" s="801"/>
      <c r="F285" s="801"/>
      <c r="G285" s="285"/>
      <c r="H285" s="285"/>
      <c r="I285" s="827"/>
      <c r="J285" s="827"/>
      <c r="K285" s="293">
        <f>SUM(K280:K284)</f>
        <v>65.439444444444447</v>
      </c>
    </row>
    <row r="286" spans="1:12" ht="17.100000000000001" customHeight="1" x14ac:dyDescent="0.25">
      <c r="A286" s="86"/>
      <c r="B286" s="805" t="s">
        <v>530</v>
      </c>
      <c r="C286" s="805"/>
      <c r="D286" s="805"/>
      <c r="E286" s="805"/>
      <c r="F286" s="805"/>
      <c r="G286" s="96"/>
      <c r="H286" s="96"/>
      <c r="I286" s="816">
        <f>K285</f>
        <v>65.439444444444447</v>
      </c>
      <c r="J286" s="816"/>
      <c r="K286" s="294">
        <f>K285*4</f>
        <v>261.75777777777779</v>
      </c>
    </row>
    <row r="287" spans="1:12" ht="17.100000000000001" customHeight="1" x14ac:dyDescent="0.25">
      <c r="A287" s="86"/>
      <c r="B287" s="297"/>
      <c r="C287" s="297"/>
      <c r="D287" s="297"/>
      <c r="E287" s="297"/>
      <c r="F287" s="297"/>
      <c r="G287" s="86"/>
      <c r="H287" s="86"/>
      <c r="I287" s="86"/>
      <c r="J287" s="86"/>
      <c r="K287" s="252"/>
    </row>
    <row r="288" spans="1:12" ht="17.100000000000001" customHeight="1" x14ac:dyDescent="0.25">
      <c r="A288" s="86"/>
      <c r="B288" s="779" t="s">
        <v>531</v>
      </c>
      <c r="C288" s="779"/>
      <c r="D288" s="779"/>
      <c r="E288" s="779"/>
      <c r="F288" s="779"/>
      <c r="G288" s="779"/>
      <c r="H288" s="779"/>
      <c r="I288" s="779"/>
      <c r="J288" s="779"/>
      <c r="K288" s="589">
        <f>SUM(K237+K249+K263+K276+K286)</f>
        <v>735.8461111111111</v>
      </c>
    </row>
    <row r="289" spans="1:12" ht="17.100000000000001" customHeight="1" x14ac:dyDescent="0.25">
      <c r="A289" s="86"/>
      <c r="B289" s="86"/>
      <c r="C289" s="86"/>
      <c r="D289" s="86"/>
      <c r="E289" s="86"/>
      <c r="F289" s="86"/>
      <c r="G289" s="86"/>
      <c r="H289" s="86"/>
      <c r="I289" s="86"/>
      <c r="J289" s="86"/>
      <c r="K289" s="252"/>
    </row>
    <row r="290" spans="1:12" ht="17.100000000000001" customHeight="1" x14ac:dyDescent="0.25">
      <c r="A290" s="86"/>
      <c r="B290" s="86"/>
      <c r="C290" s="86"/>
      <c r="D290" s="86"/>
      <c r="E290" s="86"/>
      <c r="F290" s="86"/>
      <c r="G290" s="86"/>
      <c r="H290" s="86"/>
      <c r="I290" s="86"/>
      <c r="J290" s="86"/>
      <c r="K290" s="252"/>
    </row>
    <row r="291" spans="1:12" ht="17.100000000000001" customHeight="1" x14ac:dyDescent="0.25">
      <c r="A291" s="86"/>
      <c r="B291" s="788" t="s">
        <v>205</v>
      </c>
      <c r="C291" s="788"/>
      <c r="D291" s="788"/>
      <c r="E291" s="788"/>
      <c r="F291" s="788"/>
      <c r="G291" s="788"/>
      <c r="H291" s="788"/>
      <c r="I291" s="788"/>
      <c r="J291" s="788"/>
      <c r="K291" s="788"/>
    </row>
    <row r="292" spans="1:12" ht="17.100000000000001" customHeight="1" x14ac:dyDescent="0.25">
      <c r="A292" s="86"/>
      <c r="B292" s="86"/>
      <c r="C292" s="86"/>
      <c r="D292" s="86"/>
      <c r="E292" s="86"/>
      <c r="F292" s="86"/>
      <c r="G292" s="86"/>
      <c r="H292" s="86"/>
      <c r="I292" s="86"/>
      <c r="J292" s="86"/>
      <c r="K292" s="252"/>
    </row>
    <row r="293" spans="1:12" ht="17.100000000000001" customHeight="1" x14ac:dyDescent="0.25">
      <c r="A293" s="86"/>
      <c r="B293" s="830" t="s">
        <v>1680</v>
      </c>
      <c r="C293" s="831"/>
      <c r="D293" s="831"/>
      <c r="E293" s="831"/>
      <c r="F293" s="831"/>
      <c r="G293" s="831"/>
      <c r="H293" s="831"/>
      <c r="I293" s="831"/>
      <c r="J293" s="831"/>
      <c r="K293" s="831"/>
    </row>
    <row r="294" spans="1:12" ht="17.100000000000001" customHeight="1" x14ac:dyDescent="0.25">
      <c r="A294" s="86"/>
      <c r="B294" s="815"/>
      <c r="C294" s="815"/>
      <c r="D294" s="815"/>
      <c r="E294" s="815"/>
      <c r="F294" s="815"/>
      <c r="G294" s="815"/>
      <c r="H294" s="815"/>
      <c r="I294" s="815"/>
      <c r="J294" s="815"/>
      <c r="K294" s="815"/>
    </row>
    <row r="295" spans="1:12" ht="17.100000000000001" customHeight="1" x14ac:dyDescent="0.25">
      <c r="A295" s="86"/>
      <c r="B295" s="808" t="s">
        <v>225</v>
      </c>
      <c r="C295" s="808"/>
      <c r="D295" s="808"/>
      <c r="E295" s="808"/>
      <c r="F295" s="808"/>
      <c r="G295" s="808"/>
      <c r="H295" s="808"/>
      <c r="I295" s="808"/>
      <c r="J295" s="808"/>
      <c r="K295" s="808"/>
      <c r="L295" s="576"/>
    </row>
    <row r="296" spans="1:12" ht="17.100000000000001" customHeight="1" x14ac:dyDescent="0.25">
      <c r="A296" s="86"/>
      <c r="B296" s="753" t="s">
        <v>174</v>
      </c>
      <c r="C296" s="753"/>
      <c r="D296" s="753"/>
      <c r="E296" s="753"/>
      <c r="F296" s="753"/>
      <c r="G296" s="73" t="s">
        <v>128</v>
      </c>
      <c r="H296" s="73" t="s">
        <v>129</v>
      </c>
      <c r="I296" s="753" t="s">
        <v>226</v>
      </c>
      <c r="J296" s="753"/>
      <c r="K296" s="73" t="s">
        <v>227</v>
      </c>
      <c r="L296" s="576"/>
    </row>
    <row r="297" spans="1:12" ht="17.100000000000001" customHeight="1" x14ac:dyDescent="0.25">
      <c r="A297" s="86"/>
      <c r="B297" s="671" t="s">
        <v>228</v>
      </c>
      <c r="C297" s="671"/>
      <c r="D297" s="671"/>
      <c r="E297" s="671"/>
      <c r="F297" s="671"/>
      <c r="G297" s="584">
        <v>1</v>
      </c>
      <c r="H297" s="76" t="s">
        <v>229</v>
      </c>
      <c r="I297" s="816">
        <v>42911</v>
      </c>
      <c r="J297" s="816"/>
      <c r="K297" s="257">
        <f>G297*I297</f>
        <v>42911</v>
      </c>
      <c r="L297" s="576"/>
    </row>
    <row r="298" spans="1:12" ht="17.100000000000001" customHeight="1" x14ac:dyDescent="0.25">
      <c r="A298" s="86"/>
      <c r="B298" s="671" t="s">
        <v>230</v>
      </c>
      <c r="C298" s="671"/>
      <c r="D298" s="671"/>
      <c r="E298" s="671"/>
      <c r="F298" s="671"/>
      <c r="G298" s="76">
        <v>60</v>
      </c>
      <c r="H298" s="76" t="s">
        <v>235</v>
      </c>
      <c r="I298" s="816"/>
      <c r="J298" s="816"/>
      <c r="K298" s="257"/>
      <c r="L298" s="576"/>
    </row>
    <row r="299" spans="1:12" ht="17.100000000000001" customHeight="1" x14ac:dyDescent="0.25">
      <c r="A299" s="86"/>
      <c r="B299" s="755" t="s">
        <v>532</v>
      </c>
      <c r="C299" s="755"/>
      <c r="D299" s="755"/>
      <c r="E299" s="755"/>
      <c r="F299" s="755"/>
      <c r="G299" s="76">
        <v>20</v>
      </c>
      <c r="H299" s="76" t="s">
        <v>89</v>
      </c>
      <c r="I299" s="816">
        <f>I297*(G299/100)</f>
        <v>8582.2000000000007</v>
      </c>
      <c r="J299" s="816"/>
      <c r="K299" s="257"/>
      <c r="L299" s="576"/>
    </row>
    <row r="300" spans="1:12" ht="17.100000000000001" customHeight="1" x14ac:dyDescent="0.25">
      <c r="A300" s="86"/>
      <c r="B300" s="818" t="s">
        <v>533</v>
      </c>
      <c r="C300" s="818"/>
      <c r="D300" s="818"/>
      <c r="E300" s="818"/>
      <c r="F300" s="818"/>
      <c r="G300" s="298">
        <v>80</v>
      </c>
      <c r="H300" s="298" t="s">
        <v>89</v>
      </c>
      <c r="I300" s="822">
        <f>I297</f>
        <v>42911</v>
      </c>
      <c r="J300" s="822"/>
      <c r="K300" s="290">
        <f>I300*G300/100</f>
        <v>34328.800000000003</v>
      </c>
      <c r="L300" s="576"/>
    </row>
    <row r="301" spans="1:12" ht="17.100000000000001" customHeight="1" x14ac:dyDescent="0.25">
      <c r="A301" s="86"/>
      <c r="B301" s="823" t="s">
        <v>534</v>
      </c>
      <c r="C301" s="823"/>
      <c r="D301" s="823"/>
      <c r="E301" s="823"/>
      <c r="F301" s="823"/>
      <c r="G301" s="292">
        <v>60</v>
      </c>
      <c r="H301" s="292" t="s">
        <v>235</v>
      </c>
      <c r="I301" s="827">
        <f>K300</f>
        <v>34328.800000000003</v>
      </c>
      <c r="J301" s="827"/>
      <c r="K301" s="293">
        <f>I301/G301</f>
        <v>572.14666666666676</v>
      </c>
      <c r="L301" s="576"/>
    </row>
    <row r="302" spans="1:12" ht="17.100000000000001" customHeight="1" x14ac:dyDescent="0.25">
      <c r="A302" s="86"/>
      <c r="B302" s="825" t="s">
        <v>535</v>
      </c>
      <c r="C302" s="825"/>
      <c r="D302" s="825"/>
      <c r="E302" s="825"/>
      <c r="F302" s="825"/>
      <c r="G302" s="299">
        <v>1</v>
      </c>
      <c r="H302" s="299" t="s">
        <v>229</v>
      </c>
      <c r="I302" s="826">
        <f>K301</f>
        <v>572.14666666666676</v>
      </c>
      <c r="J302" s="826"/>
      <c r="K302" s="300">
        <f>I302*G302</f>
        <v>572.14666666666676</v>
      </c>
      <c r="L302" s="576"/>
    </row>
    <row r="303" spans="1:12" ht="17.100000000000001" customHeight="1" x14ac:dyDescent="0.25">
      <c r="A303" s="86"/>
      <c r="B303" s="815"/>
      <c r="C303" s="815"/>
      <c r="D303" s="815"/>
      <c r="E303" s="815"/>
      <c r="F303" s="815"/>
      <c r="G303" s="815"/>
      <c r="H303" s="815"/>
      <c r="I303" s="815"/>
      <c r="J303" s="815"/>
      <c r="K303" s="815"/>
    </row>
    <row r="304" spans="1:12" ht="17.100000000000001" customHeight="1" x14ac:dyDescent="0.25">
      <c r="A304" s="86"/>
      <c r="B304" s="808" t="s">
        <v>237</v>
      </c>
      <c r="C304" s="808"/>
      <c r="D304" s="808"/>
      <c r="E304" s="808"/>
      <c r="F304" s="808"/>
      <c r="G304" s="808"/>
      <c r="H304" s="808"/>
      <c r="I304" s="808"/>
      <c r="J304" s="808"/>
      <c r="K304" s="808"/>
      <c r="L304" s="576"/>
    </row>
    <row r="305" spans="1:12" ht="17.100000000000001" customHeight="1" x14ac:dyDescent="0.25">
      <c r="A305" s="86"/>
      <c r="B305" s="753" t="s">
        <v>174</v>
      </c>
      <c r="C305" s="753"/>
      <c r="D305" s="753"/>
      <c r="E305" s="753"/>
      <c r="F305" s="753"/>
      <c r="G305" s="75" t="s">
        <v>128</v>
      </c>
      <c r="H305" s="73" t="s">
        <v>129</v>
      </c>
      <c r="I305" s="753" t="s">
        <v>226</v>
      </c>
      <c r="J305" s="753"/>
      <c r="K305" s="73" t="s">
        <v>227</v>
      </c>
      <c r="L305" s="576"/>
    </row>
    <row r="306" spans="1:12" ht="17.100000000000001" customHeight="1" x14ac:dyDescent="0.25">
      <c r="A306" s="86"/>
      <c r="B306" s="755" t="s">
        <v>536</v>
      </c>
      <c r="C306" s="755"/>
      <c r="D306" s="755"/>
      <c r="E306" s="755"/>
      <c r="F306" s="755"/>
      <c r="G306" s="76"/>
      <c r="H306" s="76"/>
      <c r="I306" s="816">
        <f>I297</f>
        <v>42911</v>
      </c>
      <c r="J306" s="816"/>
      <c r="K306" s="288"/>
      <c r="L306" s="576"/>
    </row>
    <row r="307" spans="1:12" ht="17.100000000000001" customHeight="1" x14ac:dyDescent="0.25">
      <c r="A307" s="86"/>
      <c r="B307" s="755" t="s">
        <v>239</v>
      </c>
      <c r="C307" s="755"/>
      <c r="D307" s="755"/>
      <c r="E307" s="755"/>
      <c r="F307" s="755"/>
      <c r="G307" s="585">
        <v>0.13750000000000001</v>
      </c>
      <c r="H307" s="76" t="s">
        <v>89</v>
      </c>
      <c r="I307" s="754"/>
      <c r="J307" s="754"/>
      <c r="K307" s="288"/>
      <c r="L307" s="576"/>
    </row>
    <row r="308" spans="1:12" ht="17.100000000000001" customHeight="1" x14ac:dyDescent="0.25">
      <c r="A308" s="86"/>
      <c r="B308" s="821" t="s">
        <v>537</v>
      </c>
      <c r="C308" s="821"/>
      <c r="D308" s="821"/>
      <c r="E308" s="821"/>
      <c r="F308" s="821"/>
      <c r="G308" s="298"/>
      <c r="H308" s="298"/>
      <c r="I308" s="822">
        <f>(((I306-I299)*((G298+1)/(2*G298)))+I299)</f>
        <v>26032.673333333336</v>
      </c>
      <c r="J308" s="822"/>
      <c r="K308" s="289"/>
      <c r="L308" s="576"/>
    </row>
    <row r="309" spans="1:12" ht="17.100000000000001" customHeight="1" x14ac:dyDescent="0.25">
      <c r="A309" s="86"/>
      <c r="B309" s="823" t="s">
        <v>538</v>
      </c>
      <c r="C309" s="823"/>
      <c r="D309" s="823"/>
      <c r="E309" s="823"/>
      <c r="F309" s="823"/>
      <c r="G309" s="292"/>
      <c r="H309" s="292"/>
      <c r="I309" s="824"/>
      <c r="J309" s="824"/>
      <c r="K309" s="293">
        <f>(I308*(G307/100))/12</f>
        <v>2.9829104861111113</v>
      </c>
      <c r="L309" s="576"/>
    </row>
    <row r="310" spans="1:12" ht="17.100000000000001" customHeight="1" x14ac:dyDescent="0.25">
      <c r="A310" s="86"/>
      <c r="B310" s="825" t="s">
        <v>539</v>
      </c>
      <c r="C310" s="825"/>
      <c r="D310" s="825"/>
      <c r="E310" s="825"/>
      <c r="F310" s="825"/>
      <c r="G310" s="299">
        <v>1</v>
      </c>
      <c r="H310" s="299" t="s">
        <v>229</v>
      </c>
      <c r="I310" s="826">
        <f>K309</f>
        <v>2.9829104861111113</v>
      </c>
      <c r="J310" s="826"/>
      <c r="K310" s="300">
        <f>I310*G310</f>
        <v>2.9829104861111113</v>
      </c>
      <c r="L310" s="576"/>
    </row>
    <row r="311" spans="1:12" ht="40.15" customHeight="1" x14ac:dyDescent="0.25">
      <c r="A311" s="86"/>
      <c r="B311" s="810" t="s">
        <v>540</v>
      </c>
      <c r="C311" s="810"/>
      <c r="D311" s="810"/>
      <c r="E311" s="810"/>
      <c r="F311" s="810"/>
      <c r="G311" s="810"/>
      <c r="H311" s="810"/>
      <c r="I311" s="810"/>
      <c r="J311" s="810"/>
      <c r="K311" s="810"/>
    </row>
    <row r="312" spans="1:12" ht="17.100000000000001" customHeight="1" x14ac:dyDescent="0.25">
      <c r="A312" s="86"/>
      <c r="B312" s="815"/>
      <c r="C312" s="815"/>
      <c r="D312" s="815"/>
      <c r="E312" s="815"/>
      <c r="F312" s="815"/>
      <c r="G312" s="815"/>
      <c r="H312" s="815"/>
      <c r="I312" s="815"/>
      <c r="J312" s="815"/>
      <c r="K312" s="815"/>
    </row>
    <row r="313" spans="1:12" ht="17.100000000000001" customHeight="1" x14ac:dyDescent="0.25">
      <c r="A313" s="86"/>
      <c r="B313" s="808" t="s">
        <v>245</v>
      </c>
      <c r="C313" s="808"/>
      <c r="D313" s="808"/>
      <c r="E313" s="808"/>
      <c r="F313" s="808"/>
      <c r="G313" s="808"/>
      <c r="H313" s="808"/>
      <c r="I313" s="808"/>
      <c r="J313" s="808"/>
      <c r="K313" s="808"/>
      <c r="L313" s="643"/>
    </row>
    <row r="314" spans="1:12" ht="17.100000000000001" customHeight="1" x14ac:dyDescent="0.25">
      <c r="A314" s="86"/>
      <c r="B314" s="753" t="s">
        <v>174</v>
      </c>
      <c r="C314" s="753"/>
      <c r="D314" s="753"/>
      <c r="E314" s="753"/>
      <c r="F314" s="753"/>
      <c r="G314" s="75" t="s">
        <v>128</v>
      </c>
      <c r="H314" s="73" t="s">
        <v>129</v>
      </c>
      <c r="I314" s="753" t="s">
        <v>226</v>
      </c>
      <c r="J314" s="753"/>
      <c r="K314" s="73" t="s">
        <v>246</v>
      </c>
      <c r="L314" s="643"/>
    </row>
    <row r="315" spans="1:12" ht="17.100000000000001" customHeight="1" x14ac:dyDescent="0.25">
      <c r="A315" s="86"/>
      <c r="B315" s="852" t="s">
        <v>426</v>
      </c>
      <c r="C315" s="671"/>
      <c r="D315" s="671"/>
      <c r="E315" s="671"/>
      <c r="F315" s="671"/>
      <c r="G315" s="76">
        <v>1</v>
      </c>
      <c r="H315" s="76" t="s">
        <v>229</v>
      </c>
      <c r="I315" s="816">
        <f>I297*0.03</f>
        <v>1287.33</v>
      </c>
      <c r="J315" s="816"/>
      <c r="K315" s="257">
        <f>(I315*G315)/12</f>
        <v>107.27749999999999</v>
      </c>
      <c r="L315" s="643"/>
    </row>
    <row r="316" spans="1:12" ht="17.100000000000001" customHeight="1" x14ac:dyDescent="0.25">
      <c r="A316" s="86"/>
      <c r="B316" s="852" t="s">
        <v>427</v>
      </c>
      <c r="C316" s="671"/>
      <c r="D316" s="671"/>
      <c r="E316" s="671"/>
      <c r="F316" s="671"/>
      <c r="G316" s="76">
        <v>1</v>
      </c>
      <c r="H316" s="76" t="s">
        <v>229</v>
      </c>
      <c r="I316" s="817">
        <v>114.09</v>
      </c>
      <c r="J316" s="817"/>
      <c r="K316" s="257">
        <f>(I316*G316)/12</f>
        <v>9.5075000000000003</v>
      </c>
      <c r="L316" s="643"/>
    </row>
    <row r="317" spans="1:12" ht="17.100000000000001" customHeight="1" x14ac:dyDescent="0.25">
      <c r="A317" s="86"/>
      <c r="B317" s="853" t="s">
        <v>1684</v>
      </c>
      <c r="C317" s="755"/>
      <c r="D317" s="755"/>
      <c r="E317" s="755"/>
      <c r="F317" s="755"/>
      <c r="G317" s="76">
        <v>1</v>
      </c>
      <c r="H317" s="76" t="s">
        <v>229</v>
      </c>
      <c r="I317" s="817">
        <v>0</v>
      </c>
      <c r="J317" s="817"/>
      <c r="K317" s="257">
        <f>(I317*G317)/60</f>
        <v>0</v>
      </c>
      <c r="L317" s="643"/>
    </row>
    <row r="318" spans="1:12" ht="17.100000000000001" customHeight="1" x14ac:dyDescent="0.25">
      <c r="A318" s="86"/>
      <c r="B318" s="852" t="s">
        <v>428</v>
      </c>
      <c r="C318" s="671"/>
      <c r="D318" s="671"/>
      <c r="E318" s="671"/>
      <c r="F318" s="671"/>
      <c r="G318" s="76">
        <v>1</v>
      </c>
      <c r="H318" s="76" t="s">
        <v>229</v>
      </c>
      <c r="I318" s="817">
        <f>'10 - CUSTOS UN'!J252</f>
        <v>858.83333333333337</v>
      </c>
      <c r="J318" s="817"/>
      <c r="K318" s="257">
        <f>(I318/12)*G318</f>
        <v>71.569444444444443</v>
      </c>
      <c r="L318" s="643"/>
    </row>
    <row r="319" spans="1:12" ht="17.100000000000001" customHeight="1" thickBot="1" x14ac:dyDescent="0.3">
      <c r="A319" s="86"/>
      <c r="B319" s="854" t="s">
        <v>429</v>
      </c>
      <c r="C319" s="818"/>
      <c r="D319" s="818"/>
      <c r="E319" s="818"/>
      <c r="F319" s="818"/>
      <c r="G319" s="298">
        <v>1</v>
      </c>
      <c r="H319" s="298" t="s">
        <v>229</v>
      </c>
      <c r="I319" s="819">
        <f>'10 - CUSTOS UN'!J233</f>
        <v>57.093333333333334</v>
      </c>
      <c r="J319" s="819"/>
      <c r="K319" s="290">
        <f>I319*G319</f>
        <v>57.093333333333334</v>
      </c>
      <c r="L319" s="643"/>
    </row>
    <row r="320" spans="1:12" ht="17.100000000000001" customHeight="1" x14ac:dyDescent="0.25">
      <c r="A320" s="86"/>
      <c r="B320" s="820" t="s">
        <v>248</v>
      </c>
      <c r="C320" s="820"/>
      <c r="D320" s="820"/>
      <c r="E320" s="820"/>
      <c r="F320" s="820"/>
      <c r="G320" s="89"/>
      <c r="H320" s="89"/>
      <c r="I320" s="750"/>
      <c r="J320" s="750"/>
      <c r="K320" s="294">
        <f>SUM(K315:K319)/2</f>
        <v>122.72388888888888</v>
      </c>
      <c r="L320" s="643"/>
    </row>
    <row r="321" spans="1:12" ht="17.100000000000001" customHeight="1" x14ac:dyDescent="0.25">
      <c r="A321" s="86"/>
      <c r="B321" s="809" t="s">
        <v>249</v>
      </c>
      <c r="C321" s="809"/>
      <c r="D321" s="809"/>
      <c r="E321" s="809"/>
      <c r="F321" s="809"/>
      <c r="G321" s="301">
        <v>1</v>
      </c>
      <c r="H321" s="301" t="s">
        <v>229</v>
      </c>
      <c r="I321" s="804">
        <f>K320</f>
        <v>122.72388888888888</v>
      </c>
      <c r="J321" s="804"/>
      <c r="K321" s="302">
        <f>I321*G321</f>
        <v>122.72388888888888</v>
      </c>
      <c r="L321" s="643"/>
    </row>
    <row r="322" spans="1:12" ht="17.100000000000001" customHeight="1" x14ac:dyDescent="0.25">
      <c r="A322" s="86"/>
      <c r="B322" s="781"/>
      <c r="C322" s="781"/>
      <c r="D322" s="781"/>
      <c r="E322" s="781"/>
      <c r="F322" s="781"/>
      <c r="G322" s="781"/>
      <c r="H322" s="781"/>
      <c r="I322" s="781"/>
      <c r="J322" s="781"/>
      <c r="K322" s="781"/>
    </row>
    <row r="323" spans="1:12" ht="17.100000000000001" customHeight="1" x14ac:dyDescent="0.25">
      <c r="A323" s="86"/>
      <c r="B323" s="808" t="s">
        <v>250</v>
      </c>
      <c r="C323" s="808"/>
      <c r="D323" s="808"/>
      <c r="E323" s="808"/>
      <c r="F323" s="808"/>
      <c r="G323" s="808"/>
      <c r="H323" s="808"/>
      <c r="I323" s="808"/>
      <c r="J323" s="808"/>
      <c r="K323" s="808"/>
      <c r="L323" s="576"/>
    </row>
    <row r="324" spans="1:12" ht="17.100000000000001" customHeight="1" x14ac:dyDescent="0.25">
      <c r="A324" s="86"/>
      <c r="B324" s="753" t="s">
        <v>174</v>
      </c>
      <c r="C324" s="753"/>
      <c r="D324" s="753"/>
      <c r="E324" s="753"/>
      <c r="F324" s="753"/>
      <c r="G324" s="73" t="s">
        <v>128</v>
      </c>
      <c r="H324" s="73" t="s">
        <v>129</v>
      </c>
      <c r="I324" s="753" t="s">
        <v>226</v>
      </c>
      <c r="J324" s="753"/>
      <c r="K324" s="73" t="s">
        <v>251</v>
      </c>
      <c r="L324" s="576"/>
    </row>
    <row r="325" spans="1:12" ht="17.100000000000001" customHeight="1" x14ac:dyDescent="0.25">
      <c r="A325" s="86"/>
      <c r="B325" s="797" t="s">
        <v>252</v>
      </c>
      <c r="C325" s="797"/>
      <c r="D325" s="797"/>
      <c r="E325" s="797"/>
      <c r="F325" s="797"/>
      <c r="G325" s="587">
        <v>600</v>
      </c>
      <c r="H325" s="77" t="s">
        <v>253</v>
      </c>
      <c r="I325" s="796"/>
      <c r="J325" s="796"/>
      <c r="K325" s="288"/>
      <c r="L325" s="576"/>
    </row>
    <row r="326" spans="1:12" ht="17.100000000000001" customHeight="1" x14ac:dyDescent="0.25">
      <c r="A326" s="86"/>
      <c r="B326" s="669" t="s">
        <v>254</v>
      </c>
      <c r="C326" s="669"/>
      <c r="D326" s="669"/>
      <c r="E326" s="669"/>
      <c r="F326" s="669"/>
      <c r="G326" s="77">
        <v>1</v>
      </c>
      <c r="H326" s="77" t="s">
        <v>229</v>
      </c>
      <c r="I326" s="796"/>
      <c r="J326" s="796"/>
      <c r="K326" s="288"/>
      <c r="L326" s="576"/>
    </row>
    <row r="327" spans="1:12" ht="17.100000000000001" customHeight="1" x14ac:dyDescent="0.25">
      <c r="A327" s="86"/>
      <c r="B327" s="797" t="s">
        <v>541</v>
      </c>
      <c r="C327" s="797"/>
      <c r="D327" s="797"/>
      <c r="E327" s="797"/>
      <c r="F327" s="797"/>
      <c r="G327" s="77">
        <v>12.9</v>
      </c>
      <c r="H327" s="77" t="s">
        <v>256</v>
      </c>
      <c r="I327" s="796"/>
      <c r="J327" s="796"/>
      <c r="K327" s="288"/>
      <c r="L327" s="576"/>
    </row>
    <row r="328" spans="1:12" ht="17.100000000000001" customHeight="1" x14ac:dyDescent="0.25">
      <c r="A328" s="86"/>
      <c r="B328" s="811" t="s">
        <v>542</v>
      </c>
      <c r="C328" s="811"/>
      <c r="D328" s="811"/>
      <c r="E328" s="811"/>
      <c r="F328" s="811"/>
      <c r="G328" s="304">
        <v>1</v>
      </c>
      <c r="H328" s="304" t="s">
        <v>258</v>
      </c>
      <c r="I328" s="851">
        <v>6.6</v>
      </c>
      <c r="J328" s="851"/>
      <c r="K328" s="257"/>
      <c r="L328" s="576"/>
    </row>
    <row r="329" spans="1:12" ht="17.100000000000001" customHeight="1" x14ac:dyDescent="0.25">
      <c r="A329" s="86"/>
      <c r="B329" s="797" t="s">
        <v>259</v>
      </c>
      <c r="C329" s="797"/>
      <c r="D329" s="797"/>
      <c r="E329" s="797"/>
      <c r="F329" s="797"/>
      <c r="G329" s="80">
        <f>G325/G327</f>
        <v>46.511627906976742</v>
      </c>
      <c r="H329" s="77" t="s">
        <v>260</v>
      </c>
      <c r="I329" s="798"/>
      <c r="J329" s="798"/>
      <c r="K329" s="257">
        <f>G329*I328</f>
        <v>306.97674418604646</v>
      </c>
      <c r="L329" s="576"/>
    </row>
    <row r="330" spans="1:12" ht="17.100000000000001" customHeight="1" x14ac:dyDescent="0.25">
      <c r="A330" s="86"/>
      <c r="B330" s="805" t="s">
        <v>261</v>
      </c>
      <c r="C330" s="805"/>
      <c r="D330" s="805"/>
      <c r="E330" s="805"/>
      <c r="F330" s="805"/>
      <c r="G330" s="80">
        <f>G329*G326</f>
        <v>46.511627906976742</v>
      </c>
      <c r="H330" s="77" t="s">
        <v>260</v>
      </c>
      <c r="I330" s="806"/>
      <c r="J330" s="806"/>
      <c r="K330" s="294">
        <f>G330*I328</f>
        <v>306.97674418604646</v>
      </c>
      <c r="L330" s="576"/>
    </row>
    <row r="331" spans="1:12" ht="17.100000000000001" customHeight="1" x14ac:dyDescent="0.25">
      <c r="A331" s="86"/>
      <c r="B331" s="813" t="s">
        <v>262</v>
      </c>
      <c r="C331" s="813"/>
      <c r="D331" s="813"/>
      <c r="E331" s="813"/>
      <c r="F331" s="813"/>
      <c r="G331" s="305">
        <v>0.2</v>
      </c>
      <c r="H331" s="306" t="s">
        <v>263</v>
      </c>
      <c r="I331" s="814"/>
      <c r="J331" s="814"/>
      <c r="K331" s="307"/>
      <c r="L331" s="576"/>
    </row>
    <row r="332" spans="1:12" ht="17.100000000000001" customHeight="1" x14ac:dyDescent="0.25">
      <c r="A332" s="86"/>
      <c r="B332" s="797" t="s">
        <v>264</v>
      </c>
      <c r="C332" s="797"/>
      <c r="D332" s="797"/>
      <c r="E332" s="797"/>
      <c r="F332" s="797"/>
      <c r="G332" s="80">
        <v>1</v>
      </c>
      <c r="H332" s="77" t="s">
        <v>258</v>
      </c>
      <c r="I332" s="798">
        <f>'10 - CUSTOS UN'!J213</f>
        <v>43.476666666666659</v>
      </c>
      <c r="J332" s="798"/>
      <c r="K332" s="294"/>
      <c r="L332" s="576"/>
    </row>
    <row r="333" spans="1:12" ht="17.100000000000001" customHeight="1" x14ac:dyDescent="0.25">
      <c r="A333" s="86"/>
      <c r="B333" s="797" t="s">
        <v>265</v>
      </c>
      <c r="C333" s="797"/>
      <c r="D333" s="797"/>
      <c r="E333" s="797"/>
      <c r="F333" s="797"/>
      <c r="G333" s="80">
        <f>G331*(G325/1000)</f>
        <v>0.12</v>
      </c>
      <c r="H333" s="77" t="s">
        <v>266</v>
      </c>
      <c r="I333" s="798"/>
      <c r="J333" s="798"/>
      <c r="K333" s="257">
        <f>G333*I332</f>
        <v>5.2171999999999992</v>
      </c>
      <c r="L333" s="576"/>
    </row>
    <row r="334" spans="1:12" ht="17.100000000000001" customHeight="1" x14ac:dyDescent="0.25">
      <c r="A334" s="86"/>
      <c r="B334" s="799" t="s">
        <v>267</v>
      </c>
      <c r="C334" s="799"/>
      <c r="D334" s="799"/>
      <c r="E334" s="799"/>
      <c r="F334" s="799"/>
      <c r="G334" s="308">
        <f>G331*(G325/1000)*G326</f>
        <v>0.12</v>
      </c>
      <c r="H334" s="309" t="s">
        <v>266</v>
      </c>
      <c r="I334" s="800"/>
      <c r="J334" s="800"/>
      <c r="K334" s="310">
        <f>G334*I332</f>
        <v>5.2171999999999992</v>
      </c>
      <c r="L334" s="576"/>
    </row>
    <row r="335" spans="1:12" ht="17.100000000000001" customHeight="1" x14ac:dyDescent="0.25">
      <c r="A335" s="86"/>
      <c r="B335" s="809" t="s">
        <v>268</v>
      </c>
      <c r="C335" s="809"/>
      <c r="D335" s="809"/>
      <c r="E335" s="809"/>
      <c r="F335" s="809"/>
      <c r="G335" s="311">
        <v>1</v>
      </c>
      <c r="H335" s="301" t="s">
        <v>229</v>
      </c>
      <c r="I335" s="804">
        <f>K333+K329</f>
        <v>312.19394418604645</v>
      </c>
      <c r="J335" s="804"/>
      <c r="K335" s="302">
        <f>I335*G335</f>
        <v>312.19394418604645</v>
      </c>
      <c r="L335" s="576"/>
    </row>
    <row r="336" spans="1:12" ht="48.75" customHeight="1" x14ac:dyDescent="0.25">
      <c r="A336" s="86"/>
      <c r="B336" s="810" t="s">
        <v>543</v>
      </c>
      <c r="C336" s="810"/>
      <c r="D336" s="810"/>
      <c r="E336" s="810"/>
      <c r="F336" s="810"/>
      <c r="G336" s="810"/>
      <c r="H336" s="810"/>
      <c r="I336" s="810"/>
      <c r="J336" s="810"/>
      <c r="K336" s="810"/>
    </row>
    <row r="337" spans="1:12" ht="17.100000000000001" customHeight="1" x14ac:dyDescent="0.25">
      <c r="A337" s="86"/>
      <c r="B337" s="781"/>
      <c r="C337" s="781"/>
      <c r="D337" s="781"/>
      <c r="E337" s="781"/>
      <c r="F337" s="781"/>
      <c r="G337" s="781"/>
      <c r="H337" s="781"/>
      <c r="I337" s="781"/>
      <c r="J337" s="781"/>
      <c r="K337" s="781"/>
    </row>
    <row r="338" spans="1:12" ht="17.100000000000001" customHeight="1" x14ac:dyDescent="0.25">
      <c r="A338" s="86"/>
      <c r="B338" s="808" t="s">
        <v>270</v>
      </c>
      <c r="C338" s="808"/>
      <c r="D338" s="808"/>
      <c r="E338" s="808"/>
      <c r="F338" s="808"/>
      <c r="G338" s="808"/>
      <c r="H338" s="808"/>
      <c r="I338" s="808"/>
      <c r="J338" s="808"/>
      <c r="K338" s="808"/>
      <c r="L338" s="576"/>
    </row>
    <row r="339" spans="1:12" ht="17.100000000000001" customHeight="1" x14ac:dyDescent="0.25">
      <c r="A339" s="86"/>
      <c r="B339" s="753" t="s">
        <v>174</v>
      </c>
      <c r="C339" s="753"/>
      <c r="D339" s="753"/>
      <c r="E339" s="753"/>
      <c r="F339" s="753"/>
      <c r="G339" s="73" t="s">
        <v>128</v>
      </c>
      <c r="H339" s="73" t="s">
        <v>129</v>
      </c>
      <c r="I339" s="753" t="s">
        <v>226</v>
      </c>
      <c r="J339" s="753"/>
      <c r="K339" s="73" t="s">
        <v>251</v>
      </c>
      <c r="L339" s="576"/>
    </row>
    <row r="340" spans="1:12" ht="17.100000000000001" customHeight="1" x14ac:dyDescent="0.25">
      <c r="A340" s="86"/>
      <c r="B340" s="797" t="s">
        <v>544</v>
      </c>
      <c r="C340" s="797"/>
      <c r="D340" s="797"/>
      <c r="E340" s="797"/>
      <c r="F340" s="797"/>
      <c r="G340" s="312">
        <v>4</v>
      </c>
      <c r="H340" s="77" t="s">
        <v>229</v>
      </c>
      <c r="I340" s="798">
        <f>'10 - CUSTOS UN'!J195</f>
        <v>287.16666666666669</v>
      </c>
      <c r="J340" s="798"/>
      <c r="K340" s="294">
        <f>I340*G340</f>
        <v>1148.6666666666667</v>
      </c>
      <c r="L340" s="576"/>
    </row>
    <row r="341" spans="1:12" ht="17.100000000000001" customHeight="1" x14ac:dyDescent="0.25">
      <c r="A341" s="86"/>
      <c r="B341" s="669" t="s">
        <v>545</v>
      </c>
      <c r="C341" s="669"/>
      <c r="D341" s="669"/>
      <c r="E341" s="669"/>
      <c r="F341" s="669"/>
      <c r="G341" s="303">
        <v>50000</v>
      </c>
      <c r="H341" s="77" t="s">
        <v>260</v>
      </c>
      <c r="I341" s="798"/>
      <c r="J341" s="798"/>
      <c r="K341" s="294"/>
      <c r="L341" s="576"/>
    </row>
    <row r="342" spans="1:12" ht="17.100000000000001" customHeight="1" x14ac:dyDescent="0.25">
      <c r="A342" s="86"/>
      <c r="B342" s="797" t="s">
        <v>252</v>
      </c>
      <c r="C342" s="797"/>
      <c r="D342" s="797"/>
      <c r="E342" s="797"/>
      <c r="F342" s="797"/>
      <c r="G342" s="303">
        <v>1500</v>
      </c>
      <c r="H342" s="77" t="s">
        <v>260</v>
      </c>
      <c r="I342" s="798"/>
      <c r="J342" s="798"/>
      <c r="K342" s="294"/>
      <c r="L342" s="576"/>
    </row>
    <row r="343" spans="1:12" ht="17.100000000000001" customHeight="1" x14ac:dyDescent="0.25">
      <c r="A343" s="86"/>
      <c r="B343" s="669" t="s">
        <v>546</v>
      </c>
      <c r="C343" s="669"/>
      <c r="D343" s="669"/>
      <c r="E343" s="669"/>
      <c r="F343" s="669"/>
      <c r="G343" s="313">
        <f>(G342/G341)*100</f>
        <v>3</v>
      </c>
      <c r="H343" s="77" t="s">
        <v>89</v>
      </c>
      <c r="I343" s="798"/>
      <c r="J343" s="798"/>
      <c r="K343" s="294"/>
      <c r="L343" s="576"/>
    </row>
    <row r="344" spans="1:12" ht="17.100000000000001" customHeight="1" x14ac:dyDescent="0.25">
      <c r="A344" s="86"/>
      <c r="B344" s="669" t="s">
        <v>278</v>
      </c>
      <c r="C344" s="669"/>
      <c r="D344" s="669"/>
      <c r="E344" s="669"/>
      <c r="F344" s="669"/>
      <c r="G344" s="303">
        <v>1</v>
      </c>
      <c r="H344" s="77" t="s">
        <v>229</v>
      </c>
      <c r="I344" s="798"/>
      <c r="J344" s="798"/>
      <c r="K344" s="294"/>
      <c r="L344" s="576"/>
    </row>
    <row r="345" spans="1:12" ht="17.100000000000001" customHeight="1" x14ac:dyDescent="0.25">
      <c r="A345" s="86"/>
      <c r="B345" s="785" t="s">
        <v>275</v>
      </c>
      <c r="C345" s="785"/>
      <c r="D345" s="785"/>
      <c r="E345" s="785"/>
      <c r="F345" s="785"/>
      <c r="G345" s="314"/>
      <c r="H345" s="282"/>
      <c r="I345" s="807"/>
      <c r="J345" s="807"/>
      <c r="K345" s="310">
        <f>K340*(G343/100)</f>
        <v>34.46</v>
      </c>
      <c r="L345" s="576"/>
    </row>
    <row r="346" spans="1:12" ht="17.100000000000001" customHeight="1" x14ac:dyDescent="0.25">
      <c r="A346" s="86"/>
      <c r="B346" s="803" t="s">
        <v>276</v>
      </c>
      <c r="C346" s="803"/>
      <c r="D346" s="803"/>
      <c r="E346" s="803"/>
      <c r="F346" s="803"/>
      <c r="G346" s="315">
        <f>G343*G344</f>
        <v>3</v>
      </c>
      <c r="H346" s="301" t="s">
        <v>89</v>
      </c>
      <c r="I346" s="804">
        <f>K340</f>
        <v>1148.6666666666667</v>
      </c>
      <c r="J346" s="804"/>
      <c r="K346" s="302">
        <f>G346*(I346/100)</f>
        <v>34.460000000000008</v>
      </c>
      <c r="L346" s="576"/>
    </row>
    <row r="347" spans="1:12" ht="17.100000000000001" customHeight="1" x14ac:dyDescent="0.25">
      <c r="A347" s="86"/>
      <c r="B347" s="781"/>
      <c r="C347" s="781"/>
      <c r="D347" s="781"/>
      <c r="E347" s="781"/>
      <c r="F347" s="781"/>
      <c r="G347" s="781"/>
      <c r="H347" s="781"/>
      <c r="I347" s="781"/>
      <c r="J347" s="781"/>
      <c r="K347" s="781"/>
    </row>
    <row r="348" spans="1:12" ht="17.100000000000001" customHeight="1" x14ac:dyDescent="0.25">
      <c r="A348" s="86"/>
      <c r="B348" s="808" t="s">
        <v>277</v>
      </c>
      <c r="C348" s="808"/>
      <c r="D348" s="808"/>
      <c r="E348" s="808"/>
      <c r="F348" s="808"/>
      <c r="G348" s="808"/>
      <c r="H348" s="808"/>
      <c r="I348" s="808"/>
      <c r="J348" s="808"/>
      <c r="K348" s="808"/>
      <c r="L348" s="576"/>
    </row>
    <row r="349" spans="1:12" ht="17.100000000000001" customHeight="1" x14ac:dyDescent="0.25">
      <c r="A349" s="86"/>
      <c r="B349" s="753" t="s">
        <v>174</v>
      </c>
      <c r="C349" s="753"/>
      <c r="D349" s="753"/>
      <c r="E349" s="753"/>
      <c r="F349" s="753"/>
      <c r="G349" s="73" t="s">
        <v>128</v>
      </c>
      <c r="H349" s="73" t="s">
        <v>129</v>
      </c>
      <c r="I349" s="753" t="s">
        <v>226</v>
      </c>
      <c r="J349" s="753"/>
      <c r="K349" s="73" t="s">
        <v>251</v>
      </c>
      <c r="L349" s="576"/>
    </row>
    <row r="350" spans="1:12" ht="17.100000000000001" customHeight="1" x14ac:dyDescent="0.25">
      <c r="A350" s="86"/>
      <c r="B350" s="797" t="s">
        <v>252</v>
      </c>
      <c r="C350" s="797"/>
      <c r="D350" s="797"/>
      <c r="E350" s="797"/>
      <c r="F350" s="797"/>
      <c r="G350" s="303">
        <v>600</v>
      </c>
      <c r="H350" s="77" t="s">
        <v>260</v>
      </c>
      <c r="I350" s="798"/>
      <c r="J350" s="798"/>
      <c r="K350" s="316"/>
      <c r="L350" s="576"/>
    </row>
    <row r="351" spans="1:12" ht="17.100000000000001" customHeight="1" x14ac:dyDescent="0.25">
      <c r="A351" s="86"/>
      <c r="B351" s="669" t="s">
        <v>278</v>
      </c>
      <c r="C351" s="669"/>
      <c r="D351" s="669"/>
      <c r="E351" s="669"/>
      <c r="F351" s="669"/>
      <c r="G351" s="303">
        <v>2</v>
      </c>
      <c r="H351" s="77" t="s">
        <v>229</v>
      </c>
      <c r="I351" s="798"/>
      <c r="J351" s="798"/>
      <c r="K351" s="316"/>
      <c r="L351" s="576"/>
    </row>
    <row r="352" spans="1:12" ht="17.100000000000001" customHeight="1" x14ac:dyDescent="0.25">
      <c r="A352" s="86"/>
      <c r="B352" s="797" t="s">
        <v>279</v>
      </c>
      <c r="C352" s="797"/>
      <c r="D352" s="797"/>
      <c r="E352" s="797"/>
      <c r="F352" s="797"/>
      <c r="G352" s="303">
        <v>10000</v>
      </c>
      <c r="H352" s="77" t="s">
        <v>260</v>
      </c>
      <c r="I352" s="798"/>
      <c r="J352" s="798"/>
      <c r="K352" s="316"/>
      <c r="L352" s="576"/>
    </row>
    <row r="353" spans="1:12" ht="17.100000000000001" customHeight="1" x14ac:dyDescent="0.25">
      <c r="A353" s="86"/>
      <c r="B353" s="797" t="s">
        <v>280</v>
      </c>
      <c r="C353" s="797"/>
      <c r="D353" s="797"/>
      <c r="E353" s="797"/>
      <c r="F353" s="797"/>
      <c r="G353" s="312">
        <v>1</v>
      </c>
      <c r="H353" s="77" t="s">
        <v>281</v>
      </c>
      <c r="I353" s="798">
        <v>1000</v>
      </c>
      <c r="J353" s="798"/>
      <c r="K353" s="316"/>
      <c r="L353" s="576"/>
    </row>
    <row r="354" spans="1:12" ht="17.100000000000001" customHeight="1" x14ac:dyDescent="0.25">
      <c r="A354" s="86"/>
      <c r="B354" s="805" t="s">
        <v>282</v>
      </c>
      <c r="C354" s="805"/>
      <c r="D354" s="805"/>
      <c r="E354" s="805"/>
      <c r="F354" s="805"/>
      <c r="G354" s="317">
        <f>G350/G352</f>
        <v>0.06</v>
      </c>
      <c r="H354" s="87" t="s">
        <v>89</v>
      </c>
      <c r="I354" s="806">
        <v>1000</v>
      </c>
      <c r="J354" s="806"/>
      <c r="K354" s="294">
        <f>G354*I354</f>
        <v>60</v>
      </c>
      <c r="L354" s="576"/>
    </row>
    <row r="355" spans="1:12" ht="17.100000000000001" customHeight="1" x14ac:dyDescent="0.25">
      <c r="A355" s="86"/>
      <c r="B355" s="797" t="s">
        <v>283</v>
      </c>
      <c r="C355" s="797"/>
      <c r="D355" s="797"/>
      <c r="E355" s="797"/>
      <c r="F355" s="797"/>
      <c r="G355" s="303">
        <v>10000</v>
      </c>
      <c r="H355" s="77" t="s">
        <v>260</v>
      </c>
      <c r="I355" s="798"/>
      <c r="J355" s="798"/>
      <c r="K355" s="294"/>
      <c r="L355" s="576"/>
    </row>
    <row r="356" spans="1:12" ht="17.100000000000001" customHeight="1" x14ac:dyDescent="0.25">
      <c r="A356" s="86"/>
      <c r="B356" s="797" t="s">
        <v>284</v>
      </c>
      <c r="C356" s="797"/>
      <c r="D356" s="797"/>
      <c r="E356" s="797"/>
      <c r="F356" s="797"/>
      <c r="G356" s="303">
        <v>1</v>
      </c>
      <c r="H356" s="77" t="s">
        <v>281</v>
      </c>
      <c r="I356" s="798">
        <v>100</v>
      </c>
      <c r="J356" s="798"/>
      <c r="K356" s="294"/>
      <c r="L356" s="576"/>
    </row>
    <row r="357" spans="1:12" ht="17.100000000000001" customHeight="1" x14ac:dyDescent="0.25">
      <c r="A357" s="86"/>
      <c r="B357" s="799" t="s">
        <v>285</v>
      </c>
      <c r="C357" s="799"/>
      <c r="D357" s="799"/>
      <c r="E357" s="799"/>
      <c r="F357" s="799"/>
      <c r="G357" s="308">
        <f>G350/G355</f>
        <v>0.06</v>
      </c>
      <c r="H357" s="309" t="s">
        <v>89</v>
      </c>
      <c r="I357" s="800">
        <f>I356</f>
        <v>100</v>
      </c>
      <c r="J357" s="800"/>
      <c r="K357" s="310">
        <f>G357*I357</f>
        <v>6</v>
      </c>
      <c r="L357" s="576"/>
    </row>
    <row r="358" spans="1:12" ht="17.100000000000001" customHeight="1" x14ac:dyDescent="0.25">
      <c r="A358" s="86"/>
      <c r="B358" s="801" t="s">
        <v>286</v>
      </c>
      <c r="C358" s="801"/>
      <c r="D358" s="801"/>
      <c r="E358" s="801"/>
      <c r="F358" s="801"/>
      <c r="G358" s="305"/>
      <c r="H358" s="306"/>
      <c r="I358" s="802"/>
      <c r="J358" s="802"/>
      <c r="K358" s="293">
        <f>K357+K354</f>
        <v>66</v>
      </c>
      <c r="L358" s="576"/>
    </row>
    <row r="359" spans="1:12" ht="17.100000000000001" customHeight="1" x14ac:dyDescent="0.25">
      <c r="A359" s="86"/>
      <c r="B359" s="803" t="s">
        <v>287</v>
      </c>
      <c r="C359" s="803"/>
      <c r="D359" s="803"/>
      <c r="E359" s="803"/>
      <c r="F359" s="803"/>
      <c r="G359" s="311">
        <v>1</v>
      </c>
      <c r="H359" s="301" t="s">
        <v>229</v>
      </c>
      <c r="I359" s="804">
        <f>K358</f>
        <v>66</v>
      </c>
      <c r="J359" s="804"/>
      <c r="K359" s="302">
        <f>I359*G359</f>
        <v>66</v>
      </c>
      <c r="L359" s="576"/>
    </row>
    <row r="360" spans="1:12" ht="17.100000000000001" customHeight="1" x14ac:dyDescent="0.25">
      <c r="A360" s="86"/>
      <c r="B360" s="792"/>
      <c r="C360" s="792"/>
      <c r="D360" s="792"/>
      <c r="E360" s="792"/>
      <c r="F360" s="792"/>
      <c r="G360" s="792"/>
      <c r="H360" s="792"/>
      <c r="I360" s="792"/>
      <c r="J360" s="792"/>
      <c r="K360" s="792"/>
    </row>
    <row r="361" spans="1:12" ht="17.100000000000001" customHeight="1" x14ac:dyDescent="0.25">
      <c r="A361" s="86"/>
      <c r="B361" s="779" t="s">
        <v>547</v>
      </c>
      <c r="C361" s="779"/>
      <c r="D361" s="779"/>
      <c r="E361" s="779"/>
      <c r="F361" s="779"/>
      <c r="G361" s="779"/>
      <c r="H361" s="779"/>
      <c r="I361" s="779"/>
      <c r="J361" s="779"/>
      <c r="K361" s="280">
        <f>K302+K310+K321+K335+K346+K359</f>
        <v>1110.5074102277131</v>
      </c>
    </row>
    <row r="362" spans="1:12" ht="17.100000000000001" customHeight="1" x14ac:dyDescent="0.25">
      <c r="A362" s="86"/>
      <c r="B362" s="86"/>
      <c r="C362" s="86"/>
      <c r="D362" s="86"/>
      <c r="E362" s="86"/>
      <c r="F362" s="86"/>
      <c r="G362" s="86"/>
      <c r="H362" s="86"/>
      <c r="I362" s="86"/>
      <c r="J362" s="86"/>
      <c r="K362" s="252"/>
    </row>
    <row r="363" spans="1:12" ht="17.100000000000001" customHeight="1" x14ac:dyDescent="0.25">
      <c r="A363" s="86"/>
      <c r="B363" s="86"/>
      <c r="C363" s="86"/>
      <c r="D363" s="86"/>
      <c r="E363" s="86"/>
      <c r="F363" s="86"/>
      <c r="G363" s="86"/>
      <c r="H363" s="86"/>
      <c r="I363" s="86"/>
      <c r="J363" s="86"/>
      <c r="K363" s="252"/>
    </row>
    <row r="364" spans="1:12" ht="17.100000000000001" customHeight="1" x14ac:dyDescent="0.25">
      <c r="A364" s="86"/>
      <c r="B364" s="788" t="s">
        <v>292</v>
      </c>
      <c r="C364" s="788"/>
      <c r="D364" s="788"/>
      <c r="E364" s="788"/>
      <c r="F364" s="788"/>
      <c r="G364" s="788"/>
      <c r="H364" s="788"/>
      <c r="I364" s="788"/>
      <c r="J364" s="788"/>
      <c r="K364" s="788"/>
    </row>
    <row r="365" spans="1:12" ht="17.100000000000001" customHeight="1" x14ac:dyDescent="0.25">
      <c r="A365" s="86"/>
      <c r="B365" s="781"/>
      <c r="C365" s="781"/>
      <c r="D365" s="781"/>
      <c r="E365" s="781"/>
      <c r="F365" s="781"/>
      <c r="G365" s="781"/>
      <c r="H365" s="781"/>
      <c r="I365" s="781"/>
      <c r="J365" s="781"/>
      <c r="K365" s="781"/>
    </row>
    <row r="366" spans="1:12" ht="17.100000000000001" customHeight="1" x14ac:dyDescent="0.25">
      <c r="A366" s="86"/>
      <c r="B366" s="793" t="s">
        <v>174</v>
      </c>
      <c r="C366" s="793"/>
      <c r="D366" s="793"/>
      <c r="E366" s="793"/>
      <c r="F366" s="793"/>
      <c r="G366" s="318" t="s">
        <v>128</v>
      </c>
      <c r="H366" s="318" t="s">
        <v>129</v>
      </c>
      <c r="I366" s="793" t="s">
        <v>226</v>
      </c>
      <c r="J366" s="793"/>
      <c r="K366" s="318" t="s">
        <v>293</v>
      </c>
    </row>
    <row r="367" spans="1:12" ht="17.100000000000001" customHeight="1" x14ac:dyDescent="0.25">
      <c r="A367" s="86"/>
      <c r="B367" s="794" t="s">
        <v>294</v>
      </c>
      <c r="C367" s="794"/>
      <c r="D367" s="794"/>
      <c r="E367" s="794"/>
      <c r="F367" s="794"/>
      <c r="G367" s="285"/>
      <c r="H367" s="285"/>
      <c r="I367" s="795"/>
      <c r="J367" s="795"/>
      <c r="K367" s="319">
        <v>6000</v>
      </c>
    </row>
    <row r="368" spans="1:12" ht="17.100000000000001" customHeight="1" x14ac:dyDescent="0.25">
      <c r="A368" s="86"/>
      <c r="B368" s="669" t="s">
        <v>295</v>
      </c>
      <c r="C368" s="669"/>
      <c r="D368" s="669"/>
      <c r="E368" s="669"/>
      <c r="F368" s="669"/>
      <c r="G368" s="96"/>
      <c r="H368" s="96"/>
      <c r="I368" s="796"/>
      <c r="J368" s="796"/>
      <c r="K368" s="94">
        <v>3000</v>
      </c>
    </row>
    <row r="369" spans="1:12" ht="17.100000000000001" customHeight="1" x14ac:dyDescent="0.25">
      <c r="A369" s="86"/>
      <c r="B369" s="785" t="s">
        <v>296</v>
      </c>
      <c r="C369" s="785"/>
      <c r="D369" s="785"/>
      <c r="E369" s="785"/>
      <c r="F369" s="785"/>
      <c r="G369" s="281"/>
      <c r="H369" s="281"/>
      <c r="I369" s="786"/>
      <c r="J369" s="786"/>
      <c r="K369" s="542">
        <v>1000</v>
      </c>
    </row>
    <row r="370" spans="1:12" ht="17.100000000000001" customHeight="1" x14ac:dyDescent="0.25">
      <c r="A370" s="86"/>
      <c r="B370" s="787" t="s">
        <v>548</v>
      </c>
      <c r="C370" s="787"/>
      <c r="D370" s="787"/>
      <c r="E370" s="787"/>
      <c r="F370" s="787"/>
      <c r="G370" s="787"/>
      <c r="H370" s="787"/>
      <c r="I370" s="787"/>
      <c r="J370" s="787"/>
      <c r="K370" s="320">
        <f>SUM(K367:K369)</f>
        <v>10000</v>
      </c>
    </row>
    <row r="371" spans="1:12" ht="17.100000000000001" customHeight="1" x14ac:dyDescent="0.25">
      <c r="A371" s="86"/>
      <c r="B371" s="321"/>
      <c r="C371" s="321"/>
      <c r="D371" s="321"/>
      <c r="E371" s="321"/>
      <c r="F371" s="321"/>
      <c r="G371" s="86"/>
      <c r="H371" s="86"/>
      <c r="I371" s="252"/>
      <c r="J371" s="252"/>
      <c r="K371" s="279"/>
    </row>
    <row r="372" spans="1:12" ht="17.100000000000001" customHeight="1" x14ac:dyDescent="0.25">
      <c r="A372" s="86"/>
      <c r="B372" s="321"/>
      <c r="C372" s="321"/>
      <c r="D372" s="321"/>
      <c r="E372" s="321"/>
      <c r="F372" s="321"/>
      <c r="G372" s="86"/>
      <c r="H372" s="86"/>
      <c r="I372" s="252"/>
      <c r="J372" s="252"/>
      <c r="K372" s="279"/>
    </row>
    <row r="373" spans="1:12" ht="17.100000000000001" customHeight="1" x14ac:dyDescent="0.25">
      <c r="A373" s="86"/>
      <c r="B373" s="779" t="s">
        <v>549</v>
      </c>
      <c r="C373" s="779"/>
      <c r="D373" s="779"/>
      <c r="E373" s="779"/>
      <c r="F373" s="779"/>
      <c r="G373" s="779"/>
      <c r="H373" s="779"/>
      <c r="I373" s="779"/>
      <c r="J373" s="779"/>
      <c r="K373" s="280">
        <f>K370+K361+K288+K227</f>
        <v>89282.821582420103</v>
      </c>
    </row>
    <row r="374" spans="1:12" ht="17.100000000000001" customHeight="1" x14ac:dyDescent="0.25">
      <c r="A374" s="86"/>
      <c r="B374" s="321"/>
      <c r="C374" s="321"/>
      <c r="D374" s="321"/>
      <c r="E374" s="321"/>
      <c r="F374" s="321"/>
      <c r="G374" s="86"/>
      <c r="H374" s="86"/>
      <c r="I374" s="252"/>
      <c r="J374" s="252"/>
      <c r="K374" s="279"/>
    </row>
    <row r="375" spans="1:12" ht="17.100000000000001" customHeight="1" x14ac:dyDescent="0.25">
      <c r="A375" s="86"/>
      <c r="B375" s="297"/>
      <c r="C375" s="297"/>
      <c r="D375" s="297"/>
      <c r="E375" s="297"/>
      <c r="F375" s="297"/>
      <c r="G375" s="297"/>
      <c r="H375" s="297"/>
      <c r="I375" s="297"/>
      <c r="J375" s="297"/>
      <c r="K375" s="297"/>
    </row>
    <row r="376" spans="1:12" ht="17.100000000000001" customHeight="1" x14ac:dyDescent="0.25">
      <c r="A376" s="86"/>
      <c r="B376" s="788" t="s">
        <v>299</v>
      </c>
      <c r="C376" s="788"/>
      <c r="D376" s="788"/>
      <c r="E376" s="788"/>
      <c r="F376" s="788"/>
      <c r="G376" s="788"/>
      <c r="H376" s="788"/>
      <c r="I376" s="788"/>
      <c r="J376" s="788"/>
      <c r="K376" s="788"/>
    </row>
    <row r="377" spans="1:12" ht="17.100000000000001" customHeight="1" x14ac:dyDescent="0.25">
      <c r="A377" s="86"/>
      <c r="B377" s="322" t="s">
        <v>207</v>
      </c>
      <c r="C377" s="753" t="s">
        <v>174</v>
      </c>
      <c r="D377" s="753"/>
      <c r="E377" s="753"/>
      <c r="F377" s="753"/>
      <c r="G377" s="753"/>
      <c r="H377" s="323" t="s">
        <v>89</v>
      </c>
      <c r="I377" s="789" t="s">
        <v>507</v>
      </c>
      <c r="J377" s="789"/>
      <c r="K377" s="323" t="s">
        <v>301</v>
      </c>
    </row>
    <row r="378" spans="1:12" ht="17.100000000000001" customHeight="1" x14ac:dyDescent="0.25">
      <c r="A378" s="86"/>
      <c r="B378" s="324" t="s">
        <v>6</v>
      </c>
      <c r="C378" s="790" t="s">
        <v>86</v>
      </c>
      <c r="D378" s="790"/>
      <c r="E378" s="790"/>
      <c r="F378" s="790"/>
      <c r="G378" s="790"/>
      <c r="H378" s="326">
        <f>'9 - BDI'!D15</f>
        <v>0.27689893995634196</v>
      </c>
      <c r="I378" s="791">
        <f>K373</f>
        <v>89282.821582420103</v>
      </c>
      <c r="J378" s="791"/>
      <c r="K378" s="327">
        <f>I378*H378</f>
        <v>24722.318652483336</v>
      </c>
    </row>
    <row r="379" spans="1:12" ht="17.100000000000001" customHeight="1" x14ac:dyDescent="0.25">
      <c r="A379" s="86"/>
      <c r="B379" s="773" t="s">
        <v>550</v>
      </c>
      <c r="C379" s="773"/>
      <c r="D379" s="773"/>
      <c r="E379" s="773"/>
      <c r="F379" s="773"/>
      <c r="G379" s="773"/>
      <c r="H379" s="773"/>
      <c r="I379" s="773"/>
      <c r="J379" s="773"/>
      <c r="K379" s="328">
        <f>SUM(K378)</f>
        <v>24722.318652483336</v>
      </c>
    </row>
    <row r="380" spans="1:12" ht="17.100000000000001" customHeight="1" x14ac:dyDescent="0.25">
      <c r="A380" s="86"/>
      <c r="B380" s="86"/>
      <c r="C380" s="86"/>
      <c r="D380" s="86"/>
      <c r="E380" s="86"/>
      <c r="F380" s="86"/>
      <c r="G380" s="266"/>
      <c r="H380" s="266"/>
      <c r="I380" s="329"/>
      <c r="J380" s="329"/>
      <c r="K380" s="330"/>
    </row>
    <row r="381" spans="1:12" ht="17.100000000000001" customHeight="1" x14ac:dyDescent="0.25">
      <c r="A381" s="86"/>
      <c r="B381" s="297"/>
      <c r="C381" s="297"/>
      <c r="D381" s="297"/>
      <c r="E381" s="297"/>
      <c r="F381" s="297"/>
      <c r="G381" s="266"/>
      <c r="H381" s="266"/>
      <c r="I381" s="329"/>
      <c r="J381" s="329"/>
      <c r="K381" s="279"/>
    </row>
    <row r="382" spans="1:12" ht="17.100000000000001" customHeight="1" x14ac:dyDescent="0.25">
      <c r="A382" s="86"/>
      <c r="B382" s="779" t="s">
        <v>551</v>
      </c>
      <c r="C382" s="779"/>
      <c r="D382" s="779"/>
      <c r="E382" s="779"/>
      <c r="F382" s="779"/>
      <c r="G382" s="779"/>
      <c r="H382" s="779"/>
      <c r="I382" s="779"/>
      <c r="J382" s="779"/>
      <c r="K382" s="280">
        <f>K373+K379</f>
        <v>114005.14023490343</v>
      </c>
      <c r="L382" s="541"/>
    </row>
    <row r="383" spans="1:12" ht="17.100000000000001" customHeight="1" x14ac:dyDescent="0.25">
      <c r="A383" s="86"/>
      <c r="B383" s="86"/>
      <c r="C383" s="86"/>
      <c r="D383" s="86"/>
      <c r="E383" s="86"/>
      <c r="F383" s="86"/>
      <c r="G383" s="86"/>
      <c r="H383" s="86"/>
      <c r="I383" s="86"/>
      <c r="J383" s="86"/>
      <c r="K383" s="252"/>
    </row>
    <row r="384" spans="1:12" ht="17.100000000000001" customHeight="1" x14ac:dyDescent="0.25">
      <c r="A384" s="86"/>
      <c r="B384" s="86"/>
      <c r="C384" s="86"/>
      <c r="D384" s="86"/>
      <c r="E384" s="86"/>
      <c r="F384" s="86"/>
      <c r="G384" s="86"/>
      <c r="H384" s="86"/>
      <c r="I384" s="86"/>
      <c r="J384" s="86"/>
      <c r="K384" s="252"/>
    </row>
    <row r="385" spans="1:11" ht="17.100000000000001" customHeight="1" x14ac:dyDescent="0.25">
      <c r="A385" s="86"/>
      <c r="B385" s="780" t="s">
        <v>304</v>
      </c>
      <c r="C385" s="780"/>
      <c r="D385" s="780"/>
      <c r="E385" s="780"/>
      <c r="F385" s="780"/>
      <c r="G385" s="780"/>
      <c r="H385" s="780"/>
      <c r="I385" s="780"/>
      <c r="J385" s="780"/>
      <c r="K385" s="780"/>
    </row>
    <row r="386" spans="1:11" ht="17.100000000000001" customHeight="1" x14ac:dyDescent="0.25">
      <c r="A386" s="86"/>
      <c r="B386" s="781"/>
      <c r="C386" s="781"/>
      <c r="D386" s="781"/>
      <c r="E386" s="781"/>
      <c r="F386" s="781"/>
      <c r="G386" s="781"/>
      <c r="H386" s="781"/>
      <c r="I386" s="781"/>
      <c r="J386" s="781"/>
      <c r="K386" s="781"/>
    </row>
    <row r="387" spans="1:11" ht="31.5" customHeight="1" x14ac:dyDescent="0.25">
      <c r="A387" s="86"/>
      <c r="B387" s="753" t="s">
        <v>305</v>
      </c>
      <c r="C387" s="753"/>
      <c r="D387" s="753"/>
      <c r="E387" s="753"/>
      <c r="F387" s="753"/>
      <c r="G387" s="751" t="s">
        <v>306</v>
      </c>
      <c r="H387" s="751"/>
      <c r="I387" s="753" t="s">
        <v>89</v>
      </c>
      <c r="J387" s="753"/>
      <c r="K387" s="74" t="s">
        <v>307</v>
      </c>
    </row>
    <row r="388" spans="1:11" ht="17.100000000000001" customHeight="1" x14ac:dyDescent="0.25">
      <c r="A388" s="86"/>
      <c r="B388" s="782" t="s">
        <v>308</v>
      </c>
      <c r="C388" s="782"/>
      <c r="D388" s="782"/>
      <c r="E388" s="782"/>
      <c r="F388" s="782"/>
      <c r="G388" s="783">
        <v>1188365.99</v>
      </c>
      <c r="H388" s="783"/>
      <c r="I388" s="784">
        <f>G388/G392</f>
        <v>0.54885365972321676</v>
      </c>
      <c r="J388" s="784"/>
      <c r="K388" s="331">
        <f>K382*I388</f>
        <v>62572.138445185294</v>
      </c>
    </row>
    <row r="389" spans="1:11" ht="17.100000000000001" customHeight="1" x14ac:dyDescent="0.25">
      <c r="A389" s="86"/>
      <c r="B389" s="702" t="s">
        <v>309</v>
      </c>
      <c r="C389" s="702"/>
      <c r="D389" s="702"/>
      <c r="E389" s="702"/>
      <c r="F389" s="702"/>
      <c r="G389" s="703">
        <v>581527.79</v>
      </c>
      <c r="H389" s="703"/>
      <c r="I389" s="704">
        <f>G389/G392</f>
        <v>0.26858195072736329</v>
      </c>
      <c r="J389" s="704"/>
      <c r="K389" s="195">
        <f>K382*I389</f>
        <v>30619.722957236976</v>
      </c>
    </row>
    <row r="390" spans="1:11" ht="17.100000000000001" customHeight="1" x14ac:dyDescent="0.25">
      <c r="B390" s="776" t="s">
        <v>310</v>
      </c>
      <c r="C390" s="776"/>
      <c r="D390" s="776"/>
      <c r="E390" s="776"/>
      <c r="F390" s="776"/>
      <c r="G390" s="777">
        <v>351607.43</v>
      </c>
      <c r="H390" s="777"/>
      <c r="I390" s="778">
        <f>G390/G392</f>
        <v>0.16239191155359028</v>
      </c>
      <c r="J390" s="778"/>
      <c r="K390" s="332">
        <f>K382*I390</f>
        <v>18513.512649681095</v>
      </c>
    </row>
    <row r="391" spans="1:11" ht="17.100000000000001" customHeight="1" x14ac:dyDescent="0.25">
      <c r="B391" s="693" t="s">
        <v>311</v>
      </c>
      <c r="C391" s="693"/>
      <c r="D391" s="693"/>
      <c r="E391" s="693"/>
      <c r="F391" s="693"/>
      <c r="G391" s="694">
        <v>43677.01</v>
      </c>
      <c r="H391" s="694"/>
      <c r="I391" s="695">
        <f>G391/G392</f>
        <v>2.0172477995829833E-2</v>
      </c>
      <c r="J391" s="695"/>
      <c r="K391" s="196">
        <f>K382*I391</f>
        <v>2299.7661828000837</v>
      </c>
    </row>
    <row r="392" spans="1:11" ht="17.100000000000001" customHeight="1" x14ac:dyDescent="0.25">
      <c r="B392" s="773" t="s">
        <v>34</v>
      </c>
      <c r="C392" s="773"/>
      <c r="D392" s="773"/>
      <c r="E392" s="773"/>
      <c r="F392" s="773"/>
      <c r="G392" s="774">
        <f>SUM(G388:H391)</f>
        <v>2165178.2199999997</v>
      </c>
      <c r="H392" s="774"/>
      <c r="I392" s="775">
        <f>SUM(I388:J391)</f>
        <v>1.0000000000000002</v>
      </c>
      <c r="J392" s="775"/>
      <c r="K392" s="333">
        <f>SUM(K388:K391)</f>
        <v>114005.14023490346</v>
      </c>
    </row>
    <row r="1048472" ht="12.75" customHeight="1" x14ac:dyDescent="0.25"/>
    <row r="1048473" ht="12.75" customHeight="1" x14ac:dyDescent="0.25"/>
    <row r="1048474" ht="12.75" customHeight="1" x14ac:dyDescent="0.25"/>
    <row r="1048475" ht="12.75" customHeight="1" x14ac:dyDescent="0.25"/>
    <row r="1048476" ht="12.75" customHeight="1" x14ac:dyDescent="0.25"/>
    <row r="1048477" ht="12.75" customHeight="1" x14ac:dyDescent="0.25"/>
    <row r="1048478" ht="12.75" customHeight="1" x14ac:dyDescent="0.25"/>
    <row r="1048479" ht="12.75" customHeight="1" x14ac:dyDescent="0.25"/>
    <row r="1048480" ht="12.75" customHeight="1" x14ac:dyDescent="0.25"/>
    <row r="1048481" ht="12.75" customHeight="1" x14ac:dyDescent="0.25"/>
    <row r="1048482" ht="12.75" customHeight="1" x14ac:dyDescent="0.25"/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  <row r="1048501" ht="12.75" customHeight="1" x14ac:dyDescent="0.25"/>
    <row r="1048502" ht="12.75" customHeight="1" x14ac:dyDescent="0.25"/>
    <row r="1048503" ht="12.75" customHeight="1" x14ac:dyDescent="0.25"/>
    <row r="1048504" ht="12.75" customHeight="1" x14ac:dyDescent="0.25"/>
    <row r="1048505" ht="12.75" customHeight="1" x14ac:dyDescent="0.25"/>
    <row r="1048506" ht="12.75" customHeight="1" x14ac:dyDescent="0.25"/>
    <row r="1048507" ht="12.75" customHeight="1" x14ac:dyDescent="0.25"/>
    <row r="1048508" ht="12.75" customHeight="1" x14ac:dyDescent="0.25"/>
    <row r="1048509" ht="12.75" customHeight="1" x14ac:dyDescent="0.25"/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482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C18:G18"/>
    <mergeCell ref="I18:J18"/>
    <mergeCell ref="C19:G19"/>
    <mergeCell ref="I19:J19"/>
    <mergeCell ref="C20:G20"/>
    <mergeCell ref="I20:J20"/>
    <mergeCell ref="C21:G21"/>
    <mergeCell ref="I21:J21"/>
    <mergeCell ref="C22:G22"/>
    <mergeCell ref="I22:J22"/>
    <mergeCell ref="C23:G23"/>
    <mergeCell ref="I23:J23"/>
    <mergeCell ref="C24:G24"/>
    <mergeCell ref="I24:J24"/>
    <mergeCell ref="C25:G25"/>
    <mergeCell ref="I25:J25"/>
    <mergeCell ref="B26:J26"/>
    <mergeCell ref="B27:I27"/>
    <mergeCell ref="B28:I28"/>
    <mergeCell ref="B29:I29"/>
    <mergeCell ref="B30:K30"/>
    <mergeCell ref="B33:K33"/>
    <mergeCell ref="B34:K34"/>
    <mergeCell ref="B35:K35"/>
    <mergeCell ref="C36:I36"/>
    <mergeCell ref="C37:I37"/>
    <mergeCell ref="C38:I38"/>
    <mergeCell ref="C39:I39"/>
    <mergeCell ref="C40:I40"/>
    <mergeCell ref="C41:I41"/>
    <mergeCell ref="C42:I42"/>
    <mergeCell ref="C43:I43"/>
    <mergeCell ref="C44:I44"/>
    <mergeCell ref="C45:G45"/>
    <mergeCell ref="C46:G46"/>
    <mergeCell ref="C47:G47"/>
    <mergeCell ref="C48:G48"/>
    <mergeCell ref="C49:I49"/>
    <mergeCell ref="B50:J50"/>
    <mergeCell ref="B51:J51"/>
    <mergeCell ref="B53:K53"/>
    <mergeCell ref="C54:G54"/>
    <mergeCell ref="C55:G55"/>
    <mergeCell ref="C58:G58"/>
    <mergeCell ref="C59:I59"/>
    <mergeCell ref="C60:I60"/>
    <mergeCell ref="C61:I61"/>
    <mergeCell ref="C62:I62"/>
    <mergeCell ref="C63:I63"/>
    <mergeCell ref="C64:I64"/>
    <mergeCell ref="C65:I65"/>
    <mergeCell ref="C66:G66"/>
    <mergeCell ref="C67:G67"/>
    <mergeCell ref="C68:G68"/>
    <mergeCell ref="C69:G69"/>
    <mergeCell ref="C70:I70"/>
    <mergeCell ref="B71:J71"/>
    <mergeCell ref="B72:J72"/>
    <mergeCell ref="B74:K74"/>
    <mergeCell ref="C75:I75"/>
    <mergeCell ref="C76:I76"/>
    <mergeCell ref="C77:I77"/>
    <mergeCell ref="C78:I78"/>
    <mergeCell ref="C79:I79"/>
    <mergeCell ref="C80:I80"/>
    <mergeCell ref="C81:I81"/>
    <mergeCell ref="C82:I82"/>
    <mergeCell ref="C83:I83"/>
    <mergeCell ref="C84:G84"/>
    <mergeCell ref="C85:G85"/>
    <mergeCell ref="C86:G86"/>
    <mergeCell ref="C87:G87"/>
    <mergeCell ref="C88:G88"/>
    <mergeCell ref="C89:I89"/>
    <mergeCell ref="B90:J90"/>
    <mergeCell ref="B91:J91"/>
    <mergeCell ref="B93:K93"/>
    <mergeCell ref="C94:G94"/>
    <mergeCell ref="C95:G95"/>
    <mergeCell ref="C98:G98"/>
    <mergeCell ref="C99:I99"/>
    <mergeCell ref="C100:I100"/>
    <mergeCell ref="C101:I101"/>
    <mergeCell ref="C102:I102"/>
    <mergeCell ref="C103:I103"/>
    <mergeCell ref="C104:I104"/>
    <mergeCell ref="C105:I105"/>
    <mergeCell ref="C106:G106"/>
    <mergeCell ref="C107:G107"/>
    <mergeCell ref="C108:G108"/>
    <mergeCell ref="C109:G109"/>
    <mergeCell ref="C110:I110"/>
    <mergeCell ref="B111:J111"/>
    <mergeCell ref="B112:J112"/>
    <mergeCell ref="B114:K114"/>
    <mergeCell ref="C115:G115"/>
    <mergeCell ref="C116:G116"/>
    <mergeCell ref="C119:G119"/>
    <mergeCell ref="C120:I120"/>
    <mergeCell ref="C121:I121"/>
    <mergeCell ref="C122:I122"/>
    <mergeCell ref="C123:I123"/>
    <mergeCell ref="C124:I124"/>
    <mergeCell ref="C125:I125"/>
    <mergeCell ref="C126:I126"/>
    <mergeCell ref="C127:G127"/>
    <mergeCell ref="C128:G128"/>
    <mergeCell ref="C129:G129"/>
    <mergeCell ref="C130:G130"/>
    <mergeCell ref="C131:I131"/>
    <mergeCell ref="B132:J132"/>
    <mergeCell ref="B133:J133"/>
    <mergeCell ref="B135:K135"/>
    <mergeCell ref="C136:G136"/>
    <mergeCell ref="C137:G137"/>
    <mergeCell ref="C140:G140"/>
    <mergeCell ref="C141:I141"/>
    <mergeCell ref="C142:I142"/>
    <mergeCell ref="C143:I143"/>
    <mergeCell ref="C144:I144"/>
    <mergeCell ref="C145:I145"/>
    <mergeCell ref="C146:I146"/>
    <mergeCell ref="C147:I147"/>
    <mergeCell ref="C148:G148"/>
    <mergeCell ref="C149:G149"/>
    <mergeCell ref="C150:G150"/>
    <mergeCell ref="C151:G151"/>
    <mergeCell ref="C152:G152"/>
    <mergeCell ref="C153:I153"/>
    <mergeCell ref="B154:J154"/>
    <mergeCell ref="B155:J155"/>
    <mergeCell ref="B157:K157"/>
    <mergeCell ref="C158:G158"/>
    <mergeCell ref="C159:G159"/>
    <mergeCell ref="C162:G162"/>
    <mergeCell ref="C163:I163"/>
    <mergeCell ref="C164:I164"/>
    <mergeCell ref="C165:I165"/>
    <mergeCell ref="C166:I166"/>
    <mergeCell ref="C167:I167"/>
    <mergeCell ref="C168:I168"/>
    <mergeCell ref="C169:I169"/>
    <mergeCell ref="C170:G170"/>
    <mergeCell ref="C171:G171"/>
    <mergeCell ref="C172:G172"/>
    <mergeCell ref="C173:G173"/>
    <mergeCell ref="C174:G174"/>
    <mergeCell ref="C175:I175"/>
    <mergeCell ref="B176:J176"/>
    <mergeCell ref="B177:J177"/>
    <mergeCell ref="B179:K179"/>
    <mergeCell ref="C180:G180"/>
    <mergeCell ref="C181:G181"/>
    <mergeCell ref="C184:G184"/>
    <mergeCell ref="C185:I185"/>
    <mergeCell ref="C186:I186"/>
    <mergeCell ref="C187:I187"/>
    <mergeCell ref="C188:I188"/>
    <mergeCell ref="C189:I189"/>
    <mergeCell ref="C190:I190"/>
    <mergeCell ref="C191:I191"/>
    <mergeCell ref="C192:G192"/>
    <mergeCell ref="C193:G193"/>
    <mergeCell ref="C194:G194"/>
    <mergeCell ref="C195:G195"/>
    <mergeCell ref="C196:G196"/>
    <mergeCell ref="C197:I197"/>
    <mergeCell ref="B198:J198"/>
    <mergeCell ref="B199:J199"/>
    <mergeCell ref="B201:K201"/>
    <mergeCell ref="C202:G202"/>
    <mergeCell ref="C203:G203"/>
    <mergeCell ref="B204:B205"/>
    <mergeCell ref="C204:G205"/>
    <mergeCell ref="C210:G210"/>
    <mergeCell ref="C211:I211"/>
    <mergeCell ref="C212:I212"/>
    <mergeCell ref="C213:I213"/>
    <mergeCell ref="C214:I214"/>
    <mergeCell ref="C215:I215"/>
    <mergeCell ref="C216:I216"/>
    <mergeCell ref="C217:I217"/>
    <mergeCell ref="C218:G218"/>
    <mergeCell ref="C219:G219"/>
    <mergeCell ref="C220:G220"/>
    <mergeCell ref="C221:G221"/>
    <mergeCell ref="C222:G222"/>
    <mergeCell ref="C223:I223"/>
    <mergeCell ref="B224:J224"/>
    <mergeCell ref="B225:J225"/>
    <mergeCell ref="B227:J227"/>
    <mergeCell ref="B230:K230"/>
    <mergeCell ref="B232:K232"/>
    <mergeCell ref="B233:F233"/>
    <mergeCell ref="I233:J233"/>
    <mergeCell ref="B234:F234"/>
    <mergeCell ref="I234:J234"/>
    <mergeCell ref="B235:F235"/>
    <mergeCell ref="I235:J235"/>
    <mergeCell ref="B236:F236"/>
    <mergeCell ref="I236:J236"/>
    <mergeCell ref="B237:F237"/>
    <mergeCell ref="I237:J237"/>
    <mergeCell ref="B239:K239"/>
    <mergeCell ref="B240:F240"/>
    <mergeCell ref="I240:J240"/>
    <mergeCell ref="B241:F241"/>
    <mergeCell ref="I241:J241"/>
    <mergeCell ref="B242:F242"/>
    <mergeCell ref="I242:J242"/>
    <mergeCell ref="B243:F243"/>
    <mergeCell ref="I243:J243"/>
    <mergeCell ref="B244:F244"/>
    <mergeCell ref="I244:J244"/>
    <mergeCell ref="B245:F245"/>
    <mergeCell ref="I245:J245"/>
    <mergeCell ref="B246:F246"/>
    <mergeCell ref="I246:J246"/>
    <mergeCell ref="B247:F247"/>
    <mergeCell ref="I247:J247"/>
    <mergeCell ref="B248:F248"/>
    <mergeCell ref="I248:J248"/>
    <mergeCell ref="B249:F249"/>
    <mergeCell ref="I249:J249"/>
    <mergeCell ref="B251:K251"/>
    <mergeCell ref="B252:F252"/>
    <mergeCell ref="I252:J252"/>
    <mergeCell ref="B253:F253"/>
    <mergeCell ref="I253:J253"/>
    <mergeCell ref="B254:F254"/>
    <mergeCell ref="I254:J254"/>
    <mergeCell ref="B255:F255"/>
    <mergeCell ref="I255:J255"/>
    <mergeCell ref="B256:F256"/>
    <mergeCell ref="I256:J256"/>
    <mergeCell ref="B257:F257"/>
    <mergeCell ref="I257:J257"/>
    <mergeCell ref="B258:F258"/>
    <mergeCell ref="I258:J258"/>
    <mergeCell ref="B259:F259"/>
    <mergeCell ref="I259:J259"/>
    <mergeCell ref="B260:F260"/>
    <mergeCell ref="I260:J260"/>
    <mergeCell ref="B261:F261"/>
    <mergeCell ref="I261:J261"/>
    <mergeCell ref="B262:F262"/>
    <mergeCell ref="I262:J262"/>
    <mergeCell ref="B263:F263"/>
    <mergeCell ref="I263:J263"/>
    <mergeCell ref="B265:K265"/>
    <mergeCell ref="B266:F266"/>
    <mergeCell ref="I266:J266"/>
    <mergeCell ref="B267:F267"/>
    <mergeCell ref="I267:J267"/>
    <mergeCell ref="B268:F268"/>
    <mergeCell ref="I268:J268"/>
    <mergeCell ref="B269:F269"/>
    <mergeCell ref="I269:J269"/>
    <mergeCell ref="B270:F270"/>
    <mergeCell ref="I270:J270"/>
    <mergeCell ref="B271:F271"/>
    <mergeCell ref="I271:J271"/>
    <mergeCell ref="B272:F272"/>
    <mergeCell ref="I272:J272"/>
    <mergeCell ref="B273:F273"/>
    <mergeCell ref="I273:J273"/>
    <mergeCell ref="B274:F274"/>
    <mergeCell ref="I274:J274"/>
    <mergeCell ref="B275:F275"/>
    <mergeCell ref="I275:J275"/>
    <mergeCell ref="B276:F276"/>
    <mergeCell ref="I276:J276"/>
    <mergeCell ref="B277:F277"/>
    <mergeCell ref="I277:J277"/>
    <mergeCell ref="B278:K278"/>
    <mergeCell ref="B279:F279"/>
    <mergeCell ref="I279:J279"/>
    <mergeCell ref="B280:F280"/>
    <mergeCell ref="I280:J280"/>
    <mergeCell ref="B281:F281"/>
    <mergeCell ref="I281:J281"/>
    <mergeCell ref="B282:F282"/>
    <mergeCell ref="I282:J282"/>
    <mergeCell ref="B283:F283"/>
    <mergeCell ref="I283:J283"/>
    <mergeCell ref="B284:F284"/>
    <mergeCell ref="I284:J284"/>
    <mergeCell ref="B285:F285"/>
    <mergeCell ref="I285:J285"/>
    <mergeCell ref="B286:F286"/>
    <mergeCell ref="I286:J286"/>
    <mergeCell ref="B288:J288"/>
    <mergeCell ref="B291:K291"/>
    <mergeCell ref="B293:K293"/>
    <mergeCell ref="B294:K294"/>
    <mergeCell ref="B295:K295"/>
    <mergeCell ref="B296:F296"/>
    <mergeCell ref="I296:J296"/>
    <mergeCell ref="B297:F297"/>
    <mergeCell ref="I297:J297"/>
    <mergeCell ref="B298:F298"/>
    <mergeCell ref="I298:J298"/>
    <mergeCell ref="B299:F299"/>
    <mergeCell ref="I299:J299"/>
    <mergeCell ref="B300:F300"/>
    <mergeCell ref="I300:J300"/>
    <mergeCell ref="B301:F301"/>
    <mergeCell ref="I301:J301"/>
    <mergeCell ref="B302:F302"/>
    <mergeCell ref="I302:J302"/>
    <mergeCell ref="B303:K303"/>
    <mergeCell ref="B304:K304"/>
    <mergeCell ref="B305:F305"/>
    <mergeCell ref="I305:J305"/>
    <mergeCell ref="B306:F306"/>
    <mergeCell ref="I306:J306"/>
    <mergeCell ref="B307:F307"/>
    <mergeCell ref="I307:J307"/>
    <mergeCell ref="B308:F308"/>
    <mergeCell ref="I308:J308"/>
    <mergeCell ref="B309:F309"/>
    <mergeCell ref="I309:J309"/>
    <mergeCell ref="B310:F310"/>
    <mergeCell ref="I310:J310"/>
    <mergeCell ref="B311:K311"/>
    <mergeCell ref="B312:K312"/>
    <mergeCell ref="B313:K313"/>
    <mergeCell ref="L313:L321"/>
    <mergeCell ref="B314:F314"/>
    <mergeCell ref="I314:J314"/>
    <mergeCell ref="B315:F315"/>
    <mergeCell ref="I315:J315"/>
    <mergeCell ref="B316:F316"/>
    <mergeCell ref="I316:J316"/>
    <mergeCell ref="B317:F317"/>
    <mergeCell ref="I317:J317"/>
    <mergeCell ref="B318:F318"/>
    <mergeCell ref="I318:J318"/>
    <mergeCell ref="B319:F319"/>
    <mergeCell ref="I319:J319"/>
    <mergeCell ref="B320:F320"/>
    <mergeCell ref="I320:J320"/>
    <mergeCell ref="B321:F321"/>
    <mergeCell ref="I321:J321"/>
    <mergeCell ref="B322:K322"/>
    <mergeCell ref="B323:K323"/>
    <mergeCell ref="B324:F324"/>
    <mergeCell ref="I324:J324"/>
    <mergeCell ref="B325:F325"/>
    <mergeCell ref="I325:J325"/>
    <mergeCell ref="B326:F326"/>
    <mergeCell ref="I326:J326"/>
    <mergeCell ref="B327:F327"/>
    <mergeCell ref="I327:J327"/>
    <mergeCell ref="B328:F328"/>
    <mergeCell ref="I328:J328"/>
    <mergeCell ref="B329:F329"/>
    <mergeCell ref="I329:J329"/>
    <mergeCell ref="B330:F330"/>
    <mergeCell ref="I330:J330"/>
    <mergeCell ref="B331:F331"/>
    <mergeCell ref="I331:J331"/>
    <mergeCell ref="B332:F332"/>
    <mergeCell ref="I332:J332"/>
    <mergeCell ref="B333:F333"/>
    <mergeCell ref="I333:J333"/>
    <mergeCell ref="B334:F334"/>
    <mergeCell ref="I334:J334"/>
    <mergeCell ref="B335:F335"/>
    <mergeCell ref="I335:J335"/>
    <mergeCell ref="B336:K336"/>
    <mergeCell ref="B337:K337"/>
    <mergeCell ref="B338:K338"/>
    <mergeCell ref="B339:F339"/>
    <mergeCell ref="I339:J339"/>
    <mergeCell ref="B340:F340"/>
    <mergeCell ref="I340:J340"/>
    <mergeCell ref="B341:F341"/>
    <mergeCell ref="I341:J341"/>
    <mergeCell ref="B342:F342"/>
    <mergeCell ref="I342:J342"/>
    <mergeCell ref="B343:F343"/>
    <mergeCell ref="I343:J343"/>
    <mergeCell ref="B344:F344"/>
    <mergeCell ref="I344:J344"/>
    <mergeCell ref="B345:F345"/>
    <mergeCell ref="I345:J345"/>
    <mergeCell ref="B346:F346"/>
    <mergeCell ref="I346:J346"/>
    <mergeCell ref="B347:K347"/>
    <mergeCell ref="B348:K348"/>
    <mergeCell ref="B349:F349"/>
    <mergeCell ref="I349:J349"/>
    <mergeCell ref="B350:F350"/>
    <mergeCell ref="I350:J350"/>
    <mergeCell ref="B351:F351"/>
    <mergeCell ref="I351:J351"/>
    <mergeCell ref="B352:F352"/>
    <mergeCell ref="I352:J352"/>
    <mergeCell ref="B353:F353"/>
    <mergeCell ref="I353:J353"/>
    <mergeCell ref="B354:F354"/>
    <mergeCell ref="I354:J354"/>
    <mergeCell ref="B355:F355"/>
    <mergeCell ref="I355:J355"/>
    <mergeCell ref="B356:F356"/>
    <mergeCell ref="I356:J356"/>
    <mergeCell ref="B357:F357"/>
    <mergeCell ref="I357:J357"/>
    <mergeCell ref="B358:F358"/>
    <mergeCell ref="I358:J358"/>
    <mergeCell ref="B359:F359"/>
    <mergeCell ref="I359:J359"/>
    <mergeCell ref="B360:K360"/>
    <mergeCell ref="B361:J361"/>
    <mergeCell ref="B364:K364"/>
    <mergeCell ref="B365:K365"/>
    <mergeCell ref="B366:F366"/>
    <mergeCell ref="I366:J366"/>
    <mergeCell ref="B367:F367"/>
    <mergeCell ref="I367:J367"/>
    <mergeCell ref="B368:F368"/>
    <mergeCell ref="I368:J368"/>
    <mergeCell ref="B369:F369"/>
    <mergeCell ref="I369:J369"/>
    <mergeCell ref="B370:J370"/>
    <mergeCell ref="B373:J373"/>
    <mergeCell ref="B376:K376"/>
    <mergeCell ref="C377:G377"/>
    <mergeCell ref="I377:J377"/>
    <mergeCell ref="C378:G378"/>
    <mergeCell ref="I378:J378"/>
    <mergeCell ref="B379:J379"/>
    <mergeCell ref="B382:J382"/>
    <mergeCell ref="B385:K385"/>
    <mergeCell ref="B386:K386"/>
    <mergeCell ref="B387:F387"/>
    <mergeCell ref="G387:H387"/>
    <mergeCell ref="I387:J387"/>
    <mergeCell ref="B388:F388"/>
    <mergeCell ref="G388:H388"/>
    <mergeCell ref="I388:J388"/>
    <mergeCell ref="B392:F392"/>
    <mergeCell ref="G392:H392"/>
    <mergeCell ref="I392:J392"/>
    <mergeCell ref="B389:F389"/>
    <mergeCell ref="G389:H389"/>
    <mergeCell ref="I389:J389"/>
    <mergeCell ref="B390:F390"/>
    <mergeCell ref="G390:H390"/>
    <mergeCell ref="I390:J390"/>
    <mergeCell ref="B391:F391"/>
    <mergeCell ref="G391:H391"/>
    <mergeCell ref="I391:J39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ignoredErrors>
    <ignoredError sqref="K16 K320 K2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AD1048576"/>
  <sheetViews>
    <sheetView showGridLines="0" zoomScale="110" zoomScaleNormal="110" workbookViewId="0">
      <selection activeCell="G133" sqref="G133"/>
    </sheetView>
  </sheetViews>
  <sheetFormatPr defaultColWidth="8.7109375" defaultRowHeight="15" customHeight="1" x14ac:dyDescent="0.25"/>
  <cols>
    <col min="1" max="1" width="24.140625" customWidth="1"/>
    <col min="3" max="3" width="9" customWidth="1"/>
    <col min="5" max="5" width="9.7109375" customWidth="1"/>
    <col min="6" max="6" width="12.85546875" customWidth="1"/>
    <col min="7" max="7" width="13.140625" customWidth="1"/>
    <col min="8" max="8" width="13.5703125" customWidth="1"/>
    <col min="9" max="9" width="9.85546875" customWidth="1"/>
    <col min="10" max="10" width="11.42578125" customWidth="1"/>
    <col min="11" max="11" width="18.7109375" customWidth="1"/>
    <col min="12" max="12" width="8.7109375" style="535"/>
    <col min="13" max="13" width="40.5703125" style="545" bestFit="1" customWidth="1"/>
    <col min="14" max="14" width="11.7109375" customWidth="1"/>
    <col min="15" max="15" width="11.140625" customWidth="1"/>
    <col min="18" max="18" width="11.42578125" customWidth="1"/>
    <col min="16384" max="16384" width="11.5703125" customWidth="1"/>
  </cols>
  <sheetData>
    <row r="2" spans="2:13" ht="15.75" x14ac:dyDescent="0.25">
      <c r="B2" s="683" t="s">
        <v>687</v>
      </c>
      <c r="C2" s="683"/>
      <c r="D2" s="683"/>
      <c r="E2" s="683"/>
      <c r="F2" s="683"/>
      <c r="G2" s="683"/>
      <c r="H2" s="683"/>
      <c r="I2" s="683"/>
      <c r="J2" s="683"/>
      <c r="K2" s="683"/>
      <c r="L2" s="543"/>
      <c r="M2" s="544"/>
    </row>
    <row r="4" spans="2:13" x14ac:dyDescent="0.25">
      <c r="B4" s="672" t="s">
        <v>36</v>
      </c>
      <c r="C4" s="672"/>
      <c r="D4" s="672"/>
      <c r="E4" s="672"/>
      <c r="F4" s="672"/>
      <c r="G4" s="672"/>
      <c r="H4" s="672"/>
      <c r="I4" s="672"/>
      <c r="J4" s="672"/>
      <c r="K4" s="672"/>
    </row>
    <row r="5" spans="2:13" ht="33" customHeight="1" x14ac:dyDescent="0.25">
      <c r="B5" s="614" t="s">
        <v>37</v>
      </c>
      <c r="C5" s="614"/>
      <c r="D5" s="614"/>
      <c r="E5" s="614"/>
      <c r="F5" s="614"/>
      <c r="G5" s="614"/>
      <c r="H5" s="25" t="s">
        <v>38</v>
      </c>
      <c r="I5" s="664" t="s">
        <v>39</v>
      </c>
      <c r="J5" s="664"/>
      <c r="K5" s="26" t="s">
        <v>40</v>
      </c>
    </row>
    <row r="6" spans="2:13" x14ac:dyDescent="0.25">
      <c r="B6" s="27" t="s">
        <v>688</v>
      </c>
      <c r="C6" s="676" t="s">
        <v>314</v>
      </c>
      <c r="D6" s="676"/>
      <c r="E6" s="676"/>
      <c r="F6" s="676"/>
      <c r="G6" s="676"/>
      <c r="H6" s="204">
        <f>SUM(H7:H8)</f>
        <v>23</v>
      </c>
      <c r="I6" s="678"/>
      <c r="J6" s="678"/>
      <c r="K6" s="205">
        <f>SUM(K7:K8)</f>
        <v>157416.70737692426</v>
      </c>
    </row>
    <row r="7" spans="2:13" x14ac:dyDescent="0.25">
      <c r="B7" s="5" t="s">
        <v>689</v>
      </c>
      <c r="C7" s="594" t="s">
        <v>316</v>
      </c>
      <c r="D7" s="594"/>
      <c r="E7" s="594"/>
      <c r="F7" s="594"/>
      <c r="G7" s="594"/>
      <c r="H7" s="4">
        <v>15</v>
      </c>
      <c r="I7" s="679">
        <f>K44</f>
        <v>6465.5533496361713</v>
      </c>
      <c r="J7" s="679"/>
      <c r="K7" s="133">
        <f>I7*H7</f>
        <v>96983.300244542566</v>
      </c>
    </row>
    <row r="8" spans="2:13" x14ac:dyDescent="0.25">
      <c r="B8" s="5" t="s">
        <v>690</v>
      </c>
      <c r="C8" s="594" t="s">
        <v>320</v>
      </c>
      <c r="D8" s="594"/>
      <c r="E8" s="594"/>
      <c r="F8" s="594"/>
      <c r="G8" s="594"/>
      <c r="H8" s="4">
        <v>8</v>
      </c>
      <c r="I8" s="679">
        <f>K65</f>
        <v>7554.1758915477112</v>
      </c>
      <c r="J8" s="679"/>
      <c r="K8" s="133">
        <f>I8*H8</f>
        <v>60433.40713238169</v>
      </c>
    </row>
    <row r="9" spans="2:13" x14ac:dyDescent="0.25">
      <c r="B9" s="27" t="s">
        <v>691</v>
      </c>
      <c r="C9" s="678" t="s">
        <v>68</v>
      </c>
      <c r="D9" s="678"/>
      <c r="E9" s="678"/>
      <c r="F9" s="678"/>
      <c r="G9" s="678"/>
      <c r="H9" s="204">
        <f>SUM(H10:H11)</f>
        <v>23</v>
      </c>
      <c r="I9" s="678"/>
      <c r="J9" s="678"/>
      <c r="K9" s="205">
        <f>SUM(K10:K11)</f>
        <v>5357.9266666666663</v>
      </c>
    </row>
    <row r="10" spans="2:13" x14ac:dyDescent="0.25">
      <c r="B10" s="34" t="s">
        <v>692</v>
      </c>
      <c r="C10" s="594" t="s">
        <v>325</v>
      </c>
      <c r="D10" s="594"/>
      <c r="E10" s="594"/>
      <c r="F10" s="594"/>
      <c r="G10" s="594"/>
      <c r="H10" s="4">
        <f>G88</f>
        <v>15</v>
      </c>
      <c r="I10" s="645">
        <f>K87</f>
        <v>306.61111111111109</v>
      </c>
      <c r="J10" s="645"/>
      <c r="K10" s="206">
        <f>I10*H10</f>
        <v>4599.1666666666661</v>
      </c>
    </row>
    <row r="11" spans="2:13" ht="15" customHeight="1" x14ac:dyDescent="0.25">
      <c r="B11" s="34" t="s">
        <v>693</v>
      </c>
      <c r="C11" s="670" t="s">
        <v>327</v>
      </c>
      <c r="D11" s="670"/>
      <c r="E11" s="670"/>
      <c r="F11" s="670"/>
      <c r="G11" s="670"/>
      <c r="H11" s="4">
        <f>G101</f>
        <v>8</v>
      </c>
      <c r="I11" s="645">
        <f>K100</f>
        <v>94.844999999999999</v>
      </c>
      <c r="J11" s="645"/>
      <c r="K11" s="206">
        <f>I11*H11</f>
        <v>758.76</v>
      </c>
    </row>
    <row r="12" spans="2:13" x14ac:dyDescent="0.25">
      <c r="B12" s="27" t="s">
        <v>694</v>
      </c>
      <c r="C12" s="678" t="s">
        <v>80</v>
      </c>
      <c r="D12" s="678"/>
      <c r="E12" s="678"/>
      <c r="F12" s="678"/>
      <c r="G12" s="678"/>
      <c r="H12" s="204">
        <f>SUM(H13:H14)</f>
        <v>7</v>
      </c>
      <c r="I12" s="678"/>
      <c r="J12" s="678"/>
      <c r="K12" s="205">
        <f>SUM(K13:K14)</f>
        <v>133660.20516311858</v>
      </c>
    </row>
    <row r="13" spans="2:13" x14ac:dyDescent="0.25">
      <c r="B13" s="5" t="s">
        <v>695</v>
      </c>
      <c r="C13" s="594" t="s">
        <v>696</v>
      </c>
      <c r="D13" s="594"/>
      <c r="E13" s="594"/>
      <c r="F13" s="594"/>
      <c r="G13" s="594"/>
      <c r="H13" s="4">
        <v>6</v>
      </c>
      <c r="I13" s="645">
        <f>I110</f>
        <v>20362.440563562093</v>
      </c>
      <c r="J13" s="645"/>
      <c r="K13" s="133">
        <f>K110</f>
        <v>122174.64338137255</v>
      </c>
    </row>
    <row r="14" spans="2:13" x14ac:dyDescent="0.25">
      <c r="B14" s="5" t="s">
        <v>697</v>
      </c>
      <c r="C14" s="594" t="s">
        <v>698</v>
      </c>
      <c r="D14" s="594"/>
      <c r="E14" s="594"/>
      <c r="F14" s="594"/>
      <c r="G14" s="594"/>
      <c r="H14" s="4">
        <v>1</v>
      </c>
      <c r="I14" s="645">
        <f>I118</f>
        <v>11485.561781746032</v>
      </c>
      <c r="J14" s="645"/>
      <c r="K14" s="133">
        <f>K118</f>
        <v>11485.561781746032</v>
      </c>
    </row>
    <row r="15" spans="2:13" x14ac:dyDescent="0.25">
      <c r="B15" s="27" t="s">
        <v>699</v>
      </c>
      <c r="C15" s="676" t="s">
        <v>336</v>
      </c>
      <c r="D15" s="676"/>
      <c r="E15" s="676"/>
      <c r="F15" s="676"/>
      <c r="G15" s="676"/>
      <c r="H15" s="207"/>
      <c r="I15" s="677"/>
      <c r="J15" s="677"/>
      <c r="K15" s="205">
        <f>K314</f>
        <v>1907.4672499999999</v>
      </c>
    </row>
    <row r="16" spans="2:13" x14ac:dyDescent="0.25">
      <c r="B16" s="27" t="s">
        <v>700</v>
      </c>
      <c r="C16" s="678" t="s">
        <v>570</v>
      </c>
      <c r="D16" s="678"/>
      <c r="E16" s="678"/>
      <c r="F16" s="678"/>
      <c r="G16" s="678"/>
      <c r="H16" s="204"/>
      <c r="I16" s="678"/>
      <c r="J16" s="678"/>
      <c r="K16" s="205">
        <f>SUM(K17:K18)</f>
        <v>196615.80863689643</v>
      </c>
    </row>
    <row r="17" spans="2:11" x14ac:dyDescent="0.25">
      <c r="B17" s="5" t="s">
        <v>701</v>
      </c>
      <c r="C17" s="604" t="s">
        <v>339</v>
      </c>
      <c r="D17" s="604"/>
      <c r="E17" s="604"/>
      <c r="F17" s="604"/>
      <c r="G17" s="604"/>
      <c r="H17" s="4">
        <v>1</v>
      </c>
      <c r="I17" s="679">
        <f>K323</f>
        <v>114005.14023490343</v>
      </c>
      <c r="J17" s="679"/>
      <c r="K17" s="133">
        <f>I17*H17</f>
        <v>114005.14023490343</v>
      </c>
    </row>
    <row r="18" spans="2:11" x14ac:dyDescent="0.25">
      <c r="B18" s="5" t="s">
        <v>702</v>
      </c>
      <c r="C18" s="604" t="s">
        <v>86</v>
      </c>
      <c r="D18" s="604"/>
      <c r="E18" s="604"/>
      <c r="F18" s="604"/>
      <c r="G18" s="604"/>
      <c r="H18" s="4">
        <v>1</v>
      </c>
      <c r="I18" s="679">
        <f>K324</f>
        <v>82610.668401992982</v>
      </c>
      <c r="J18" s="679"/>
      <c r="K18" s="133">
        <f>I18*H18</f>
        <v>82610.668401992982</v>
      </c>
    </row>
    <row r="19" spans="2:11" x14ac:dyDescent="0.25">
      <c r="B19" s="672" t="s">
        <v>341</v>
      </c>
      <c r="C19" s="672"/>
      <c r="D19" s="672"/>
      <c r="E19" s="672"/>
      <c r="F19" s="672"/>
      <c r="G19" s="672"/>
      <c r="H19" s="672"/>
      <c r="I19" s="672"/>
      <c r="J19" s="672"/>
      <c r="K19" s="159">
        <f>K16+K12+K9+K6+K15</f>
        <v>494958.11509360583</v>
      </c>
    </row>
    <row r="20" spans="2:11" x14ac:dyDescent="0.25">
      <c r="B20" s="672" t="s">
        <v>703</v>
      </c>
      <c r="C20" s="672"/>
      <c r="D20" s="672"/>
      <c r="E20" s="672"/>
      <c r="F20" s="672"/>
      <c r="G20" s="672"/>
      <c r="H20" s="672"/>
      <c r="I20" s="672"/>
      <c r="J20" s="672"/>
      <c r="K20" s="159">
        <f>K19*6</f>
        <v>2969748.690561635</v>
      </c>
    </row>
    <row r="21" spans="2:11" x14ac:dyDescent="0.25">
      <c r="B21" s="673" t="s">
        <v>704</v>
      </c>
      <c r="C21" s="673"/>
      <c r="D21" s="673"/>
      <c r="E21" s="673"/>
      <c r="F21" s="673"/>
      <c r="G21" s="673"/>
      <c r="H21" s="208">
        <v>7</v>
      </c>
      <c r="I21" s="673" t="s">
        <v>705</v>
      </c>
      <c r="J21" s="673"/>
      <c r="K21" s="209">
        <f>K19/H21</f>
        <v>70708.302156229402</v>
      </c>
    </row>
    <row r="22" spans="2:11" x14ac:dyDescent="0.25"/>
    <row r="23" spans="2:11" ht="15" customHeight="1" x14ac:dyDescent="0.25">
      <c r="B23" s="601" t="s">
        <v>706</v>
      </c>
      <c r="C23" s="601"/>
      <c r="D23" s="601"/>
      <c r="E23" s="601"/>
      <c r="F23" s="601"/>
      <c r="G23" s="601"/>
      <c r="H23" s="601"/>
      <c r="I23" s="601"/>
      <c r="J23" s="601"/>
      <c r="K23" s="601"/>
    </row>
    <row r="24" spans="2:11" x14ac:dyDescent="0.25">
      <c r="B24" s="675"/>
      <c r="C24" s="675"/>
      <c r="D24" s="675"/>
      <c r="E24" s="675"/>
      <c r="F24" s="675"/>
      <c r="G24" s="675"/>
      <c r="H24" s="675"/>
      <c r="I24" s="675"/>
      <c r="J24" s="675"/>
      <c r="K24" s="675"/>
    </row>
    <row r="25" spans="2:11" x14ac:dyDescent="0.25">
      <c r="B25" s="663" t="s">
        <v>707</v>
      </c>
      <c r="C25" s="663"/>
      <c r="D25" s="663"/>
      <c r="E25" s="663"/>
      <c r="F25" s="663"/>
      <c r="G25" s="663"/>
      <c r="H25" s="663"/>
      <c r="I25" s="663"/>
      <c r="J25" s="663"/>
      <c r="K25" s="663"/>
    </row>
    <row r="26" spans="2:11" x14ac:dyDescent="0.25">
      <c r="B26" s="3" t="s">
        <v>95</v>
      </c>
      <c r="C26" s="602" t="s">
        <v>96</v>
      </c>
      <c r="D26" s="602"/>
      <c r="E26" s="602"/>
      <c r="F26" s="602"/>
      <c r="G26" s="602"/>
      <c r="H26" s="53" t="s">
        <v>128</v>
      </c>
      <c r="I26" s="61" t="s">
        <v>129</v>
      </c>
      <c r="J26" s="45" t="s">
        <v>115</v>
      </c>
      <c r="K26" s="45" t="s">
        <v>97</v>
      </c>
    </row>
    <row r="27" spans="2:11" x14ac:dyDescent="0.25">
      <c r="B27" s="8" t="s">
        <v>98</v>
      </c>
      <c r="C27" s="622" t="s">
        <v>99</v>
      </c>
      <c r="D27" s="622"/>
      <c r="E27" s="622"/>
      <c r="F27" s="622"/>
      <c r="G27" s="622"/>
      <c r="H27" s="4">
        <v>220</v>
      </c>
      <c r="I27" s="8" t="s">
        <v>130</v>
      </c>
      <c r="J27" s="62">
        <f>K27/H27</f>
        <v>9.4650454545454537</v>
      </c>
      <c r="K27" s="67">
        <f>'6 - DADOS CC MO'!E10</f>
        <v>2082.31</v>
      </c>
    </row>
    <row r="28" spans="2:11" x14ac:dyDescent="0.25">
      <c r="B28" s="8" t="s">
        <v>131</v>
      </c>
      <c r="C28" s="63" t="s">
        <v>132</v>
      </c>
      <c r="D28" s="64"/>
      <c r="E28" s="64"/>
      <c r="F28" s="64"/>
      <c r="G28" s="65"/>
      <c r="H28" s="66">
        <f>7+1/3</f>
        <v>7.333333333333333</v>
      </c>
      <c r="I28" s="8" t="s">
        <v>130</v>
      </c>
      <c r="J28" s="62">
        <f>J27*2</f>
        <v>18.930090909090907</v>
      </c>
      <c r="K28" s="67">
        <f>H28*J28</f>
        <v>138.82066666666665</v>
      </c>
    </row>
    <row r="29" spans="2:11" x14ac:dyDescent="0.25">
      <c r="B29" s="8" t="s">
        <v>133</v>
      </c>
      <c r="C29" s="63" t="s">
        <v>134</v>
      </c>
      <c r="D29" s="64"/>
      <c r="E29" s="64"/>
      <c r="F29" s="64"/>
      <c r="G29" s="65"/>
      <c r="H29" s="66"/>
      <c r="I29" s="8"/>
      <c r="J29" s="62">
        <f>61/304*(SUM(K28))</f>
        <v>27.855462719298245</v>
      </c>
      <c r="K29" s="67">
        <f>J29</f>
        <v>27.855462719298245</v>
      </c>
    </row>
    <row r="30" spans="2:11" x14ac:dyDescent="0.25">
      <c r="B30" s="8" t="s">
        <v>135</v>
      </c>
      <c r="C30" s="622" t="s">
        <v>136</v>
      </c>
      <c r="D30" s="622"/>
      <c r="E30" s="622"/>
      <c r="F30" s="622"/>
      <c r="G30" s="622"/>
      <c r="H30" s="4">
        <v>40</v>
      </c>
      <c r="I30" s="8" t="s">
        <v>89</v>
      </c>
      <c r="J30" s="46"/>
      <c r="K30" s="67">
        <f>K27*40%</f>
        <v>832.92399999999998</v>
      </c>
    </row>
    <row r="31" spans="2:11" x14ac:dyDescent="0.25">
      <c r="B31" s="4"/>
      <c r="C31" s="661" t="s">
        <v>100</v>
      </c>
      <c r="D31" s="661"/>
      <c r="E31" s="661"/>
      <c r="F31" s="661"/>
      <c r="G31" s="661"/>
      <c r="H31" s="661"/>
      <c r="I31" s="661"/>
      <c r="J31" s="48"/>
      <c r="K31" s="210">
        <f>SUM(K27:K30)</f>
        <v>3081.9101293859649</v>
      </c>
    </row>
    <row r="32" spans="2:11" x14ac:dyDescent="0.25">
      <c r="B32" s="45" t="s">
        <v>101</v>
      </c>
      <c r="C32" s="602" t="s">
        <v>102</v>
      </c>
      <c r="D32" s="602"/>
      <c r="E32" s="602"/>
      <c r="F32" s="602"/>
      <c r="G32" s="602"/>
      <c r="H32" s="602"/>
      <c r="I32" s="602"/>
      <c r="J32" s="45" t="s">
        <v>89</v>
      </c>
      <c r="K32" s="45" t="s">
        <v>97</v>
      </c>
    </row>
    <row r="33" spans="2:11" x14ac:dyDescent="0.25">
      <c r="B33" s="8" t="s">
        <v>103</v>
      </c>
      <c r="C33" s="622" t="s">
        <v>104</v>
      </c>
      <c r="D33" s="622"/>
      <c r="E33" s="622"/>
      <c r="F33" s="622"/>
      <c r="G33" s="622"/>
      <c r="H33" s="622"/>
      <c r="I33" s="622"/>
      <c r="J33" s="50">
        <f>'7 - ENCARGOS SOCIAIS'!$D$13</f>
        <v>0.36800000000000005</v>
      </c>
      <c r="K33" s="67">
        <f>J33*$K$31</f>
        <v>1134.1429276140352</v>
      </c>
    </row>
    <row r="34" spans="2:11" x14ac:dyDescent="0.25">
      <c r="B34" s="8" t="s">
        <v>105</v>
      </c>
      <c r="C34" s="622" t="s">
        <v>106</v>
      </c>
      <c r="D34" s="622"/>
      <c r="E34" s="622"/>
      <c r="F34" s="622"/>
      <c r="G34" s="622"/>
      <c r="H34" s="622"/>
      <c r="I34" s="622"/>
      <c r="J34" s="50">
        <f>'7 - ENCARGOS SOCIAIS'!$D$21</f>
        <v>0.15387245147090212</v>
      </c>
      <c r="K34" s="67">
        <f>J34*$K$31</f>
        <v>474.22106682162354</v>
      </c>
    </row>
    <row r="35" spans="2:11" x14ac:dyDescent="0.25">
      <c r="B35" s="8" t="s">
        <v>107</v>
      </c>
      <c r="C35" s="622" t="s">
        <v>108</v>
      </c>
      <c r="D35" s="622"/>
      <c r="E35" s="622"/>
      <c r="F35" s="622"/>
      <c r="G35" s="622"/>
      <c r="H35" s="622"/>
      <c r="I35" s="622"/>
      <c r="J35" s="50">
        <f>'7 - ENCARGOS SOCIAIS'!$D$28</f>
        <v>0.12666581537651095</v>
      </c>
      <c r="K35" s="67">
        <f>J35*$K$31</f>
        <v>390.37265945580157</v>
      </c>
    </row>
    <row r="36" spans="2:11" x14ac:dyDescent="0.25">
      <c r="B36" s="8" t="s">
        <v>109</v>
      </c>
      <c r="C36" s="622" t="s">
        <v>110</v>
      </c>
      <c r="D36" s="622"/>
      <c r="E36" s="622"/>
      <c r="F36" s="622"/>
      <c r="G36" s="622"/>
      <c r="H36" s="622"/>
      <c r="I36" s="622"/>
      <c r="J36" s="50">
        <f>'7 - ENCARGOS SOCIAIS'!$D$32</f>
        <v>5.9231502118822603E-2</v>
      </c>
      <c r="K36" s="67">
        <f>J36*$K$31</f>
        <v>182.54616635874561</v>
      </c>
    </row>
    <row r="37" spans="2:11" x14ac:dyDescent="0.25">
      <c r="B37" s="25"/>
      <c r="C37" s="614" t="s">
        <v>111</v>
      </c>
      <c r="D37" s="614"/>
      <c r="E37" s="614"/>
      <c r="F37" s="614"/>
      <c r="G37" s="614"/>
      <c r="H37" s="614"/>
      <c r="I37" s="614"/>
      <c r="J37" s="51">
        <f>SUM(J33:J36)</f>
        <v>0.70776976896623567</v>
      </c>
      <c r="K37" s="211">
        <f>SUM(K33:K36)</f>
        <v>2181.282820250206</v>
      </c>
    </row>
    <row r="38" spans="2:11" ht="33" customHeight="1" x14ac:dyDescent="0.25">
      <c r="B38" s="45" t="s">
        <v>112</v>
      </c>
      <c r="C38" s="861" t="s">
        <v>113</v>
      </c>
      <c r="D38" s="862"/>
      <c r="E38" s="862"/>
      <c r="F38" s="862"/>
      <c r="G38" s="863"/>
      <c r="H38" s="53" t="s">
        <v>114</v>
      </c>
      <c r="I38" s="45" t="s">
        <v>115</v>
      </c>
      <c r="J38" s="45" t="s">
        <v>116</v>
      </c>
      <c r="K38" s="45" t="s">
        <v>97</v>
      </c>
    </row>
    <row r="39" spans="2:11" ht="15" customHeight="1" x14ac:dyDescent="0.25">
      <c r="B39" s="8" t="s">
        <v>117</v>
      </c>
      <c r="C39" s="670" t="s">
        <v>118</v>
      </c>
      <c r="D39" s="670"/>
      <c r="E39" s="670"/>
      <c r="F39" s="670"/>
      <c r="G39" s="670"/>
      <c r="H39" s="8">
        <v>26</v>
      </c>
      <c r="I39" s="54">
        <v>27.15</v>
      </c>
      <c r="J39" s="69">
        <v>0.19</v>
      </c>
      <c r="K39" s="133">
        <f>(H39*I39)-((H39*I39)*J39)</f>
        <v>571.779</v>
      </c>
    </row>
    <row r="40" spans="2:11" x14ac:dyDescent="0.25">
      <c r="B40" s="8" t="s">
        <v>119</v>
      </c>
      <c r="C40" s="622" t="s">
        <v>151</v>
      </c>
      <c r="D40" s="622"/>
      <c r="E40" s="622"/>
      <c r="F40" s="622"/>
      <c r="G40" s="622"/>
      <c r="H40" s="8">
        <f>H39*4</f>
        <v>104</v>
      </c>
      <c r="I40" s="56">
        <v>6.25</v>
      </c>
      <c r="J40" s="69">
        <v>0.06</v>
      </c>
      <c r="K40" s="133">
        <f>(H40*I40)-(K27*J40)</f>
        <v>525.06140000000005</v>
      </c>
    </row>
    <row r="41" spans="2:11" x14ac:dyDescent="0.25">
      <c r="B41" s="8" t="s">
        <v>121</v>
      </c>
      <c r="C41" s="622" t="s">
        <v>122</v>
      </c>
      <c r="D41" s="622"/>
      <c r="E41" s="622"/>
      <c r="F41" s="622"/>
      <c r="G41" s="622"/>
      <c r="H41" s="4">
        <v>1</v>
      </c>
      <c r="I41" s="54">
        <v>25.52</v>
      </c>
      <c r="J41" s="5"/>
      <c r="K41" s="32">
        <f>I41</f>
        <v>25.52</v>
      </c>
    </row>
    <row r="42" spans="2:11" x14ac:dyDescent="0.25">
      <c r="B42" s="8" t="s">
        <v>152</v>
      </c>
      <c r="C42" s="622" t="s">
        <v>348</v>
      </c>
      <c r="D42" s="622"/>
      <c r="E42" s="622"/>
      <c r="F42" s="622"/>
      <c r="G42" s="622"/>
      <c r="H42" s="4">
        <v>1</v>
      </c>
      <c r="I42" s="54">
        <v>80</v>
      </c>
      <c r="J42" s="5"/>
      <c r="K42" s="32">
        <f>I42</f>
        <v>80</v>
      </c>
    </row>
    <row r="43" spans="2:11" x14ac:dyDescent="0.25">
      <c r="B43" s="5"/>
      <c r="C43" s="661" t="s">
        <v>123</v>
      </c>
      <c r="D43" s="661"/>
      <c r="E43" s="661"/>
      <c r="F43" s="661"/>
      <c r="G43" s="661"/>
      <c r="H43" s="661"/>
      <c r="I43" s="661"/>
      <c r="J43" s="48"/>
      <c r="K43" s="206">
        <f>SUM(K39:K42)</f>
        <v>1202.3604</v>
      </c>
    </row>
    <row r="44" spans="2:11" ht="15" customHeight="1" x14ac:dyDescent="0.25">
      <c r="B44" s="665" t="s">
        <v>349</v>
      </c>
      <c r="C44" s="665"/>
      <c r="D44" s="665"/>
      <c r="E44" s="665"/>
      <c r="F44" s="665"/>
      <c r="G44" s="665"/>
      <c r="H44" s="665"/>
      <c r="I44" s="665"/>
      <c r="J44" s="665"/>
      <c r="K44" s="212">
        <f>K43+K37+K31</f>
        <v>6465.5533496361713</v>
      </c>
    </row>
    <row r="45" spans="2:11" x14ac:dyDescent="0.25">
      <c r="B45" s="860" t="s">
        <v>125</v>
      </c>
      <c r="C45" s="860"/>
      <c r="D45" s="860"/>
      <c r="E45" s="860"/>
      <c r="F45" s="860"/>
      <c r="G45" s="860"/>
      <c r="H45" s="860"/>
      <c r="I45" s="59">
        <f>H7</f>
        <v>15</v>
      </c>
      <c r="J45" s="59" t="s">
        <v>126</v>
      </c>
      <c r="K45" s="213">
        <f>K44*I45</f>
        <v>96983.300244542566</v>
      </c>
    </row>
    <row r="46" spans="2:11" x14ac:dyDescent="0.25"/>
    <row r="47" spans="2:11" x14ac:dyDescent="0.25">
      <c r="B47" s="663" t="s">
        <v>708</v>
      </c>
      <c r="C47" s="663"/>
      <c r="D47" s="663"/>
      <c r="E47" s="663"/>
      <c r="F47" s="663"/>
      <c r="G47" s="663"/>
      <c r="H47" s="663"/>
      <c r="I47" s="663"/>
      <c r="J47" s="663"/>
      <c r="K47" s="663"/>
    </row>
    <row r="48" spans="2:11" x14ac:dyDescent="0.25">
      <c r="B48" s="3" t="s">
        <v>95</v>
      </c>
      <c r="C48" s="602" t="s">
        <v>96</v>
      </c>
      <c r="D48" s="602"/>
      <c r="E48" s="602"/>
      <c r="F48" s="602"/>
      <c r="G48" s="602"/>
      <c r="H48" s="53" t="s">
        <v>128</v>
      </c>
      <c r="I48" s="61" t="s">
        <v>129</v>
      </c>
      <c r="J48" s="45" t="s">
        <v>115</v>
      </c>
      <c r="K48" s="45" t="s">
        <v>97</v>
      </c>
    </row>
    <row r="49" spans="2:11" x14ac:dyDescent="0.25">
      <c r="B49" s="8" t="s">
        <v>98</v>
      </c>
      <c r="C49" s="622" t="s">
        <v>99</v>
      </c>
      <c r="D49" s="622"/>
      <c r="E49" s="622"/>
      <c r="F49" s="622"/>
      <c r="G49" s="622"/>
      <c r="H49" s="4">
        <v>220</v>
      </c>
      <c r="I49" s="8" t="s">
        <v>130</v>
      </c>
      <c r="J49" s="62">
        <f>K49/H49</f>
        <v>11.441227272727273</v>
      </c>
      <c r="K49" s="67">
        <f>'6 - DADOS CC MO'!E22</f>
        <v>2517.0700000000002</v>
      </c>
    </row>
    <row r="50" spans="2:11" x14ac:dyDescent="0.25">
      <c r="B50" s="8" t="s">
        <v>131</v>
      </c>
      <c r="C50" s="63" t="s">
        <v>132</v>
      </c>
      <c r="D50" s="64"/>
      <c r="E50" s="64"/>
      <c r="F50" s="64"/>
      <c r="G50" s="65"/>
      <c r="H50" s="66">
        <f>7+1/3</f>
        <v>7.333333333333333</v>
      </c>
      <c r="I50" s="8" t="s">
        <v>130</v>
      </c>
      <c r="J50" s="62">
        <f>J49*2</f>
        <v>22.882454545454546</v>
      </c>
      <c r="K50" s="67">
        <f>H50*J50</f>
        <v>167.80466666666666</v>
      </c>
    </row>
    <row r="51" spans="2:11" x14ac:dyDescent="0.25">
      <c r="B51" s="8" t="s">
        <v>133</v>
      </c>
      <c r="C51" s="63" t="s">
        <v>134</v>
      </c>
      <c r="D51" s="64"/>
      <c r="E51" s="64"/>
      <c r="F51" s="64"/>
      <c r="G51" s="65"/>
      <c r="H51" s="66"/>
      <c r="I51" s="8"/>
      <c r="J51" s="62">
        <f>61/304*(SUM(K50))</f>
        <v>33.67133114035088</v>
      </c>
      <c r="K51" s="67">
        <f>J51</f>
        <v>33.67133114035088</v>
      </c>
    </row>
    <row r="52" spans="2:11" x14ac:dyDescent="0.25">
      <c r="B52" s="8" t="s">
        <v>135</v>
      </c>
      <c r="C52" s="622" t="s">
        <v>136</v>
      </c>
      <c r="D52" s="622"/>
      <c r="E52" s="622"/>
      <c r="F52" s="622"/>
      <c r="G52" s="622"/>
      <c r="H52" s="4">
        <v>40</v>
      </c>
      <c r="I52" s="8" t="s">
        <v>89</v>
      </c>
      <c r="J52" s="46"/>
      <c r="K52" s="67">
        <f>K49*40%</f>
        <v>1006.8280000000001</v>
      </c>
    </row>
    <row r="53" spans="2:11" x14ac:dyDescent="0.25">
      <c r="B53" s="4"/>
      <c r="C53" s="661" t="s">
        <v>100</v>
      </c>
      <c r="D53" s="661"/>
      <c r="E53" s="661"/>
      <c r="F53" s="661"/>
      <c r="G53" s="661"/>
      <c r="H53" s="661"/>
      <c r="I53" s="661"/>
      <c r="J53" s="48"/>
      <c r="K53" s="210">
        <f>SUM(K49:K52)</f>
        <v>3725.3739978070175</v>
      </c>
    </row>
    <row r="54" spans="2:11" x14ac:dyDescent="0.25">
      <c r="B54" s="45" t="s">
        <v>101</v>
      </c>
      <c r="C54" s="602" t="s">
        <v>102</v>
      </c>
      <c r="D54" s="602"/>
      <c r="E54" s="602"/>
      <c r="F54" s="602"/>
      <c r="G54" s="602"/>
      <c r="H54" s="602"/>
      <c r="I54" s="602"/>
      <c r="J54" s="45" t="s">
        <v>89</v>
      </c>
      <c r="K54" s="45" t="s">
        <v>97</v>
      </c>
    </row>
    <row r="55" spans="2:11" x14ac:dyDescent="0.25">
      <c r="B55" s="8" t="s">
        <v>103</v>
      </c>
      <c r="C55" s="622" t="s">
        <v>104</v>
      </c>
      <c r="D55" s="622"/>
      <c r="E55" s="622"/>
      <c r="F55" s="622"/>
      <c r="G55" s="622"/>
      <c r="H55" s="622"/>
      <c r="I55" s="622"/>
      <c r="J55" s="50">
        <f>'7 - ENCARGOS SOCIAIS'!$D$13</f>
        <v>0.36800000000000005</v>
      </c>
      <c r="K55" s="67">
        <f>J55*$K$53</f>
        <v>1370.9376311929827</v>
      </c>
    </row>
    <row r="56" spans="2:11" x14ac:dyDescent="0.25">
      <c r="B56" s="8" t="s">
        <v>105</v>
      </c>
      <c r="C56" s="622" t="s">
        <v>106</v>
      </c>
      <c r="D56" s="622"/>
      <c r="E56" s="622"/>
      <c r="F56" s="622"/>
      <c r="G56" s="622"/>
      <c r="H56" s="622"/>
      <c r="I56" s="622"/>
      <c r="J56" s="50">
        <f>'7 - ENCARGOS SOCIAIS'!$D$21</f>
        <v>0.15387245147090212</v>
      </c>
      <c r="K56" s="67">
        <f>J56*$K$53</f>
        <v>573.23242968852094</v>
      </c>
    </row>
    <row r="57" spans="2:11" x14ac:dyDescent="0.25">
      <c r="B57" s="8" t="s">
        <v>107</v>
      </c>
      <c r="C57" s="622" t="s">
        <v>108</v>
      </c>
      <c r="D57" s="622"/>
      <c r="E57" s="622"/>
      <c r="F57" s="622"/>
      <c r="G57" s="622"/>
      <c r="H57" s="622"/>
      <c r="I57" s="622"/>
      <c r="J57" s="50">
        <f>'7 - ENCARGOS SOCIAIS'!$D$28</f>
        <v>0.12666581537651095</v>
      </c>
      <c r="K57" s="67">
        <f>J57*$K$53</f>
        <v>471.87753501467819</v>
      </c>
    </row>
    <row r="58" spans="2:11" x14ac:dyDescent="0.25">
      <c r="B58" s="8" t="s">
        <v>109</v>
      </c>
      <c r="C58" s="622" t="s">
        <v>110</v>
      </c>
      <c r="D58" s="622"/>
      <c r="E58" s="622"/>
      <c r="F58" s="622"/>
      <c r="G58" s="622"/>
      <c r="H58" s="622"/>
      <c r="I58" s="622"/>
      <c r="J58" s="50">
        <f>'7 - ENCARGOS SOCIAIS'!$D$32</f>
        <v>5.9231502118822603E-2</v>
      </c>
      <c r="K58" s="67">
        <f>J58*$K$53</f>
        <v>220.659497844513</v>
      </c>
    </row>
    <row r="59" spans="2:11" x14ac:dyDescent="0.25">
      <c r="B59" s="25"/>
      <c r="C59" s="614" t="s">
        <v>111</v>
      </c>
      <c r="D59" s="614"/>
      <c r="E59" s="614"/>
      <c r="F59" s="614"/>
      <c r="G59" s="614"/>
      <c r="H59" s="614"/>
      <c r="I59" s="614"/>
      <c r="J59" s="51">
        <f>SUM(J55:J58)</f>
        <v>0.70776976896623567</v>
      </c>
      <c r="K59" s="211">
        <f>SUM(K55:K58)</f>
        <v>2636.7070937406943</v>
      </c>
    </row>
    <row r="60" spans="2:11" ht="24.75" customHeight="1" x14ac:dyDescent="0.25">
      <c r="B60" s="45" t="s">
        <v>112</v>
      </c>
      <c r="C60" s="667" t="s">
        <v>113</v>
      </c>
      <c r="D60" s="667"/>
      <c r="E60" s="667"/>
      <c r="F60" s="667"/>
      <c r="G60" s="667"/>
      <c r="H60" s="53" t="s">
        <v>114</v>
      </c>
      <c r="I60" s="45" t="s">
        <v>115</v>
      </c>
      <c r="J60" s="45" t="s">
        <v>116</v>
      </c>
      <c r="K60" s="45" t="s">
        <v>97</v>
      </c>
    </row>
    <row r="61" spans="2:11" ht="15" customHeight="1" x14ac:dyDescent="0.25">
      <c r="B61" s="8" t="s">
        <v>117</v>
      </c>
      <c r="C61" s="622" t="s">
        <v>156</v>
      </c>
      <c r="D61" s="622"/>
      <c r="E61" s="622"/>
      <c r="F61" s="622"/>
      <c r="G61" s="622"/>
      <c r="H61" s="8">
        <v>26</v>
      </c>
      <c r="I61" s="54">
        <v>27.15</v>
      </c>
      <c r="J61" s="69">
        <v>0.19</v>
      </c>
      <c r="K61" s="133">
        <f>(H61*I61)-((H61*I61)*J61)</f>
        <v>571.779</v>
      </c>
    </row>
    <row r="62" spans="2:11" ht="15" customHeight="1" x14ac:dyDescent="0.25">
      <c r="B62" s="8" t="s">
        <v>119</v>
      </c>
      <c r="C62" s="622" t="s">
        <v>120</v>
      </c>
      <c r="D62" s="622"/>
      <c r="E62" s="622"/>
      <c r="F62" s="622"/>
      <c r="G62" s="622"/>
      <c r="H62" s="8">
        <f>H61*4</f>
        <v>104</v>
      </c>
      <c r="I62" s="56">
        <v>6.25</v>
      </c>
      <c r="J62" s="69">
        <v>0.06</v>
      </c>
      <c r="K62" s="133">
        <f>(H62*I62)-(K49*J62)</f>
        <v>498.97579999999999</v>
      </c>
    </row>
    <row r="63" spans="2:11" ht="15" customHeight="1" x14ac:dyDescent="0.25">
      <c r="B63" s="8" t="s">
        <v>121</v>
      </c>
      <c r="C63" s="622" t="s">
        <v>353</v>
      </c>
      <c r="D63" s="622"/>
      <c r="E63" s="622"/>
      <c r="F63" s="622"/>
      <c r="G63" s="622"/>
      <c r="H63" s="8">
        <v>1</v>
      </c>
      <c r="I63" s="56">
        <v>121.34</v>
      </c>
      <c r="J63" s="69"/>
      <c r="K63" s="133">
        <f>I63</f>
        <v>121.34</v>
      </c>
    </row>
    <row r="64" spans="2:11" ht="15" customHeight="1" x14ac:dyDescent="0.25">
      <c r="B64" s="5"/>
      <c r="C64" s="661" t="s">
        <v>123</v>
      </c>
      <c r="D64" s="661"/>
      <c r="E64" s="661"/>
      <c r="F64" s="661"/>
      <c r="G64" s="661"/>
      <c r="H64" s="661"/>
      <c r="I64" s="661"/>
      <c r="J64" s="48"/>
      <c r="K64" s="206">
        <f>SUM(K61:K63)</f>
        <v>1192.0947999999999</v>
      </c>
    </row>
    <row r="65" spans="2:13" x14ac:dyDescent="0.25">
      <c r="B65" s="665" t="s">
        <v>354</v>
      </c>
      <c r="C65" s="665"/>
      <c r="D65" s="665"/>
      <c r="E65" s="665"/>
      <c r="F65" s="665"/>
      <c r="G65" s="665"/>
      <c r="H65" s="665"/>
      <c r="I65" s="665"/>
      <c r="J65" s="665"/>
      <c r="K65" s="212">
        <f>K64+K59+K53</f>
        <v>7554.1758915477112</v>
      </c>
    </row>
    <row r="66" spans="2:13" ht="15" customHeight="1" x14ac:dyDescent="0.25">
      <c r="B66" s="666" t="s">
        <v>125</v>
      </c>
      <c r="C66" s="666"/>
      <c r="D66" s="666"/>
      <c r="E66" s="666"/>
      <c r="F66" s="666"/>
      <c r="G66" s="666"/>
      <c r="H66" s="666"/>
      <c r="I66" s="59">
        <f>H8</f>
        <v>8</v>
      </c>
      <c r="J66" s="59" t="s">
        <v>126</v>
      </c>
      <c r="K66" s="213">
        <f>K65*I66</f>
        <v>60433.40713238169</v>
      </c>
    </row>
    <row r="67" spans="2:13" x14ac:dyDescent="0.25"/>
    <row r="68" spans="2:13" ht="15" customHeight="1" x14ac:dyDescent="0.25">
      <c r="B68" s="597" t="s">
        <v>358</v>
      </c>
      <c r="C68" s="597"/>
      <c r="D68" s="597"/>
      <c r="E68" s="597"/>
      <c r="F68" s="597"/>
      <c r="G68" s="597"/>
      <c r="H68" s="597"/>
      <c r="I68" s="597"/>
      <c r="J68" s="597"/>
      <c r="K68" s="111">
        <f>K66+K45</f>
        <v>157416.70737692426</v>
      </c>
    </row>
    <row r="69" spans="2:13" x14ac:dyDescent="0.25"/>
    <row r="70" spans="2:13" x14ac:dyDescent="0.25"/>
    <row r="71" spans="2:13" x14ac:dyDescent="0.25">
      <c r="B71" s="601" t="s">
        <v>709</v>
      </c>
      <c r="C71" s="601"/>
      <c r="D71" s="601"/>
      <c r="E71" s="601"/>
      <c r="F71" s="601"/>
      <c r="G71" s="601"/>
      <c r="H71" s="601"/>
      <c r="I71" s="601"/>
      <c r="J71" s="601"/>
      <c r="K71" s="601"/>
    </row>
    <row r="72" spans="2:13" x14ac:dyDescent="0.25"/>
    <row r="73" spans="2:13" x14ac:dyDescent="0.25">
      <c r="B73" s="663" t="s">
        <v>710</v>
      </c>
      <c r="C73" s="663"/>
      <c r="D73" s="663"/>
      <c r="E73" s="663"/>
      <c r="F73" s="663"/>
      <c r="G73" s="663"/>
      <c r="H73" s="663"/>
      <c r="I73" s="663"/>
      <c r="J73" s="663"/>
      <c r="K73" s="663"/>
      <c r="M73" s="541"/>
    </row>
    <row r="74" spans="2:13" ht="36.6" customHeight="1" x14ac:dyDescent="0.25">
      <c r="B74" s="614" t="s">
        <v>174</v>
      </c>
      <c r="C74" s="614"/>
      <c r="D74" s="614"/>
      <c r="E74" s="614"/>
      <c r="F74" s="614"/>
      <c r="G74" s="26" t="s">
        <v>1678</v>
      </c>
      <c r="H74" s="26" t="s">
        <v>176</v>
      </c>
      <c r="I74" s="664" t="s">
        <v>177</v>
      </c>
      <c r="J74" s="664"/>
      <c r="K74" s="25" t="s">
        <v>178</v>
      </c>
      <c r="M74" s="541"/>
    </row>
    <row r="75" spans="2:13" ht="15.75" customHeight="1" x14ac:dyDescent="0.25">
      <c r="B75" s="594" t="s">
        <v>362</v>
      </c>
      <c r="C75" s="594"/>
      <c r="D75" s="594"/>
      <c r="E75" s="594"/>
      <c r="F75" s="594"/>
      <c r="G75" s="4">
        <v>3</v>
      </c>
      <c r="H75" s="133">
        <f>'10 - CUSTOS UN'!J39</f>
        <v>42.74</v>
      </c>
      <c r="I75" s="645">
        <f t="shared" ref="I75:I86" si="0">H75/6</f>
        <v>7.123333333333334</v>
      </c>
      <c r="J75" s="645"/>
      <c r="K75" s="133">
        <f t="shared" ref="K75:K86" si="1">I75*G75</f>
        <v>21.37</v>
      </c>
      <c r="M75" s="546"/>
    </row>
    <row r="76" spans="2:13" x14ac:dyDescent="0.25">
      <c r="B76" s="594" t="s">
        <v>363</v>
      </c>
      <c r="C76" s="594"/>
      <c r="D76" s="594"/>
      <c r="E76" s="594"/>
      <c r="F76" s="594"/>
      <c r="G76" s="4">
        <v>3</v>
      </c>
      <c r="H76" s="133">
        <f>'10 - CUSTOS UN'!J33</f>
        <v>44.47</v>
      </c>
      <c r="I76" s="645">
        <f t="shared" si="0"/>
        <v>7.4116666666666662</v>
      </c>
      <c r="J76" s="645"/>
      <c r="K76" s="133">
        <f t="shared" si="1"/>
        <v>22.234999999999999</v>
      </c>
      <c r="M76" s="541"/>
    </row>
    <row r="77" spans="2:13" x14ac:dyDescent="0.25">
      <c r="B77" s="594" t="s">
        <v>364</v>
      </c>
      <c r="C77" s="594"/>
      <c r="D77" s="594"/>
      <c r="E77" s="594"/>
      <c r="F77" s="594"/>
      <c r="G77" s="4">
        <v>2</v>
      </c>
      <c r="H77" s="133">
        <f>'10 - CUSTOS UN'!J24</f>
        <v>55.079999999999991</v>
      </c>
      <c r="I77" s="645">
        <f t="shared" si="0"/>
        <v>9.1799999999999979</v>
      </c>
      <c r="J77" s="645"/>
      <c r="K77" s="133">
        <f t="shared" si="1"/>
        <v>18.359999999999996</v>
      </c>
      <c r="M77" s="541"/>
    </row>
    <row r="78" spans="2:13" x14ac:dyDescent="0.25">
      <c r="B78" s="594" t="s">
        <v>365</v>
      </c>
      <c r="C78" s="594"/>
      <c r="D78" s="594"/>
      <c r="E78" s="594"/>
      <c r="F78" s="594"/>
      <c r="G78" s="4">
        <v>3</v>
      </c>
      <c r="H78" s="133">
        <f>'10 - CUSTOS UN'!J15</f>
        <v>44.393333333333338</v>
      </c>
      <c r="I78" s="645">
        <f t="shared" si="0"/>
        <v>7.39888888888889</v>
      </c>
      <c r="J78" s="645"/>
      <c r="K78" s="133">
        <f t="shared" si="1"/>
        <v>22.196666666666669</v>
      </c>
      <c r="M78" s="541"/>
    </row>
    <row r="79" spans="2:13" x14ac:dyDescent="0.25">
      <c r="B79" s="594" t="s">
        <v>366</v>
      </c>
      <c r="C79" s="594"/>
      <c r="D79" s="594"/>
      <c r="E79" s="594"/>
      <c r="F79" s="594"/>
      <c r="G79" s="4">
        <v>6</v>
      </c>
      <c r="H79" s="133">
        <f>'10 - CUSTOS UN'!J84</f>
        <v>17.73</v>
      </c>
      <c r="I79" s="645">
        <f t="shared" si="0"/>
        <v>2.9550000000000001</v>
      </c>
      <c r="J79" s="645"/>
      <c r="K79" s="133">
        <f t="shared" si="1"/>
        <v>17.73</v>
      </c>
      <c r="M79" s="541"/>
    </row>
    <row r="80" spans="2:13" x14ac:dyDescent="0.25">
      <c r="B80" s="594" t="s">
        <v>367</v>
      </c>
      <c r="C80" s="594"/>
      <c r="D80" s="594"/>
      <c r="E80" s="594"/>
      <c r="F80" s="594"/>
      <c r="G80" s="4">
        <v>2</v>
      </c>
      <c r="H80" s="133">
        <f>'10 - CUSTOS UN'!J21</f>
        <v>9.2099999999999991</v>
      </c>
      <c r="I80" s="645">
        <f t="shared" si="0"/>
        <v>1.5349999999999999</v>
      </c>
      <c r="J80" s="645"/>
      <c r="K80" s="133">
        <f t="shared" si="1"/>
        <v>3.07</v>
      </c>
      <c r="M80" s="541"/>
    </row>
    <row r="81" spans="2:13" x14ac:dyDescent="0.25">
      <c r="B81" s="594" t="s">
        <v>185</v>
      </c>
      <c r="C81" s="594"/>
      <c r="D81" s="594"/>
      <c r="E81" s="594"/>
      <c r="F81" s="594"/>
      <c r="G81" s="4">
        <v>1</v>
      </c>
      <c r="H81" s="133">
        <f>'10 - CUSTOS UN'!J66</f>
        <v>156.05666666666664</v>
      </c>
      <c r="I81" s="645">
        <f t="shared" si="0"/>
        <v>26.009444444444441</v>
      </c>
      <c r="J81" s="645"/>
      <c r="K81" s="133">
        <f t="shared" si="1"/>
        <v>26.009444444444441</v>
      </c>
      <c r="M81" s="541"/>
    </row>
    <row r="82" spans="2:13" x14ac:dyDescent="0.25">
      <c r="B82" s="594" t="s">
        <v>368</v>
      </c>
      <c r="C82" s="594"/>
      <c r="D82" s="594"/>
      <c r="E82" s="594"/>
      <c r="F82" s="594"/>
      <c r="G82" s="4">
        <v>3</v>
      </c>
      <c r="H82" s="133">
        <f>'10 - CUSTOS UN'!J111</f>
        <v>116.83</v>
      </c>
      <c r="I82" s="645">
        <f t="shared" si="0"/>
        <v>19.471666666666668</v>
      </c>
      <c r="J82" s="645"/>
      <c r="K82" s="133">
        <f t="shared" si="1"/>
        <v>58.415000000000006</v>
      </c>
      <c r="M82" s="541"/>
    </row>
    <row r="83" spans="2:13" ht="15" customHeight="1" x14ac:dyDescent="0.25">
      <c r="B83" s="594" t="s">
        <v>369</v>
      </c>
      <c r="C83" s="594"/>
      <c r="D83" s="594"/>
      <c r="E83" s="594"/>
      <c r="F83" s="594"/>
      <c r="G83" s="219">
        <v>1</v>
      </c>
      <c r="H83" s="220">
        <f>'10 - CUSTOS UN'!J87</f>
        <v>4.7966666666666669</v>
      </c>
      <c r="I83" s="645">
        <f t="shared" si="0"/>
        <v>0.79944444444444451</v>
      </c>
      <c r="J83" s="645"/>
      <c r="K83" s="133">
        <f t="shared" si="1"/>
        <v>0.79944444444444451</v>
      </c>
      <c r="M83" s="541"/>
    </row>
    <row r="84" spans="2:13" x14ac:dyDescent="0.25">
      <c r="B84" s="594" t="s">
        <v>188</v>
      </c>
      <c r="C84" s="594"/>
      <c r="D84" s="594"/>
      <c r="E84" s="594"/>
      <c r="F84" s="594"/>
      <c r="G84" s="219">
        <v>1</v>
      </c>
      <c r="H84" s="220">
        <f>'10 - CUSTOS UN'!J51</f>
        <v>212.1933333333333</v>
      </c>
      <c r="I84" s="645">
        <f t="shared" si="0"/>
        <v>35.365555555555552</v>
      </c>
      <c r="J84" s="645"/>
      <c r="K84" s="133">
        <f t="shared" si="1"/>
        <v>35.365555555555552</v>
      </c>
      <c r="M84" s="541"/>
    </row>
    <row r="85" spans="2:13" x14ac:dyDescent="0.25">
      <c r="B85" s="594" t="s">
        <v>187</v>
      </c>
      <c r="C85" s="594"/>
      <c r="D85" s="594"/>
      <c r="E85" s="594"/>
      <c r="F85" s="594"/>
      <c r="G85" s="219">
        <v>48</v>
      </c>
      <c r="H85" s="220">
        <f>'10 - CUSTOS UN'!J72</f>
        <v>8.2700000000000014</v>
      </c>
      <c r="I85" s="645">
        <f t="shared" si="0"/>
        <v>1.3783333333333336</v>
      </c>
      <c r="J85" s="645"/>
      <c r="K85" s="133">
        <f t="shared" si="1"/>
        <v>66.160000000000011</v>
      </c>
      <c r="M85" s="541"/>
    </row>
    <row r="86" spans="2:13" x14ac:dyDescent="0.25">
      <c r="B86" s="648" t="s">
        <v>370</v>
      </c>
      <c r="C86" s="648"/>
      <c r="D86" s="648"/>
      <c r="E86" s="648"/>
      <c r="F86" s="648"/>
      <c r="G86" s="113">
        <v>6</v>
      </c>
      <c r="H86" s="137">
        <f>'10 - CUSTOS UN'!J99</f>
        <v>14.9</v>
      </c>
      <c r="I86" s="859">
        <f t="shared" si="0"/>
        <v>2.4833333333333334</v>
      </c>
      <c r="J86" s="859"/>
      <c r="K86" s="137">
        <f t="shared" si="1"/>
        <v>14.9</v>
      </c>
      <c r="M86" s="541"/>
    </row>
    <row r="87" spans="2:13" x14ac:dyDescent="0.25">
      <c r="B87" s="660" t="s">
        <v>371</v>
      </c>
      <c r="C87" s="660"/>
      <c r="D87" s="660"/>
      <c r="E87" s="660"/>
      <c r="F87" s="660"/>
      <c r="G87" s="115"/>
      <c r="H87" s="115"/>
      <c r="I87" s="662"/>
      <c r="J87" s="662"/>
      <c r="K87" s="221">
        <f>SUM(K75:K86)</f>
        <v>306.61111111111109</v>
      </c>
      <c r="M87" s="541"/>
    </row>
    <row r="88" spans="2:13" x14ac:dyDescent="0.25">
      <c r="B88" s="661" t="s">
        <v>182</v>
      </c>
      <c r="C88" s="661"/>
      <c r="D88" s="661"/>
      <c r="E88" s="661"/>
      <c r="F88" s="661"/>
      <c r="G88" s="4">
        <f>I45</f>
        <v>15</v>
      </c>
      <c r="H88" s="4" t="s">
        <v>126</v>
      </c>
      <c r="I88" s="645">
        <f>K87</f>
        <v>306.61111111111109</v>
      </c>
      <c r="J88" s="645"/>
      <c r="K88" s="206">
        <f>K87*G88</f>
        <v>4599.1666666666661</v>
      </c>
      <c r="M88" s="541"/>
    </row>
    <row r="89" spans="2:13" x14ac:dyDescent="0.25">
      <c r="B89" s="1"/>
      <c r="C89" s="1"/>
      <c r="D89" s="1"/>
      <c r="E89" s="1"/>
      <c r="F89" s="1"/>
    </row>
    <row r="90" spans="2:13" x14ac:dyDescent="0.25">
      <c r="B90" s="663" t="s">
        <v>711</v>
      </c>
      <c r="C90" s="663"/>
      <c r="D90" s="663"/>
      <c r="E90" s="663"/>
      <c r="F90" s="663"/>
      <c r="G90" s="663"/>
      <c r="H90" s="663"/>
      <c r="I90" s="663"/>
      <c r="J90" s="663"/>
      <c r="K90" s="663"/>
      <c r="M90" s="541"/>
    </row>
    <row r="91" spans="2:13" ht="35.450000000000003" customHeight="1" x14ac:dyDescent="0.25">
      <c r="B91" s="614" t="s">
        <v>174</v>
      </c>
      <c r="C91" s="614"/>
      <c r="D91" s="614"/>
      <c r="E91" s="614"/>
      <c r="F91" s="614"/>
      <c r="G91" s="26" t="s">
        <v>175</v>
      </c>
      <c r="H91" s="26" t="s">
        <v>176</v>
      </c>
      <c r="I91" s="664" t="s">
        <v>177</v>
      </c>
      <c r="J91" s="664"/>
      <c r="K91" s="25" t="s">
        <v>178</v>
      </c>
      <c r="M91" s="541"/>
    </row>
    <row r="92" spans="2:13" ht="19.5" customHeight="1" x14ac:dyDescent="0.25">
      <c r="B92" s="594" t="s">
        <v>179</v>
      </c>
      <c r="C92" s="594"/>
      <c r="D92" s="594"/>
      <c r="E92" s="594"/>
      <c r="F92" s="594"/>
      <c r="G92" s="4">
        <v>3</v>
      </c>
      <c r="H92" s="133">
        <f>'10 - CUSTOS UN'!J36</f>
        <v>21.349999999999998</v>
      </c>
      <c r="I92" s="645">
        <f t="shared" ref="I92:I99" si="2">H92/6</f>
        <v>3.5583333333333331</v>
      </c>
      <c r="J92" s="645"/>
      <c r="K92" s="133">
        <f t="shared" ref="K92:K99" si="3">I92*G92</f>
        <v>10.674999999999999</v>
      </c>
      <c r="M92" s="546"/>
    </row>
    <row r="93" spans="2:13" x14ac:dyDescent="0.25">
      <c r="B93" s="594" t="s">
        <v>184</v>
      </c>
      <c r="C93" s="594"/>
      <c r="D93" s="594"/>
      <c r="E93" s="594"/>
      <c r="F93" s="594"/>
      <c r="G93" s="4">
        <v>2</v>
      </c>
      <c r="H93" s="133">
        <f>'10 - CUSTOS UN'!J27</f>
        <v>67.736666666666665</v>
      </c>
      <c r="I93" s="645">
        <f t="shared" si="2"/>
        <v>11.289444444444444</v>
      </c>
      <c r="J93" s="645"/>
      <c r="K93" s="133">
        <f t="shared" si="3"/>
        <v>22.578888888888887</v>
      </c>
      <c r="M93" s="541"/>
    </row>
    <row r="94" spans="2:13" x14ac:dyDescent="0.25">
      <c r="B94" s="594" t="s">
        <v>185</v>
      </c>
      <c r="C94" s="594"/>
      <c r="D94" s="594"/>
      <c r="E94" s="594"/>
      <c r="F94" s="594"/>
      <c r="G94" s="4">
        <v>1</v>
      </c>
      <c r="H94" s="133">
        <f>'10 - CUSTOS UN'!J66</f>
        <v>156.05666666666664</v>
      </c>
      <c r="I94" s="645">
        <f t="shared" si="2"/>
        <v>26.009444444444441</v>
      </c>
      <c r="J94" s="645"/>
      <c r="K94" s="133">
        <f t="shared" si="3"/>
        <v>26.009444444444441</v>
      </c>
      <c r="M94" s="541"/>
    </row>
    <row r="95" spans="2:13" x14ac:dyDescent="0.25">
      <c r="B95" s="594" t="s">
        <v>186</v>
      </c>
      <c r="C95" s="594"/>
      <c r="D95" s="594"/>
      <c r="E95" s="594"/>
      <c r="F95" s="594"/>
      <c r="G95" s="4">
        <v>1</v>
      </c>
      <c r="H95" s="133">
        <f>'10 - CUSTOS UN'!J30</f>
        <v>84.38</v>
      </c>
      <c r="I95" s="645">
        <f t="shared" si="2"/>
        <v>14.063333333333333</v>
      </c>
      <c r="J95" s="645"/>
      <c r="K95" s="133">
        <f t="shared" si="3"/>
        <v>14.063333333333333</v>
      </c>
      <c r="M95" s="541"/>
    </row>
    <row r="96" spans="2:13" x14ac:dyDescent="0.25">
      <c r="B96" s="594" t="s">
        <v>369</v>
      </c>
      <c r="C96" s="594"/>
      <c r="D96" s="594"/>
      <c r="E96" s="594"/>
      <c r="F96" s="594"/>
      <c r="G96" s="4">
        <v>1</v>
      </c>
      <c r="H96" s="133">
        <f>'10 - CUSTOS UN'!J87</f>
        <v>4.7966666666666669</v>
      </c>
      <c r="I96" s="645">
        <f t="shared" si="2"/>
        <v>0.79944444444444451</v>
      </c>
      <c r="J96" s="645"/>
      <c r="K96" s="133">
        <f t="shared" si="3"/>
        <v>0.79944444444444451</v>
      </c>
      <c r="M96" s="541"/>
    </row>
    <row r="97" spans="2:23" ht="15" customHeight="1" x14ac:dyDescent="0.25">
      <c r="B97" s="657" t="s">
        <v>196</v>
      </c>
      <c r="C97" s="657"/>
      <c r="D97" s="657"/>
      <c r="E97" s="657"/>
      <c r="F97" s="657"/>
      <c r="G97" s="4">
        <v>1</v>
      </c>
      <c r="H97" s="133">
        <f>'10 - CUSTOS UN'!J42</f>
        <v>16.393333333333334</v>
      </c>
      <c r="I97" s="645">
        <f t="shared" si="2"/>
        <v>2.7322222222222226</v>
      </c>
      <c r="J97" s="645"/>
      <c r="K97" s="133">
        <f t="shared" si="3"/>
        <v>2.7322222222222226</v>
      </c>
      <c r="M97" s="541"/>
    </row>
    <row r="98" spans="2:23" ht="15" customHeight="1" x14ac:dyDescent="0.25">
      <c r="B98" s="594" t="s">
        <v>370</v>
      </c>
      <c r="C98" s="594"/>
      <c r="D98" s="594"/>
      <c r="E98" s="594"/>
      <c r="F98" s="594"/>
      <c r="G98" s="4">
        <v>6</v>
      </c>
      <c r="H98" s="133">
        <f>'10 - CUSTOS UN'!J99</f>
        <v>14.9</v>
      </c>
      <c r="I98" s="645">
        <f t="shared" si="2"/>
        <v>2.4833333333333334</v>
      </c>
      <c r="J98" s="645"/>
      <c r="K98" s="133">
        <f t="shared" si="3"/>
        <v>14.9</v>
      </c>
      <c r="M98" s="541"/>
    </row>
    <row r="99" spans="2:23" ht="15" customHeight="1" x14ac:dyDescent="0.25">
      <c r="B99" s="658" t="s">
        <v>373</v>
      </c>
      <c r="C99" s="658"/>
      <c r="D99" s="658"/>
      <c r="E99" s="658"/>
      <c r="F99" s="658"/>
      <c r="G99" s="113">
        <v>1</v>
      </c>
      <c r="H99" s="137">
        <f>'10 - CUSTOS UN'!J48</f>
        <v>18.52</v>
      </c>
      <c r="I99" s="659">
        <f t="shared" si="2"/>
        <v>3.0866666666666664</v>
      </c>
      <c r="J99" s="659"/>
      <c r="K99" s="137">
        <f t="shared" si="3"/>
        <v>3.0866666666666664</v>
      </c>
      <c r="M99" s="541"/>
    </row>
    <row r="100" spans="2:23" x14ac:dyDescent="0.25">
      <c r="B100" s="660" t="s">
        <v>371</v>
      </c>
      <c r="C100" s="660"/>
      <c r="D100" s="660"/>
      <c r="E100" s="660"/>
      <c r="F100" s="660"/>
      <c r="G100" s="115"/>
      <c r="H100" s="115"/>
      <c r="I100" s="606"/>
      <c r="J100" s="606"/>
      <c r="K100" s="221">
        <f>SUM(K92:K99)</f>
        <v>94.844999999999999</v>
      </c>
      <c r="M100" s="541"/>
    </row>
    <row r="101" spans="2:23" ht="15" customHeight="1" x14ac:dyDescent="0.25">
      <c r="B101" s="661" t="s">
        <v>182</v>
      </c>
      <c r="C101" s="661"/>
      <c r="D101" s="661"/>
      <c r="E101" s="661"/>
      <c r="F101" s="661"/>
      <c r="G101" s="4">
        <f>I66</f>
        <v>8</v>
      </c>
      <c r="H101" s="4" t="s">
        <v>126</v>
      </c>
      <c r="I101" s="645">
        <f>K100</f>
        <v>94.844999999999999</v>
      </c>
      <c r="J101" s="645"/>
      <c r="K101" s="206">
        <f>I101*G101</f>
        <v>758.76</v>
      </c>
      <c r="M101" s="541"/>
    </row>
    <row r="102" spans="2:23" x14ac:dyDescent="0.25">
      <c r="B102" s="654"/>
      <c r="C102" s="654"/>
      <c r="D102" s="654"/>
      <c r="E102" s="654"/>
      <c r="F102" s="654"/>
      <c r="I102" s="654"/>
      <c r="J102" s="654"/>
      <c r="M102" s="547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</row>
    <row r="103" spans="2:23" ht="15" customHeight="1" x14ac:dyDescent="0.25">
      <c r="B103" s="597" t="s">
        <v>375</v>
      </c>
      <c r="C103" s="597"/>
      <c r="D103" s="597"/>
      <c r="E103" s="597"/>
      <c r="F103" s="597"/>
      <c r="G103" s="597"/>
      <c r="H103" s="597"/>
      <c r="I103" s="597"/>
      <c r="J103" s="597"/>
      <c r="K103" s="346">
        <f>K101+K88</f>
        <v>5357.9266666666663</v>
      </c>
      <c r="M103" s="547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</row>
    <row r="104" spans="2:23" x14ac:dyDescent="0.25">
      <c r="T104" s="121"/>
      <c r="U104" s="121"/>
      <c r="V104" s="12"/>
      <c r="W104" s="12"/>
    </row>
    <row r="105" spans="2:23" x14ac:dyDescent="0.25">
      <c r="T105" s="121"/>
      <c r="U105" s="121"/>
      <c r="V105" s="12"/>
      <c r="W105" s="12"/>
    </row>
    <row r="106" spans="2:23" x14ac:dyDescent="0.25">
      <c r="B106" s="601" t="s">
        <v>712</v>
      </c>
      <c r="C106" s="601"/>
      <c r="D106" s="601"/>
      <c r="E106" s="601"/>
      <c r="F106" s="601"/>
      <c r="G106" s="601"/>
      <c r="H106" s="601"/>
      <c r="I106" s="601"/>
      <c r="J106" s="601"/>
      <c r="K106" s="601"/>
    </row>
    <row r="107" spans="2:23" x14ac:dyDescent="0.25">
      <c r="N107" s="120"/>
      <c r="O107" s="120"/>
      <c r="P107" s="120"/>
      <c r="Q107" s="120"/>
      <c r="V107" s="12"/>
      <c r="W107" s="12"/>
    </row>
    <row r="108" spans="2:23" ht="15" customHeight="1" x14ac:dyDescent="0.25">
      <c r="B108" s="655" t="s">
        <v>206</v>
      </c>
      <c r="C108" s="655"/>
      <c r="D108" s="655"/>
      <c r="E108" s="655"/>
      <c r="F108" s="655"/>
      <c r="G108" s="655"/>
      <c r="H108" s="655"/>
      <c r="I108" s="655"/>
      <c r="J108" s="655"/>
      <c r="K108" s="655"/>
    </row>
    <row r="109" spans="2:23" ht="24.75" customHeight="1" x14ac:dyDescent="0.25">
      <c r="B109" s="138" t="s">
        <v>207</v>
      </c>
      <c r="C109" s="605" t="s">
        <v>174</v>
      </c>
      <c r="D109" s="605"/>
      <c r="E109" s="605"/>
      <c r="F109" s="605"/>
      <c r="G109" s="605"/>
      <c r="H109" s="605"/>
      <c r="I109" s="656" t="s">
        <v>208</v>
      </c>
      <c r="J109" s="656"/>
      <c r="K109" s="337" t="s">
        <v>209</v>
      </c>
      <c r="M109" s="547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</row>
    <row r="110" spans="2:23" x14ac:dyDescent="0.25">
      <c r="B110" s="140" t="s">
        <v>695</v>
      </c>
      <c r="C110" s="650" t="s">
        <v>713</v>
      </c>
      <c r="D110" s="650"/>
      <c r="E110" s="650"/>
      <c r="F110" s="650"/>
      <c r="G110" s="650"/>
      <c r="H110" s="650"/>
      <c r="I110" s="651">
        <f>K213</f>
        <v>20362.440563562093</v>
      </c>
      <c r="J110" s="651"/>
      <c r="K110" s="141">
        <f>K214</f>
        <v>122174.64338137255</v>
      </c>
      <c r="M110" s="547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</row>
    <row r="111" spans="2:23" x14ac:dyDescent="0.25">
      <c r="B111" s="5" t="s">
        <v>714</v>
      </c>
      <c r="C111" s="594" t="s">
        <v>212</v>
      </c>
      <c r="D111" s="594"/>
      <c r="E111" s="594"/>
      <c r="F111" s="594"/>
      <c r="G111" s="594"/>
      <c r="H111" s="594"/>
      <c r="I111" s="645">
        <f>I144</f>
        <v>4099.892919893884</v>
      </c>
      <c r="J111" s="645"/>
      <c r="K111" s="142">
        <f>K144</f>
        <v>24599.357519363304</v>
      </c>
      <c r="N111" s="120"/>
      <c r="O111" s="120"/>
      <c r="P111" s="120"/>
      <c r="Q111" s="120"/>
      <c r="R111" s="120"/>
      <c r="S111" s="120"/>
      <c r="T111" s="124"/>
      <c r="U111" s="124"/>
      <c r="V111" s="124"/>
      <c r="W111" s="124"/>
    </row>
    <row r="112" spans="2:23" x14ac:dyDescent="0.25">
      <c r="B112" s="5" t="s">
        <v>715</v>
      </c>
      <c r="C112" s="594" t="s">
        <v>214</v>
      </c>
      <c r="D112" s="594"/>
      <c r="E112" s="594"/>
      <c r="F112" s="594"/>
      <c r="G112" s="594"/>
      <c r="H112" s="594"/>
      <c r="I112" s="645">
        <f>I159</f>
        <v>1550.2720103348749</v>
      </c>
      <c r="J112" s="645"/>
      <c r="K112" s="142">
        <f>K159</f>
        <v>9301.6320620092501</v>
      </c>
    </row>
    <row r="113" spans="2:23" ht="15.75" customHeight="1" x14ac:dyDescent="0.25">
      <c r="B113" s="5" t="s">
        <v>716</v>
      </c>
      <c r="C113" s="594" t="s">
        <v>216</v>
      </c>
      <c r="D113" s="594"/>
      <c r="E113" s="594"/>
      <c r="F113" s="594"/>
      <c r="G113" s="594"/>
      <c r="H113" s="594"/>
      <c r="I113" s="645">
        <f>I171</f>
        <v>525.39638888888896</v>
      </c>
      <c r="J113" s="645"/>
      <c r="K113" s="142">
        <f>K171</f>
        <v>3152.378333333334</v>
      </c>
    </row>
    <row r="114" spans="2:23" x14ac:dyDescent="0.25">
      <c r="B114" s="5" t="s">
        <v>717</v>
      </c>
      <c r="C114" s="594" t="s">
        <v>382</v>
      </c>
      <c r="D114" s="594"/>
      <c r="E114" s="594"/>
      <c r="F114" s="594"/>
      <c r="G114" s="594"/>
      <c r="H114" s="594"/>
      <c r="I114" s="645">
        <f>I179</f>
        <v>9412</v>
      </c>
      <c r="J114" s="645"/>
      <c r="K114" s="142">
        <f>K179</f>
        <v>56472</v>
      </c>
      <c r="T114" s="12"/>
      <c r="U114" s="12"/>
      <c r="V114" s="12"/>
      <c r="W114" s="12"/>
    </row>
    <row r="115" spans="2:23" x14ac:dyDescent="0.25">
      <c r="B115" s="5" t="s">
        <v>718</v>
      </c>
      <c r="C115" s="594" t="s">
        <v>384</v>
      </c>
      <c r="D115" s="594"/>
      <c r="E115" s="594"/>
      <c r="F115" s="594"/>
      <c r="G115" s="594"/>
      <c r="H115" s="594"/>
      <c r="I115" s="645">
        <f>I192</f>
        <v>808.51544444444448</v>
      </c>
      <c r="J115" s="645"/>
      <c r="K115" s="142">
        <f>K192</f>
        <v>4851.0926666666674</v>
      </c>
      <c r="T115" s="12"/>
      <c r="U115" s="12"/>
      <c r="V115" s="124"/>
      <c r="W115" s="124"/>
    </row>
    <row r="116" spans="2:23" x14ac:dyDescent="0.25">
      <c r="B116" s="5" t="s">
        <v>719</v>
      </c>
      <c r="C116" s="594" t="s">
        <v>220</v>
      </c>
      <c r="D116" s="594"/>
      <c r="E116" s="594"/>
      <c r="F116" s="594"/>
      <c r="G116" s="594"/>
      <c r="H116" s="594"/>
      <c r="I116" s="645">
        <f>I203</f>
        <v>898.36379999999997</v>
      </c>
      <c r="J116" s="645"/>
      <c r="K116" s="142">
        <f>K203</f>
        <v>5390.1827999999996</v>
      </c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</row>
    <row r="117" spans="2:23" x14ac:dyDescent="0.25">
      <c r="B117" s="5" t="s">
        <v>720</v>
      </c>
      <c r="C117" s="594" t="s">
        <v>222</v>
      </c>
      <c r="D117" s="594"/>
      <c r="E117" s="594"/>
      <c r="F117" s="594"/>
      <c r="G117" s="594"/>
      <c r="H117" s="594"/>
      <c r="I117" s="645">
        <f>I208</f>
        <v>3068</v>
      </c>
      <c r="J117" s="645"/>
      <c r="K117" s="142">
        <f>K208</f>
        <v>18408</v>
      </c>
    </row>
    <row r="118" spans="2:23" x14ac:dyDescent="0.25">
      <c r="B118" s="140" t="s">
        <v>697</v>
      </c>
      <c r="C118" s="652" t="s">
        <v>721</v>
      </c>
      <c r="D118" s="652"/>
      <c r="E118" s="652"/>
      <c r="F118" s="652"/>
      <c r="G118" s="652"/>
      <c r="H118" s="652"/>
      <c r="I118" s="653">
        <f>K294</f>
        <v>11485.561781746032</v>
      </c>
      <c r="J118" s="653"/>
      <c r="K118" s="141">
        <f>K295</f>
        <v>11485.561781746032</v>
      </c>
    </row>
    <row r="119" spans="2:23" x14ac:dyDescent="0.25">
      <c r="B119" s="5" t="s">
        <v>722</v>
      </c>
      <c r="C119" s="594" t="s">
        <v>212</v>
      </c>
      <c r="D119" s="594"/>
      <c r="E119" s="594"/>
      <c r="F119" s="594"/>
      <c r="G119" s="594"/>
      <c r="H119" s="594"/>
      <c r="I119" s="645">
        <f>I231</f>
        <v>2914.609523809524</v>
      </c>
      <c r="J119" s="645"/>
      <c r="K119" s="142">
        <f>K231</f>
        <v>2914.609523809524</v>
      </c>
    </row>
    <row r="120" spans="2:23" x14ac:dyDescent="0.25">
      <c r="B120" s="5" t="s">
        <v>723</v>
      </c>
      <c r="C120" s="594" t="s">
        <v>214</v>
      </c>
      <c r="D120" s="594"/>
      <c r="E120" s="594"/>
      <c r="F120" s="594"/>
      <c r="G120" s="594"/>
      <c r="H120" s="594"/>
      <c r="I120" s="645">
        <f>I246</f>
        <v>1219.943869047619</v>
      </c>
      <c r="J120" s="645"/>
      <c r="K120" s="142">
        <f>K246</f>
        <v>1219.943869047619</v>
      </c>
    </row>
    <row r="121" spans="2:23" x14ac:dyDescent="0.25">
      <c r="B121" s="5" t="s">
        <v>724</v>
      </c>
      <c r="C121" s="594" t="s">
        <v>216</v>
      </c>
      <c r="D121" s="594"/>
      <c r="E121" s="594"/>
      <c r="F121" s="594"/>
      <c r="G121" s="594"/>
      <c r="H121" s="594"/>
      <c r="I121" s="645">
        <f>I255</f>
        <v>525.39638888888885</v>
      </c>
      <c r="J121" s="645"/>
      <c r="K121" s="142">
        <f>K255</f>
        <v>525.39638888888885</v>
      </c>
    </row>
    <row r="122" spans="2:23" x14ac:dyDescent="0.25">
      <c r="B122" s="5" t="s">
        <v>725</v>
      </c>
      <c r="C122" s="594" t="s">
        <v>382</v>
      </c>
      <c r="D122" s="594"/>
      <c r="E122" s="594"/>
      <c r="F122" s="594"/>
      <c r="G122" s="594"/>
      <c r="H122" s="594"/>
      <c r="I122" s="645">
        <f>I263</f>
        <v>3764.8</v>
      </c>
      <c r="J122" s="645"/>
      <c r="K122" s="142">
        <f>K263</f>
        <v>3764.8</v>
      </c>
    </row>
    <row r="123" spans="2:23" x14ac:dyDescent="0.25">
      <c r="B123" s="5" t="s">
        <v>726</v>
      </c>
      <c r="C123" s="594" t="s">
        <v>384</v>
      </c>
      <c r="D123" s="594"/>
      <c r="E123" s="594"/>
      <c r="F123" s="594"/>
      <c r="G123" s="594"/>
      <c r="H123" s="594"/>
      <c r="I123" s="645">
        <f>I276</f>
        <v>313.7173866666667</v>
      </c>
      <c r="J123" s="645"/>
      <c r="K123" s="142">
        <f>K276</f>
        <v>313.7173866666667</v>
      </c>
    </row>
    <row r="124" spans="2:23" x14ac:dyDescent="0.25">
      <c r="B124" s="5" t="s">
        <v>727</v>
      </c>
      <c r="C124" s="594" t="s">
        <v>220</v>
      </c>
      <c r="D124" s="594"/>
      <c r="E124" s="594"/>
      <c r="F124" s="594"/>
      <c r="G124" s="594"/>
      <c r="H124" s="594"/>
      <c r="I124" s="645">
        <f>I287</f>
        <v>292.69461333333328</v>
      </c>
      <c r="J124" s="645"/>
      <c r="K124" s="142">
        <f>K287</f>
        <v>292.69461333333328</v>
      </c>
    </row>
    <row r="125" spans="2:23" x14ac:dyDescent="0.25">
      <c r="B125" s="5" t="s">
        <v>728</v>
      </c>
      <c r="C125" s="594" t="s">
        <v>222</v>
      </c>
      <c r="D125" s="594"/>
      <c r="E125" s="594"/>
      <c r="F125" s="594"/>
      <c r="G125" s="594"/>
      <c r="H125" s="594"/>
      <c r="I125" s="645">
        <f>I292</f>
        <v>2454.4</v>
      </c>
      <c r="J125" s="645"/>
      <c r="K125" s="142">
        <f>K292</f>
        <v>2454.4</v>
      </c>
    </row>
    <row r="126" spans="2:23" x14ac:dyDescent="0.25">
      <c r="B126" s="143"/>
      <c r="C126" s="646" t="s">
        <v>223</v>
      </c>
      <c r="D126" s="646"/>
      <c r="E126" s="646"/>
      <c r="F126" s="646"/>
      <c r="G126" s="646"/>
      <c r="H126" s="646"/>
      <c r="I126" s="646"/>
      <c r="J126" s="646"/>
      <c r="K126" s="144">
        <f>SUM(K118,K110)</f>
        <v>133660.20516311858</v>
      </c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</row>
    <row r="127" spans="2:23" x14ac:dyDescent="0.25">
      <c r="C127" s="132"/>
      <c r="D127" s="132"/>
      <c r="E127" s="132"/>
      <c r="F127" s="132"/>
      <c r="G127" s="132"/>
      <c r="H127" s="132"/>
      <c r="I127" s="132"/>
      <c r="J127" s="132"/>
      <c r="K127" s="132"/>
    </row>
    <row r="128" spans="2:23" x14ac:dyDescent="0.25">
      <c r="M128" s="547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</row>
    <row r="129" spans="2:23" x14ac:dyDescent="0.25">
      <c r="B129" s="626" t="s">
        <v>729</v>
      </c>
      <c r="C129" s="626"/>
      <c r="D129" s="626"/>
      <c r="E129" s="626"/>
      <c r="F129" s="626"/>
      <c r="G129" s="626"/>
      <c r="H129" s="626"/>
      <c r="I129" s="626"/>
      <c r="J129" s="626"/>
      <c r="K129" s="626"/>
      <c r="M129" s="547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</row>
    <row r="130" spans="2:23" x14ac:dyDescent="0.25">
      <c r="N130" s="120"/>
      <c r="O130" s="120"/>
      <c r="P130" s="120"/>
      <c r="Q130" s="120"/>
      <c r="R130" s="120"/>
      <c r="S130" s="120"/>
      <c r="T130" s="124"/>
      <c r="U130" s="120"/>
      <c r="V130" s="124"/>
      <c r="W130" s="120"/>
    </row>
    <row r="131" spans="2:23" x14ac:dyDescent="0.25">
      <c r="B131" s="609" t="s">
        <v>730</v>
      </c>
      <c r="C131" s="609"/>
      <c r="D131" s="609"/>
      <c r="E131" s="609"/>
      <c r="F131" s="609"/>
      <c r="G131" s="609"/>
      <c r="H131" s="609"/>
      <c r="I131" s="609"/>
      <c r="J131" s="609"/>
      <c r="K131" s="609"/>
      <c r="T131" s="12"/>
    </row>
    <row r="132" spans="2:23" x14ac:dyDescent="0.25">
      <c r="B132" s="223" t="s">
        <v>174</v>
      </c>
      <c r="C132" s="235"/>
      <c r="D132" s="235"/>
      <c r="E132" s="235"/>
      <c r="F132" s="236"/>
      <c r="G132" s="223" t="s">
        <v>128</v>
      </c>
      <c r="H132" s="138" t="s">
        <v>129</v>
      </c>
      <c r="I132" s="605" t="s">
        <v>226</v>
      </c>
      <c r="J132" s="605"/>
      <c r="K132" s="138" t="s">
        <v>227</v>
      </c>
      <c r="S132" s="18"/>
    </row>
    <row r="133" spans="2:23" x14ac:dyDescent="0.25">
      <c r="B133" s="620" t="s">
        <v>621</v>
      </c>
      <c r="C133" s="620"/>
      <c r="D133" s="620"/>
      <c r="E133" s="620"/>
      <c r="F133" s="620"/>
      <c r="G133" s="555">
        <f>H13</f>
        <v>6</v>
      </c>
      <c r="H133" s="125" t="s">
        <v>129</v>
      </c>
      <c r="I133" s="621">
        <v>276034</v>
      </c>
      <c r="J133" s="621"/>
      <c r="K133" s="224">
        <f>I133*G133</f>
        <v>1656204</v>
      </c>
      <c r="T133" s="12"/>
    </row>
    <row r="134" spans="2:23" x14ac:dyDescent="0.25">
      <c r="B134" s="622" t="s">
        <v>406</v>
      </c>
      <c r="C134" s="622"/>
      <c r="D134" s="622"/>
      <c r="E134" s="622"/>
      <c r="F134" s="622"/>
      <c r="G134" s="8">
        <v>7</v>
      </c>
      <c r="H134" s="8" t="s">
        <v>231</v>
      </c>
      <c r="I134" s="616"/>
      <c r="J134" s="616"/>
      <c r="K134" s="158"/>
      <c r="T134" s="12"/>
      <c r="V134" s="12"/>
    </row>
    <row r="135" spans="2:23" x14ac:dyDescent="0.25">
      <c r="B135" s="622" t="s">
        <v>232</v>
      </c>
      <c r="C135" s="622"/>
      <c r="D135" s="622"/>
      <c r="E135" s="622"/>
      <c r="F135" s="622"/>
      <c r="G135" s="8">
        <v>6</v>
      </c>
      <c r="H135" s="8" t="s">
        <v>231</v>
      </c>
      <c r="I135" s="616"/>
      <c r="J135" s="616"/>
      <c r="K135" s="158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</row>
    <row r="136" spans="2:23" x14ac:dyDescent="0.25">
      <c r="B136" s="615" t="s">
        <v>407</v>
      </c>
      <c r="C136" s="615"/>
      <c r="D136" s="615"/>
      <c r="E136" s="615"/>
      <c r="F136" s="615"/>
      <c r="G136" s="225">
        <v>80</v>
      </c>
      <c r="H136" s="8" t="s">
        <v>89</v>
      </c>
      <c r="I136" s="617">
        <f>I133</f>
        <v>276034</v>
      </c>
      <c r="J136" s="617"/>
      <c r="K136" s="30">
        <f>I136*G136/100</f>
        <v>220827.2</v>
      </c>
    </row>
    <row r="137" spans="2:23" x14ac:dyDescent="0.25">
      <c r="B137" s="618" t="s">
        <v>408</v>
      </c>
      <c r="C137" s="618"/>
      <c r="D137" s="618"/>
      <c r="E137" s="618"/>
      <c r="F137" s="618"/>
      <c r="G137" s="226">
        <f>G134*12</f>
        <v>84</v>
      </c>
      <c r="H137" s="226" t="s">
        <v>235</v>
      </c>
      <c r="I137" s="619">
        <f>K136</f>
        <v>220827.2</v>
      </c>
      <c r="J137" s="619"/>
      <c r="K137" s="148">
        <f>I137/G137</f>
        <v>2628.8952380952383</v>
      </c>
    </row>
    <row r="138" spans="2:23" x14ac:dyDescent="0.25">
      <c r="B138" s="620" t="s">
        <v>731</v>
      </c>
      <c r="C138" s="620"/>
      <c r="D138" s="620"/>
      <c r="E138" s="620"/>
      <c r="F138" s="620"/>
      <c r="G138" s="125">
        <f>G133</f>
        <v>6</v>
      </c>
      <c r="H138" s="125" t="s">
        <v>129</v>
      </c>
      <c r="I138" s="621">
        <f>I133/426344*238560.68</f>
        <v>154454.75658885782</v>
      </c>
      <c r="J138" s="621"/>
      <c r="K138" s="224">
        <f>I138*G138</f>
        <v>926728.53953314689</v>
      </c>
    </row>
    <row r="139" spans="2:23" x14ac:dyDescent="0.25">
      <c r="B139" s="622" t="s">
        <v>410</v>
      </c>
      <c r="C139" s="622"/>
      <c r="D139" s="622"/>
      <c r="E139" s="622"/>
      <c r="F139" s="622"/>
      <c r="G139" s="8">
        <v>7</v>
      </c>
      <c r="H139" s="8" t="s">
        <v>231</v>
      </c>
      <c r="I139" s="616"/>
      <c r="J139" s="616"/>
      <c r="K139" s="158"/>
    </row>
    <row r="140" spans="2:23" x14ac:dyDescent="0.25">
      <c r="B140" s="622" t="s">
        <v>411</v>
      </c>
      <c r="C140" s="622"/>
      <c r="D140" s="622"/>
      <c r="E140" s="622"/>
      <c r="F140" s="622"/>
      <c r="G140" s="8">
        <v>6</v>
      </c>
      <c r="H140" s="8" t="s">
        <v>231</v>
      </c>
      <c r="I140" s="616"/>
      <c r="J140" s="616"/>
      <c r="K140" s="158"/>
    </row>
    <row r="141" spans="2:23" x14ac:dyDescent="0.25">
      <c r="B141" s="615" t="s">
        <v>412</v>
      </c>
      <c r="C141" s="615"/>
      <c r="D141" s="615"/>
      <c r="E141" s="615"/>
      <c r="F141" s="615"/>
      <c r="G141" s="225">
        <v>80</v>
      </c>
      <c r="H141" s="8" t="s">
        <v>89</v>
      </c>
      <c r="I141" s="617">
        <f>I138</f>
        <v>154454.75658885782</v>
      </c>
      <c r="J141" s="617"/>
      <c r="K141" s="30">
        <f>I141*G141/100</f>
        <v>123563.80527108627</v>
      </c>
    </row>
    <row r="142" spans="2:23" x14ac:dyDescent="0.25">
      <c r="B142" s="618" t="s">
        <v>413</v>
      </c>
      <c r="C142" s="618"/>
      <c r="D142" s="618"/>
      <c r="E142" s="618"/>
      <c r="F142" s="618"/>
      <c r="G142" s="226">
        <f>G139*12</f>
        <v>84</v>
      </c>
      <c r="H142" s="226" t="s">
        <v>235</v>
      </c>
      <c r="I142" s="619">
        <f>K141</f>
        <v>123563.80527108627</v>
      </c>
      <c r="J142" s="619"/>
      <c r="K142" s="148">
        <f>I142/G142</f>
        <v>1470.997681798646</v>
      </c>
    </row>
    <row r="143" spans="2:23" x14ac:dyDescent="0.25">
      <c r="B143" s="635" t="s">
        <v>414</v>
      </c>
      <c r="C143" s="635"/>
      <c r="D143" s="635"/>
      <c r="E143" s="635"/>
      <c r="F143" s="635"/>
      <c r="G143" s="180"/>
      <c r="H143" s="180"/>
      <c r="I143" s="636"/>
      <c r="J143" s="636"/>
      <c r="K143" s="227">
        <f>SUM(K137+K142)</f>
        <v>4099.892919893884</v>
      </c>
    </row>
    <row r="144" spans="2:23" x14ac:dyDescent="0.25">
      <c r="B144" s="612" t="s">
        <v>415</v>
      </c>
      <c r="C144" s="612"/>
      <c r="D144" s="612"/>
      <c r="E144" s="612"/>
      <c r="F144" s="612"/>
      <c r="G144" s="45">
        <f>G133</f>
        <v>6</v>
      </c>
      <c r="H144" s="45" t="s">
        <v>229</v>
      </c>
      <c r="I144" s="613">
        <f>K143</f>
        <v>4099.892919893884</v>
      </c>
      <c r="J144" s="613"/>
      <c r="K144" s="159">
        <f>I144*G144</f>
        <v>24599.357519363304</v>
      </c>
    </row>
    <row r="145" spans="2:23" x14ac:dyDescent="0.25">
      <c r="N145" s="120"/>
      <c r="O145" s="120"/>
      <c r="P145" s="120"/>
      <c r="Q145" s="120"/>
      <c r="R145" s="120"/>
      <c r="S145" s="120"/>
      <c r="T145" s="120"/>
      <c r="U145" s="120"/>
      <c r="V145" s="120"/>
      <c r="W145" s="120"/>
    </row>
    <row r="146" spans="2:23" x14ac:dyDescent="0.25">
      <c r="B146" s="609" t="s">
        <v>732</v>
      </c>
      <c r="C146" s="609"/>
      <c r="D146" s="609"/>
      <c r="E146" s="609"/>
      <c r="F146" s="609"/>
      <c r="G146" s="609"/>
      <c r="H146" s="609"/>
      <c r="I146" s="609"/>
      <c r="J146" s="609"/>
      <c r="K146" s="609"/>
      <c r="N146" s="120"/>
      <c r="O146" s="120"/>
      <c r="P146" s="120"/>
      <c r="Q146" s="120"/>
      <c r="R146" s="120"/>
      <c r="S146" s="120"/>
      <c r="T146" s="120"/>
      <c r="U146" s="120"/>
      <c r="V146" s="120"/>
      <c r="W146" s="120"/>
    </row>
    <row r="147" spans="2:23" ht="15" customHeight="1" x14ac:dyDescent="0.25">
      <c r="B147" s="602" t="s">
        <v>174</v>
      </c>
      <c r="C147" s="602"/>
      <c r="D147" s="602"/>
      <c r="E147" s="602"/>
      <c r="F147" s="602"/>
      <c r="G147" s="61" t="s">
        <v>128</v>
      </c>
      <c r="H147" s="45" t="s">
        <v>129</v>
      </c>
      <c r="I147" s="602" t="s">
        <v>226</v>
      </c>
      <c r="J147" s="602"/>
      <c r="K147" s="45" t="s">
        <v>227</v>
      </c>
    </row>
    <row r="148" spans="2:23" x14ac:dyDescent="0.25">
      <c r="B148" s="615" t="s">
        <v>628</v>
      </c>
      <c r="C148" s="615"/>
      <c r="D148" s="615"/>
      <c r="E148" s="615"/>
      <c r="F148" s="615"/>
      <c r="G148" s="8">
        <f>G133</f>
        <v>6</v>
      </c>
      <c r="H148" s="8" t="s">
        <v>229</v>
      </c>
      <c r="I148" s="617">
        <f>I133</f>
        <v>276034</v>
      </c>
      <c r="J148" s="617"/>
      <c r="K148" s="30">
        <f>I148*G148</f>
        <v>1656204</v>
      </c>
      <c r="M148" s="547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</row>
    <row r="149" spans="2:23" x14ac:dyDescent="0.25">
      <c r="B149" s="615" t="s">
        <v>239</v>
      </c>
      <c r="C149" s="615"/>
      <c r="D149" s="615"/>
      <c r="E149" s="615"/>
      <c r="F149" s="615"/>
      <c r="G149" s="556">
        <v>13.75</v>
      </c>
      <c r="H149" s="8" t="s">
        <v>89</v>
      </c>
      <c r="I149" s="616"/>
      <c r="J149" s="616"/>
      <c r="K149" s="30"/>
      <c r="M149" s="547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</row>
    <row r="150" spans="2:23" ht="15" customHeight="1" x14ac:dyDescent="0.25">
      <c r="B150" s="615" t="s">
        <v>240</v>
      </c>
      <c r="C150" s="615"/>
      <c r="D150" s="615"/>
      <c r="E150" s="615"/>
      <c r="F150" s="615"/>
      <c r="G150" s="8"/>
      <c r="H150" s="8"/>
      <c r="I150" s="617">
        <f>IFERROR(IF(G135&lt;=G134,I133-(G136/(100*G134)*G135)*I133,I133-K136),0)</f>
        <v>86753.542857142864</v>
      </c>
      <c r="J150" s="617"/>
      <c r="K150" s="30"/>
      <c r="M150" s="547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</row>
    <row r="151" spans="2:23" ht="15" customHeight="1" x14ac:dyDescent="0.25">
      <c r="B151" s="615" t="s">
        <v>733</v>
      </c>
      <c r="C151" s="615"/>
      <c r="D151" s="615"/>
      <c r="E151" s="615"/>
      <c r="F151" s="615"/>
      <c r="G151" s="8"/>
      <c r="H151" s="8"/>
      <c r="I151" s="617">
        <f>IFERROR(IF(G135&gt;=G134,I150,((((I150)-(I133-K136))*(((G134-G135)+1)/(2*(G134-G135))))+(I133-K136))),0)</f>
        <v>86753.542857142864</v>
      </c>
      <c r="J151" s="617"/>
      <c r="K151" s="30"/>
      <c r="M151" s="547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</row>
    <row r="152" spans="2:23" ht="15" customHeight="1" x14ac:dyDescent="0.25">
      <c r="B152" s="618" t="s">
        <v>734</v>
      </c>
      <c r="C152" s="618"/>
      <c r="D152" s="618"/>
      <c r="E152" s="618"/>
      <c r="F152" s="618"/>
      <c r="G152" s="147"/>
      <c r="H152" s="147"/>
      <c r="I152" s="619">
        <f>G149*I151/12/100</f>
        <v>994.05101190476194</v>
      </c>
      <c r="J152" s="619"/>
      <c r="K152" s="148">
        <f>I152</f>
        <v>994.05101190476194</v>
      </c>
      <c r="M152" s="547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</row>
    <row r="153" spans="2:23" ht="15" customHeight="1" x14ac:dyDescent="0.25">
      <c r="B153" s="637" t="s">
        <v>735</v>
      </c>
      <c r="C153" s="637"/>
      <c r="D153" s="637"/>
      <c r="E153" s="637"/>
      <c r="F153" s="637"/>
      <c r="G153" s="125">
        <f>G148</f>
        <v>6</v>
      </c>
      <c r="H153" s="125" t="s">
        <v>229</v>
      </c>
      <c r="I153" s="621">
        <f>I138</f>
        <v>154454.75658885782</v>
      </c>
      <c r="J153" s="621"/>
      <c r="K153" s="224">
        <f>I153*G153</f>
        <v>926728.53953314689</v>
      </c>
      <c r="M153" s="547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</row>
    <row r="154" spans="2:23" ht="15" customHeight="1" x14ac:dyDescent="0.25">
      <c r="B154" s="615" t="s">
        <v>239</v>
      </c>
      <c r="C154" s="615"/>
      <c r="D154" s="615"/>
      <c r="E154" s="615"/>
      <c r="F154" s="615"/>
      <c r="G154" s="556">
        <v>13.75</v>
      </c>
      <c r="H154" s="8" t="s">
        <v>89</v>
      </c>
      <c r="I154" s="616"/>
      <c r="J154" s="616"/>
      <c r="K154" s="30"/>
      <c r="M154" s="547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</row>
    <row r="155" spans="2:23" ht="15" customHeight="1" x14ac:dyDescent="0.25">
      <c r="B155" s="615" t="s">
        <v>240</v>
      </c>
      <c r="C155" s="615"/>
      <c r="D155" s="615"/>
      <c r="E155" s="615"/>
      <c r="F155" s="615"/>
      <c r="G155" s="8"/>
      <c r="H155" s="8"/>
      <c r="I155" s="617">
        <f>IFERROR(IF(G140&lt;=G139,I138-(G141/(100*G139)*G140)*I138,I138-K141),0)</f>
        <v>48542.923499355311</v>
      </c>
      <c r="J155" s="617"/>
      <c r="K155" s="30"/>
      <c r="M155" s="547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</row>
    <row r="156" spans="2:23" ht="15" customHeight="1" x14ac:dyDescent="0.25">
      <c r="B156" s="615" t="s">
        <v>736</v>
      </c>
      <c r="C156" s="615"/>
      <c r="D156" s="615"/>
      <c r="E156" s="615"/>
      <c r="F156" s="615"/>
      <c r="G156" s="8"/>
      <c r="H156" s="8"/>
      <c r="I156" s="617">
        <f>IFERROR(IF(G140&gt;=G139,I155,((((I155)-(I138-K141))*(((G139-G140)+1)/(2*(G139-G140))))+(I138-K141))),0)</f>
        <v>48542.923499355311</v>
      </c>
      <c r="J156" s="617"/>
      <c r="K156" s="30"/>
      <c r="M156" s="547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</row>
    <row r="157" spans="2:23" ht="15" customHeight="1" x14ac:dyDescent="0.25">
      <c r="B157" s="618" t="s">
        <v>737</v>
      </c>
      <c r="C157" s="618"/>
      <c r="D157" s="618"/>
      <c r="E157" s="618"/>
      <c r="F157" s="618"/>
      <c r="G157" s="147"/>
      <c r="H157" s="147"/>
      <c r="I157" s="619">
        <f>G154*I156/12/100</f>
        <v>556.22099843011301</v>
      </c>
      <c r="J157" s="619"/>
      <c r="K157" s="148">
        <f>I157</f>
        <v>556.22099843011301</v>
      </c>
      <c r="M157" s="547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</row>
    <row r="158" spans="2:23" ht="15" customHeight="1" x14ac:dyDescent="0.25">
      <c r="B158" s="635" t="s">
        <v>423</v>
      </c>
      <c r="C158" s="635"/>
      <c r="D158" s="635"/>
      <c r="E158" s="635"/>
      <c r="F158" s="635"/>
      <c r="G158" s="180"/>
      <c r="H158" s="180"/>
      <c r="I158" s="636"/>
      <c r="J158" s="636"/>
      <c r="K158" s="227">
        <f>SUM(K152+K157)</f>
        <v>1550.2720103348749</v>
      </c>
      <c r="M158" s="547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</row>
    <row r="159" spans="2:23" ht="15" customHeight="1" x14ac:dyDescent="0.25">
      <c r="B159" s="612" t="s">
        <v>243</v>
      </c>
      <c r="C159" s="612"/>
      <c r="D159" s="612"/>
      <c r="E159" s="612"/>
      <c r="F159" s="612"/>
      <c r="G159" s="45">
        <f>G148</f>
        <v>6</v>
      </c>
      <c r="H159" s="45" t="s">
        <v>229</v>
      </c>
      <c r="I159" s="613">
        <f>K158</f>
        <v>1550.2720103348749</v>
      </c>
      <c r="J159" s="613"/>
      <c r="K159" s="159">
        <f>I159*G159</f>
        <v>9301.6320620092501</v>
      </c>
      <c r="M159" s="547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</row>
    <row r="160" spans="2:23" ht="15" customHeight="1" x14ac:dyDescent="0.25">
      <c r="B160" s="644" t="s">
        <v>424</v>
      </c>
      <c r="C160" s="644"/>
      <c r="D160" s="644"/>
      <c r="E160" s="644"/>
      <c r="F160" s="644"/>
      <c r="G160" s="644"/>
      <c r="H160" s="644"/>
      <c r="I160" s="644"/>
      <c r="J160" s="644"/>
      <c r="K160" s="644"/>
      <c r="M160" s="547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</row>
    <row r="161" spans="2:23" ht="15" customHeight="1" x14ac:dyDescent="0.25">
      <c r="B161" s="644"/>
      <c r="C161" s="644"/>
      <c r="D161" s="644"/>
      <c r="E161" s="644"/>
      <c r="F161" s="644"/>
      <c r="G161" s="644"/>
      <c r="H161" s="644"/>
      <c r="I161" s="644"/>
      <c r="J161" s="644"/>
      <c r="K161" s="644"/>
      <c r="M161" s="547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</row>
    <row r="162" spans="2:23" ht="15" customHeight="1" x14ac:dyDescent="0.25">
      <c r="B162" s="644"/>
      <c r="C162" s="644"/>
      <c r="D162" s="644"/>
      <c r="E162" s="644"/>
      <c r="F162" s="644"/>
      <c r="G162" s="644"/>
      <c r="H162" s="644"/>
      <c r="I162" s="644"/>
      <c r="J162" s="644"/>
      <c r="K162" s="644"/>
      <c r="M162" s="547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</row>
    <row r="163" spans="2:23" ht="15.75" customHeight="1" x14ac:dyDescent="0.25">
      <c r="B163" s="131"/>
      <c r="C163" s="131"/>
      <c r="D163" s="131"/>
      <c r="E163" s="131"/>
      <c r="F163" s="131"/>
      <c r="G163" s="18"/>
      <c r="H163" s="18"/>
      <c r="I163" s="18"/>
      <c r="J163" s="18"/>
      <c r="K163" s="132"/>
      <c r="M163" s="547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</row>
    <row r="164" spans="2:23" ht="15" customHeight="1" x14ac:dyDescent="0.25">
      <c r="B164" s="609" t="s">
        <v>738</v>
      </c>
      <c r="C164" s="609"/>
      <c r="D164" s="609"/>
      <c r="E164" s="609"/>
      <c r="F164" s="609"/>
      <c r="G164" s="609"/>
      <c r="H164" s="609"/>
      <c r="I164" s="609"/>
      <c r="J164" s="609"/>
      <c r="K164" s="609"/>
      <c r="M164" s="858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</row>
    <row r="165" spans="2:23" ht="15" customHeight="1" x14ac:dyDescent="0.25">
      <c r="B165" s="602" t="s">
        <v>174</v>
      </c>
      <c r="C165" s="602"/>
      <c r="D165" s="602"/>
      <c r="E165" s="602"/>
      <c r="F165" s="602"/>
      <c r="G165" s="61" t="s">
        <v>128</v>
      </c>
      <c r="H165" s="45" t="s">
        <v>129</v>
      </c>
      <c r="I165" s="602" t="s">
        <v>226</v>
      </c>
      <c r="J165" s="602"/>
      <c r="K165" s="45" t="s">
        <v>246</v>
      </c>
      <c r="M165" s="858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</row>
    <row r="166" spans="2:23" ht="15" customHeight="1" x14ac:dyDescent="0.25">
      <c r="B166" s="622" t="s">
        <v>426</v>
      </c>
      <c r="C166" s="622"/>
      <c r="D166" s="622"/>
      <c r="E166" s="622"/>
      <c r="F166" s="622"/>
      <c r="G166" s="8">
        <f>G159</f>
        <v>6</v>
      </c>
      <c r="H166" s="8" t="s">
        <v>229</v>
      </c>
      <c r="I166" s="617">
        <f>I133*0.01</f>
        <v>2760.34</v>
      </c>
      <c r="J166" s="617"/>
      <c r="K166" s="30">
        <f>(I166*G166)/12</f>
        <v>1380.17</v>
      </c>
      <c r="M166" s="858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</row>
    <row r="167" spans="2:23" x14ac:dyDescent="0.25">
      <c r="B167" s="622" t="s">
        <v>427</v>
      </c>
      <c r="C167" s="622"/>
      <c r="D167" s="622"/>
      <c r="E167" s="622"/>
      <c r="F167" s="622"/>
      <c r="G167" s="8">
        <f>G166</f>
        <v>6</v>
      </c>
      <c r="H167" s="8" t="s">
        <v>229</v>
      </c>
      <c r="I167" s="617">
        <v>109.27</v>
      </c>
      <c r="J167" s="617"/>
      <c r="K167" s="30">
        <f>(I167*G167)/12</f>
        <v>54.634999999999998</v>
      </c>
      <c r="M167" s="858"/>
    </row>
    <row r="168" spans="2:23" x14ac:dyDescent="0.25">
      <c r="B168" s="615" t="s">
        <v>247</v>
      </c>
      <c r="C168" s="615"/>
      <c r="D168" s="615"/>
      <c r="E168" s="615"/>
      <c r="F168" s="615"/>
      <c r="G168" s="8">
        <f>G167</f>
        <v>6</v>
      </c>
      <c r="H168" s="8" t="s">
        <v>229</v>
      </c>
      <c r="I168" s="617">
        <v>0</v>
      </c>
      <c r="J168" s="617"/>
      <c r="K168" s="30">
        <f>(I168*G168)/60</f>
        <v>0</v>
      </c>
      <c r="M168" s="858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</row>
    <row r="169" spans="2:23" x14ac:dyDescent="0.25">
      <c r="B169" s="622" t="s">
        <v>428</v>
      </c>
      <c r="C169" s="622"/>
      <c r="D169" s="622"/>
      <c r="E169" s="622"/>
      <c r="F169" s="622"/>
      <c r="G169" s="8">
        <f>G168</f>
        <v>6</v>
      </c>
      <c r="H169" s="8" t="s">
        <v>229</v>
      </c>
      <c r="I169" s="617">
        <f>'10 - CUSTOS UN'!$J$255</f>
        <v>2750.0266666666666</v>
      </c>
      <c r="J169" s="617"/>
      <c r="K169" s="30">
        <f>(I169/12)*G169</f>
        <v>1375.0133333333333</v>
      </c>
      <c r="M169" s="858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</row>
    <row r="170" spans="2:23" x14ac:dyDescent="0.25">
      <c r="B170" s="622" t="s">
        <v>429</v>
      </c>
      <c r="C170" s="622"/>
      <c r="D170" s="622"/>
      <c r="E170" s="622"/>
      <c r="F170" s="622"/>
      <c r="G170" s="8">
        <f>G169</f>
        <v>6</v>
      </c>
      <c r="H170" s="8" t="s">
        <v>229</v>
      </c>
      <c r="I170" s="617">
        <f>'10 - CUSTOS UN'!$J$233</f>
        <v>57.093333333333334</v>
      </c>
      <c r="J170" s="617"/>
      <c r="K170" s="30">
        <f>I170*G170</f>
        <v>342.56</v>
      </c>
      <c r="M170" s="858"/>
      <c r="N170" s="36"/>
      <c r="O170" s="36"/>
      <c r="P170" s="36"/>
      <c r="Q170" s="36"/>
      <c r="R170" s="119"/>
      <c r="S170" s="119"/>
      <c r="T170" s="119"/>
      <c r="U170" s="119"/>
      <c r="V170" s="119"/>
      <c r="W170" s="119"/>
    </row>
    <row r="171" spans="2:23" x14ac:dyDescent="0.25">
      <c r="B171" s="624" t="s">
        <v>249</v>
      </c>
      <c r="C171" s="624"/>
      <c r="D171" s="624"/>
      <c r="E171" s="624"/>
      <c r="F171" s="624"/>
      <c r="G171" s="161">
        <f>G170</f>
        <v>6</v>
      </c>
      <c r="H171" s="161" t="s">
        <v>129</v>
      </c>
      <c r="I171" s="625">
        <f>SUM(K166:K170)/G171</f>
        <v>525.39638888888896</v>
      </c>
      <c r="J171" s="625"/>
      <c r="K171" s="150">
        <f>I171*G171</f>
        <v>3152.378333333334</v>
      </c>
      <c r="M171" s="858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</row>
    <row r="172" spans="2:23" x14ac:dyDescent="0.25"/>
    <row r="173" spans="2:23" x14ac:dyDescent="0.25">
      <c r="B173" s="609" t="s">
        <v>739</v>
      </c>
      <c r="C173" s="609"/>
      <c r="D173" s="609"/>
      <c r="E173" s="609"/>
      <c r="F173" s="609"/>
      <c r="G173" s="609"/>
      <c r="H173" s="609"/>
      <c r="I173" s="609"/>
      <c r="J173" s="609"/>
      <c r="K173" s="609"/>
      <c r="T173" s="120"/>
      <c r="U173" s="120"/>
      <c r="V173" s="120"/>
      <c r="W173" s="120"/>
    </row>
    <row r="174" spans="2:23" x14ac:dyDescent="0.25">
      <c r="B174" s="605" t="s">
        <v>174</v>
      </c>
      <c r="C174" s="605"/>
      <c r="D174" s="605"/>
      <c r="E174" s="605"/>
      <c r="F174" s="605"/>
      <c r="G174" s="223" t="s">
        <v>128</v>
      </c>
      <c r="H174" s="138" t="s">
        <v>129</v>
      </c>
      <c r="I174" s="605" t="s">
        <v>226</v>
      </c>
      <c r="J174" s="605"/>
      <c r="K174" s="138" t="s">
        <v>209</v>
      </c>
    </row>
    <row r="175" spans="2:23" x14ac:dyDescent="0.25">
      <c r="B175" s="620" t="s">
        <v>252</v>
      </c>
      <c r="C175" s="620"/>
      <c r="D175" s="620"/>
      <c r="E175" s="620"/>
      <c r="F175" s="620"/>
      <c r="G175" s="557">
        <f>15600/6</f>
        <v>2600</v>
      </c>
      <c r="H175" s="8" t="s">
        <v>253</v>
      </c>
      <c r="I175" s="641"/>
      <c r="J175" s="641"/>
      <c r="K175" s="11"/>
      <c r="N175" s="120"/>
      <c r="O175" s="120"/>
      <c r="P175" s="120"/>
      <c r="Q175" s="120"/>
      <c r="R175" s="120"/>
      <c r="S175" s="120"/>
      <c r="T175" s="120"/>
      <c r="U175" s="120"/>
      <c r="V175" s="120"/>
      <c r="W175" s="120"/>
    </row>
    <row r="176" spans="2:23" x14ac:dyDescent="0.25">
      <c r="B176" s="622" t="s">
        <v>431</v>
      </c>
      <c r="C176" s="622"/>
      <c r="D176" s="622"/>
      <c r="E176" s="622"/>
      <c r="F176" s="622"/>
      <c r="G176" s="8">
        <v>2</v>
      </c>
      <c r="H176" s="8" t="s">
        <v>432</v>
      </c>
      <c r="I176" s="642"/>
      <c r="J176" s="642"/>
      <c r="K176" s="176"/>
      <c r="N176" s="120"/>
      <c r="O176" s="120"/>
      <c r="P176" s="120"/>
      <c r="Q176" s="120"/>
      <c r="R176" s="120"/>
      <c r="S176" s="120"/>
      <c r="T176" s="120"/>
      <c r="U176" s="120"/>
      <c r="V176" s="120"/>
      <c r="W176" s="120"/>
    </row>
    <row r="177" spans="2:23" ht="17.25" x14ac:dyDescent="0.25">
      <c r="B177" s="622" t="s">
        <v>615</v>
      </c>
      <c r="C177" s="622"/>
      <c r="D177" s="622"/>
      <c r="E177" s="622"/>
      <c r="F177" s="622"/>
      <c r="G177" s="8">
        <v>1</v>
      </c>
      <c r="H177" s="8" t="s">
        <v>258</v>
      </c>
      <c r="I177" s="634">
        <v>7.24</v>
      </c>
      <c r="J177" s="634"/>
      <c r="K177" s="30"/>
    </row>
    <row r="178" spans="2:23" x14ac:dyDescent="0.25">
      <c r="B178" s="627" t="s">
        <v>434</v>
      </c>
      <c r="C178" s="627"/>
      <c r="D178" s="627"/>
      <c r="E178" s="627"/>
      <c r="F178" s="627"/>
      <c r="G178" s="228">
        <f>G175/G176</f>
        <v>1300</v>
      </c>
      <c r="H178" s="226" t="s">
        <v>435</v>
      </c>
      <c r="I178" s="619">
        <f>I177</f>
        <v>7.24</v>
      </c>
      <c r="J178" s="619"/>
      <c r="K178" s="148">
        <f>I178*G178</f>
        <v>9412</v>
      </c>
      <c r="T178" s="120"/>
      <c r="U178" s="120"/>
      <c r="V178" s="120"/>
      <c r="W178" s="120"/>
    </row>
    <row r="179" spans="2:23" x14ac:dyDescent="0.25">
      <c r="B179" s="624" t="s">
        <v>436</v>
      </c>
      <c r="C179" s="624"/>
      <c r="D179" s="624"/>
      <c r="E179" s="624"/>
      <c r="F179" s="624"/>
      <c r="G179" s="161">
        <f>G171</f>
        <v>6</v>
      </c>
      <c r="H179" s="161" t="s">
        <v>129</v>
      </c>
      <c r="I179" s="625">
        <f>K178</f>
        <v>9412</v>
      </c>
      <c r="J179" s="625"/>
      <c r="K179" s="150">
        <f>I179*G179</f>
        <v>56472</v>
      </c>
    </row>
    <row r="180" spans="2:23" ht="15" customHeight="1" x14ac:dyDescent="0.25">
      <c r="B180" s="640" t="s">
        <v>437</v>
      </c>
      <c r="C180" s="640"/>
      <c r="D180" s="640"/>
      <c r="E180" s="640"/>
      <c r="F180" s="640"/>
      <c r="G180" s="640"/>
      <c r="H180" s="640"/>
      <c r="I180" s="640"/>
      <c r="J180" s="640"/>
      <c r="K180" s="640"/>
      <c r="N180" s="120"/>
      <c r="O180" s="120"/>
      <c r="P180" s="120"/>
      <c r="Q180" s="120"/>
      <c r="R180" s="120"/>
      <c r="S180" s="120"/>
      <c r="T180" s="120"/>
      <c r="U180" s="120"/>
      <c r="V180" s="120"/>
      <c r="W180" s="120"/>
    </row>
    <row r="181" spans="2:23" x14ac:dyDescent="0.25">
      <c r="B181" s="120"/>
      <c r="C181" s="120"/>
      <c r="D181" s="120"/>
      <c r="E181" s="120"/>
      <c r="F181" s="120"/>
      <c r="G181" s="1"/>
      <c r="H181" s="1"/>
      <c r="I181" s="124"/>
      <c r="J181" s="124"/>
      <c r="K181" s="129"/>
      <c r="N181" s="120"/>
      <c r="O181" s="120"/>
      <c r="P181" s="120"/>
      <c r="Q181" s="120"/>
      <c r="R181" s="120"/>
      <c r="S181" s="120"/>
      <c r="T181" s="120"/>
      <c r="U181" s="120"/>
      <c r="V181" s="120"/>
      <c r="W181" s="120"/>
    </row>
    <row r="182" spans="2:23" x14ac:dyDescent="0.25">
      <c r="B182" s="609" t="s">
        <v>740</v>
      </c>
      <c r="C182" s="609"/>
      <c r="D182" s="609"/>
      <c r="E182" s="609"/>
      <c r="F182" s="609"/>
      <c r="G182" s="609"/>
      <c r="H182" s="609"/>
      <c r="I182" s="609"/>
      <c r="J182" s="609"/>
      <c r="K182" s="609"/>
      <c r="N182" s="120"/>
      <c r="O182" s="120"/>
      <c r="P182" s="120"/>
      <c r="Q182" s="120"/>
      <c r="R182" s="120"/>
      <c r="S182" s="120"/>
      <c r="T182" s="120"/>
      <c r="U182" s="120"/>
      <c r="V182" s="120"/>
      <c r="W182" s="120"/>
    </row>
    <row r="183" spans="2:23" x14ac:dyDescent="0.25">
      <c r="B183" s="605" t="s">
        <v>174</v>
      </c>
      <c r="C183" s="605"/>
      <c r="D183" s="605"/>
      <c r="E183" s="605"/>
      <c r="F183" s="605"/>
      <c r="G183" s="223" t="s">
        <v>128</v>
      </c>
      <c r="H183" s="138" t="s">
        <v>129</v>
      </c>
      <c r="I183" s="605" t="s">
        <v>226</v>
      </c>
      <c r="J183" s="605"/>
      <c r="K183" s="138" t="s">
        <v>227</v>
      </c>
      <c r="N183" s="120"/>
      <c r="O183" s="120"/>
      <c r="P183" s="120"/>
      <c r="Q183" s="120"/>
      <c r="R183" s="120"/>
      <c r="S183" s="120"/>
      <c r="T183" s="120"/>
      <c r="U183" s="120"/>
      <c r="V183" s="120"/>
      <c r="W183" s="120"/>
    </row>
    <row r="184" spans="2:23" x14ac:dyDescent="0.25">
      <c r="B184" s="620" t="s">
        <v>439</v>
      </c>
      <c r="C184" s="620"/>
      <c r="D184" s="620"/>
      <c r="E184" s="620"/>
      <c r="F184" s="620"/>
      <c r="G184" s="8">
        <v>2</v>
      </c>
      <c r="H184" s="8" t="s">
        <v>440</v>
      </c>
      <c r="I184" s="621">
        <f>'10 - CUSTOS UN'!$J$216</f>
        <v>20.973333333333333</v>
      </c>
      <c r="J184" s="621"/>
      <c r="K184" s="30">
        <f>I184*G184</f>
        <v>41.946666666666665</v>
      </c>
      <c r="N184" s="120"/>
      <c r="O184" s="120"/>
      <c r="P184" s="120"/>
      <c r="Q184" s="120"/>
      <c r="R184" s="120"/>
      <c r="S184" s="120"/>
      <c r="T184" s="120"/>
      <c r="U184" s="120"/>
      <c r="V184" s="120"/>
      <c r="W184" s="120"/>
    </row>
    <row r="185" spans="2:23" x14ac:dyDescent="0.25">
      <c r="B185" s="630" t="s">
        <v>441</v>
      </c>
      <c r="C185" s="630"/>
      <c r="D185" s="630"/>
      <c r="E185" s="630"/>
      <c r="F185" s="630"/>
      <c r="G185" s="229">
        <f>G175</f>
        <v>2600</v>
      </c>
      <c r="H185" s="25" t="s">
        <v>253</v>
      </c>
      <c r="I185" s="631">
        <f>K184/1000</f>
        <v>4.1946666666666667E-2</v>
      </c>
      <c r="J185" s="631"/>
      <c r="K185" s="127">
        <f>I185*G185</f>
        <v>109.06133333333334</v>
      </c>
      <c r="N185" s="120"/>
      <c r="O185" s="120"/>
      <c r="P185" s="120"/>
      <c r="Q185" s="120"/>
      <c r="R185" s="120"/>
      <c r="S185" s="120"/>
      <c r="T185" s="120"/>
      <c r="U185" s="120"/>
      <c r="V185" s="120"/>
      <c r="W185" s="120"/>
    </row>
    <row r="186" spans="2:23" x14ac:dyDescent="0.25">
      <c r="B186" s="622" t="s">
        <v>442</v>
      </c>
      <c r="C186" s="622"/>
      <c r="D186" s="622"/>
      <c r="E186" s="622"/>
      <c r="F186" s="622"/>
      <c r="G186" s="125">
        <v>0.5</v>
      </c>
      <c r="H186" s="8" t="s">
        <v>440</v>
      </c>
      <c r="I186" s="617">
        <f>'10 - CUSTOS UN'!$J$219</f>
        <v>34.336666666666666</v>
      </c>
      <c r="J186" s="617"/>
      <c r="K186" s="30">
        <f>G186*I186</f>
        <v>17.168333333333333</v>
      </c>
      <c r="N186" s="120"/>
      <c r="O186" s="120"/>
      <c r="P186" s="120"/>
      <c r="Q186" s="120"/>
      <c r="R186" s="120"/>
      <c r="S186" s="120"/>
      <c r="T186" s="120"/>
      <c r="U186" s="120"/>
      <c r="V186" s="120"/>
      <c r="W186" s="120"/>
    </row>
    <row r="187" spans="2:23" x14ac:dyDescent="0.25">
      <c r="B187" s="630" t="s">
        <v>443</v>
      </c>
      <c r="C187" s="630"/>
      <c r="D187" s="630"/>
      <c r="E187" s="630"/>
      <c r="F187" s="630"/>
      <c r="G187" s="229">
        <f>G175</f>
        <v>2600</v>
      </c>
      <c r="H187" s="25" t="s">
        <v>253</v>
      </c>
      <c r="I187" s="631">
        <f>K186/1000</f>
        <v>1.7168333333333334E-2</v>
      </c>
      <c r="J187" s="631"/>
      <c r="K187" s="127">
        <f>I187*G187</f>
        <v>44.637666666666668</v>
      </c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</row>
    <row r="188" spans="2:23" x14ac:dyDescent="0.25">
      <c r="B188" s="622" t="s">
        <v>444</v>
      </c>
      <c r="C188" s="622"/>
      <c r="D188" s="622"/>
      <c r="E188" s="622"/>
      <c r="F188" s="622"/>
      <c r="G188" s="230">
        <f>I189/I188*1000</f>
        <v>6.4102564102564106</v>
      </c>
      <c r="H188" s="8" t="s">
        <v>440</v>
      </c>
      <c r="I188" s="617">
        <f>'10 - CUSTOS UN'!$J$225</f>
        <v>25.786666666666665</v>
      </c>
      <c r="J188" s="617"/>
      <c r="K188" s="30">
        <f>I188*G188</f>
        <v>165.29914529914529</v>
      </c>
      <c r="N188" s="120"/>
      <c r="O188" s="120"/>
      <c r="P188" s="120"/>
      <c r="Q188" s="120"/>
      <c r="R188" s="120"/>
      <c r="S188" s="120"/>
      <c r="T188" s="120"/>
      <c r="U188" s="120"/>
      <c r="V188" s="120"/>
      <c r="W188" s="120"/>
    </row>
    <row r="189" spans="2:23" x14ac:dyDescent="0.25">
      <c r="B189" s="630" t="s">
        <v>445</v>
      </c>
      <c r="C189" s="630"/>
      <c r="D189" s="630"/>
      <c r="E189" s="630"/>
      <c r="F189" s="630"/>
      <c r="G189" s="229">
        <f>G175</f>
        <v>2600</v>
      </c>
      <c r="H189" s="25" t="s">
        <v>253</v>
      </c>
      <c r="I189" s="631">
        <f>K189/G189</f>
        <v>0.1652991452991453</v>
      </c>
      <c r="J189" s="631"/>
      <c r="K189" s="127">
        <f>200/12*I188</f>
        <v>429.77777777777777</v>
      </c>
      <c r="M189" s="547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</row>
    <row r="190" spans="2:23" x14ac:dyDescent="0.25">
      <c r="B190" s="622" t="s">
        <v>446</v>
      </c>
      <c r="C190" s="622"/>
      <c r="D190" s="622"/>
      <c r="E190" s="622"/>
      <c r="F190" s="622"/>
      <c r="G190" s="8">
        <v>2</v>
      </c>
      <c r="H190" s="8" t="s">
        <v>447</v>
      </c>
      <c r="I190" s="617">
        <f>'10 - CUSTOS UN'!$J$228</f>
        <v>43.276666666666664</v>
      </c>
      <c r="J190" s="617"/>
      <c r="K190" s="30">
        <f>I190*G190</f>
        <v>86.553333333333327</v>
      </c>
      <c r="M190" s="547"/>
      <c r="N190" s="36"/>
      <c r="O190" s="36"/>
      <c r="P190" s="36"/>
      <c r="Q190" s="36"/>
      <c r="R190" s="119"/>
      <c r="S190" s="119"/>
      <c r="T190" s="119"/>
      <c r="U190" s="119"/>
      <c r="V190" s="119"/>
      <c r="W190" s="119"/>
    </row>
    <row r="191" spans="2:23" x14ac:dyDescent="0.25">
      <c r="B191" s="627" t="s">
        <v>448</v>
      </c>
      <c r="C191" s="627"/>
      <c r="D191" s="627"/>
      <c r="E191" s="627"/>
      <c r="F191" s="627"/>
      <c r="G191" s="228">
        <f>G175</f>
        <v>2600</v>
      </c>
      <c r="H191" s="226" t="s">
        <v>253</v>
      </c>
      <c r="I191" s="619">
        <f>K190/1000</f>
        <v>8.6553333333333329E-2</v>
      </c>
      <c r="J191" s="619"/>
      <c r="K191" s="148">
        <f>I191*G191</f>
        <v>225.03866666666664</v>
      </c>
      <c r="N191" s="120"/>
      <c r="O191" s="120"/>
      <c r="P191" s="120"/>
      <c r="Q191" s="120"/>
      <c r="R191" s="120"/>
      <c r="S191" s="120"/>
      <c r="T191" s="120"/>
      <c r="U191" s="120"/>
      <c r="V191" s="120"/>
      <c r="W191" s="120"/>
    </row>
    <row r="192" spans="2:23" x14ac:dyDescent="0.25">
      <c r="B192" s="624" t="s">
        <v>449</v>
      </c>
      <c r="C192" s="624"/>
      <c r="D192" s="624"/>
      <c r="E192" s="624"/>
      <c r="F192" s="624"/>
      <c r="G192" s="161">
        <f>G179</f>
        <v>6</v>
      </c>
      <c r="H192" s="161" t="s">
        <v>129</v>
      </c>
      <c r="I192" s="625">
        <f>SUM(K185,K187,K189,K191)</f>
        <v>808.51544444444448</v>
      </c>
      <c r="J192" s="625"/>
      <c r="K192" s="150">
        <f>I192*G192</f>
        <v>4851.0926666666674</v>
      </c>
    </row>
    <row r="193" spans="2:23" x14ac:dyDescent="0.25">
      <c r="B193" s="119"/>
      <c r="C193" s="119"/>
      <c r="D193" s="119"/>
      <c r="E193" s="119"/>
      <c r="F193" s="119"/>
      <c r="G193" s="119"/>
      <c r="H193" s="119"/>
      <c r="I193" s="119"/>
      <c r="J193" s="119"/>
      <c r="K193" s="119"/>
      <c r="N193" s="120"/>
      <c r="O193" s="120"/>
      <c r="P193" s="120"/>
      <c r="Q193" s="120"/>
      <c r="R193" s="120"/>
      <c r="S193" s="120"/>
      <c r="T193" s="120"/>
      <c r="U193" s="120"/>
      <c r="V193" s="120"/>
      <c r="W193" s="120"/>
    </row>
    <row r="194" spans="2:23" x14ac:dyDescent="0.25">
      <c r="B194" s="609" t="s">
        <v>741</v>
      </c>
      <c r="C194" s="609"/>
      <c r="D194" s="609"/>
      <c r="E194" s="609"/>
      <c r="F194" s="609"/>
      <c r="G194" s="609"/>
      <c r="H194" s="609"/>
      <c r="I194" s="609"/>
      <c r="J194" s="609"/>
      <c r="K194" s="609"/>
    </row>
    <row r="195" spans="2:23" x14ac:dyDescent="0.25">
      <c r="B195" s="605" t="s">
        <v>174</v>
      </c>
      <c r="C195" s="605"/>
      <c r="D195" s="605"/>
      <c r="E195" s="605"/>
      <c r="F195" s="605"/>
      <c r="G195" s="223" t="s">
        <v>128</v>
      </c>
      <c r="H195" s="138" t="s">
        <v>129</v>
      </c>
      <c r="I195" s="605" t="s">
        <v>226</v>
      </c>
      <c r="J195" s="605"/>
      <c r="K195" s="138" t="s">
        <v>227</v>
      </c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</row>
    <row r="196" spans="2:23" x14ac:dyDescent="0.25">
      <c r="B196" s="620" t="s">
        <v>451</v>
      </c>
      <c r="C196" s="620"/>
      <c r="D196" s="620"/>
      <c r="E196" s="620"/>
      <c r="F196" s="620"/>
      <c r="G196" s="8">
        <v>6</v>
      </c>
      <c r="H196" s="8" t="s">
        <v>229</v>
      </c>
      <c r="I196" s="629">
        <f>'10 - CUSTOS UN'!J207</f>
        <v>2090.67</v>
      </c>
      <c r="J196" s="629"/>
      <c r="K196" s="47">
        <f>I196*G196</f>
        <v>12544.02</v>
      </c>
      <c r="R196" s="120"/>
      <c r="T196" s="120"/>
      <c r="U196" s="120"/>
      <c r="V196" s="120"/>
      <c r="W196" s="120"/>
    </row>
    <row r="197" spans="2:23" x14ac:dyDescent="0.25">
      <c r="B197" s="622" t="s">
        <v>452</v>
      </c>
      <c r="C197" s="622"/>
      <c r="D197" s="622"/>
      <c r="E197" s="622"/>
      <c r="F197" s="622"/>
      <c r="G197" s="8">
        <v>3</v>
      </c>
      <c r="H197" s="8" t="s">
        <v>229</v>
      </c>
      <c r="I197" s="616"/>
      <c r="J197" s="616"/>
      <c r="K197" s="158"/>
      <c r="N197" s="120"/>
      <c r="O197" s="120"/>
      <c r="P197" s="120"/>
      <c r="Q197" s="120"/>
      <c r="S197" s="120"/>
    </row>
    <row r="198" spans="2:23" x14ac:dyDescent="0.25">
      <c r="B198" s="622" t="s">
        <v>453</v>
      </c>
      <c r="C198" s="622"/>
      <c r="D198" s="622"/>
      <c r="E198" s="622"/>
      <c r="F198" s="622"/>
      <c r="G198" s="8">
        <f>G197*G196</f>
        <v>18</v>
      </c>
      <c r="H198" s="8" t="s">
        <v>229</v>
      </c>
      <c r="I198" s="634">
        <f>'10 - CUSTOS UN'!J258</f>
        <v>550.83750000000009</v>
      </c>
      <c r="J198" s="634"/>
      <c r="K198" s="30">
        <f>I198*G198</f>
        <v>9915.0750000000007</v>
      </c>
    </row>
    <row r="199" spans="2:23" x14ac:dyDescent="0.25">
      <c r="B199" s="622" t="s">
        <v>272</v>
      </c>
      <c r="C199" s="622"/>
      <c r="D199" s="622"/>
      <c r="E199" s="622"/>
      <c r="F199" s="622"/>
      <c r="G199" s="10">
        <v>20000</v>
      </c>
      <c r="H199" s="8" t="s">
        <v>260</v>
      </c>
      <c r="I199" s="616"/>
      <c r="J199" s="616"/>
      <c r="K199" s="158"/>
      <c r="N199" s="120"/>
      <c r="O199" s="120"/>
      <c r="P199" s="120"/>
      <c r="Q199" s="120"/>
      <c r="S199" s="120"/>
    </row>
    <row r="200" spans="2:23" x14ac:dyDescent="0.25">
      <c r="B200" s="622" t="s">
        <v>454</v>
      </c>
      <c r="C200" s="622"/>
      <c r="D200" s="622"/>
      <c r="E200" s="622"/>
      <c r="F200" s="622"/>
      <c r="G200" s="10">
        <v>15000</v>
      </c>
      <c r="H200" s="8" t="s">
        <v>260</v>
      </c>
      <c r="I200" s="616"/>
      <c r="J200" s="616"/>
      <c r="K200" s="158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</row>
    <row r="201" spans="2:23" x14ac:dyDescent="0.25">
      <c r="B201" s="622" t="s">
        <v>455</v>
      </c>
      <c r="C201" s="622"/>
      <c r="D201" s="622"/>
      <c r="E201" s="622"/>
      <c r="F201" s="622"/>
      <c r="G201" s="10">
        <f>G199+G200*G197</f>
        <v>65000</v>
      </c>
      <c r="H201" s="8" t="s">
        <v>274</v>
      </c>
      <c r="I201" s="617">
        <f>K198+K196</f>
        <v>22459.095000000001</v>
      </c>
      <c r="J201" s="617"/>
      <c r="K201" s="30">
        <f>I201/G201</f>
        <v>0.34552453846153847</v>
      </c>
    </row>
    <row r="202" spans="2:23" x14ac:dyDescent="0.25">
      <c r="B202" s="627" t="s">
        <v>275</v>
      </c>
      <c r="C202" s="627"/>
      <c r="D202" s="627"/>
      <c r="E202" s="627"/>
      <c r="F202" s="627"/>
      <c r="G202" s="228">
        <f>G175</f>
        <v>2600</v>
      </c>
      <c r="H202" s="226" t="s">
        <v>260</v>
      </c>
      <c r="I202" s="619">
        <f>K201</f>
        <v>0.34552453846153847</v>
      </c>
      <c r="J202" s="619"/>
      <c r="K202" s="148">
        <f>I202*G202</f>
        <v>898.36379999999997</v>
      </c>
      <c r="N202" s="120"/>
      <c r="O202" s="120"/>
      <c r="P202" s="120"/>
      <c r="Q202" s="120"/>
      <c r="R202" s="120"/>
      <c r="S202" s="120"/>
      <c r="T202" s="120"/>
      <c r="U202" s="120"/>
      <c r="V202" s="120"/>
      <c r="W202" s="120"/>
    </row>
    <row r="203" spans="2:23" x14ac:dyDescent="0.25">
      <c r="B203" s="624" t="s">
        <v>276</v>
      </c>
      <c r="C203" s="624"/>
      <c r="D203" s="624"/>
      <c r="E203" s="624"/>
      <c r="F203" s="624"/>
      <c r="G203" s="161">
        <f>G192</f>
        <v>6</v>
      </c>
      <c r="H203" s="161" t="s">
        <v>129</v>
      </c>
      <c r="I203" s="625">
        <f>K202</f>
        <v>898.36379999999997</v>
      </c>
      <c r="J203" s="625"/>
      <c r="K203" s="150">
        <f>I203*G203</f>
        <v>5390.1827999999996</v>
      </c>
    </row>
    <row r="204" spans="2:23" x14ac:dyDescent="0.25">
      <c r="B204" s="120"/>
      <c r="C204" s="120"/>
      <c r="D204" s="120"/>
      <c r="E204" s="120"/>
      <c r="F204" s="120"/>
      <c r="G204" s="1"/>
      <c r="H204" s="1"/>
      <c r="I204" s="124"/>
      <c r="J204" s="124"/>
      <c r="K204" s="129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</row>
    <row r="205" spans="2:23" x14ac:dyDescent="0.25">
      <c r="B205" s="609" t="s">
        <v>742</v>
      </c>
      <c r="C205" s="609"/>
      <c r="D205" s="609"/>
      <c r="E205" s="609"/>
      <c r="F205" s="609"/>
      <c r="G205" s="609"/>
      <c r="H205" s="609"/>
      <c r="I205" s="609"/>
      <c r="J205" s="609"/>
      <c r="K205" s="609"/>
      <c r="R205" s="120"/>
      <c r="T205" s="120"/>
      <c r="U205" s="120"/>
      <c r="V205" s="120"/>
      <c r="W205" s="120"/>
    </row>
    <row r="206" spans="2:23" x14ac:dyDescent="0.25">
      <c r="B206" s="605" t="s">
        <v>174</v>
      </c>
      <c r="C206" s="605"/>
      <c r="D206" s="605"/>
      <c r="E206" s="605"/>
      <c r="F206" s="605"/>
      <c r="G206" s="223" t="s">
        <v>128</v>
      </c>
      <c r="H206" s="138" t="s">
        <v>129</v>
      </c>
      <c r="I206" s="605" t="s">
        <v>226</v>
      </c>
      <c r="J206" s="605"/>
      <c r="K206" s="138" t="s">
        <v>209</v>
      </c>
      <c r="N206" s="120"/>
      <c r="O206" s="120"/>
      <c r="P206" s="120"/>
      <c r="Q206" s="120"/>
      <c r="S206" s="120"/>
    </row>
    <row r="207" spans="2:23" x14ac:dyDescent="0.25">
      <c r="B207" s="610" t="s">
        <v>743</v>
      </c>
      <c r="C207" s="610"/>
      <c r="D207" s="610"/>
      <c r="E207" s="610"/>
      <c r="F207" s="610"/>
      <c r="G207" s="347">
        <f>G175</f>
        <v>2600</v>
      </c>
      <c r="H207" s="348" t="s">
        <v>253</v>
      </c>
      <c r="I207" s="857">
        <v>1.18</v>
      </c>
      <c r="J207" s="857"/>
      <c r="K207" s="234">
        <f>I207*G207</f>
        <v>3068</v>
      </c>
    </row>
    <row r="208" spans="2:23" x14ac:dyDescent="0.25">
      <c r="B208" s="624" t="s">
        <v>458</v>
      </c>
      <c r="C208" s="624"/>
      <c r="D208" s="624"/>
      <c r="E208" s="624"/>
      <c r="F208" s="624"/>
      <c r="G208" s="161">
        <f>G203</f>
        <v>6</v>
      </c>
      <c r="H208" s="161" t="s">
        <v>129</v>
      </c>
      <c r="I208" s="625">
        <f>K207</f>
        <v>3068</v>
      </c>
      <c r="J208" s="625"/>
      <c r="K208" s="150">
        <f>I208*G208</f>
        <v>18408</v>
      </c>
      <c r="N208" s="120"/>
      <c r="O208" s="120"/>
      <c r="P208" s="120"/>
      <c r="Q208" s="120"/>
      <c r="S208" s="120"/>
    </row>
    <row r="209" spans="2:30" ht="15" customHeight="1" x14ac:dyDescent="0.25">
      <c r="B209" s="764" t="s">
        <v>459</v>
      </c>
      <c r="C209" s="764"/>
      <c r="D209" s="764"/>
      <c r="E209" s="764"/>
      <c r="F209" s="764"/>
      <c r="G209" s="764"/>
      <c r="H209" s="764"/>
      <c r="I209" s="764"/>
      <c r="J209" s="764"/>
      <c r="K209" s="764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</row>
    <row r="210" spans="2:30" x14ac:dyDescent="0.25">
      <c r="B210" s="764"/>
      <c r="C210" s="764"/>
      <c r="D210" s="764"/>
      <c r="E210" s="764"/>
      <c r="F210" s="764"/>
      <c r="G210" s="764"/>
      <c r="H210" s="764"/>
      <c r="I210" s="764"/>
      <c r="J210" s="764"/>
      <c r="K210" s="764"/>
      <c r="M210" s="547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</row>
    <row r="211" spans="2:30" x14ac:dyDescent="0.25">
      <c r="B211" s="764"/>
      <c r="C211" s="764"/>
      <c r="D211" s="764"/>
      <c r="E211" s="764"/>
      <c r="F211" s="764"/>
      <c r="G211" s="764"/>
      <c r="H211" s="764"/>
      <c r="I211" s="764"/>
      <c r="J211" s="764"/>
      <c r="K211" s="764"/>
      <c r="M211" s="547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</row>
    <row r="212" spans="2:30" x14ac:dyDescent="0.25">
      <c r="B212" s="119"/>
      <c r="C212" s="119"/>
      <c r="D212" s="119"/>
      <c r="E212" s="119"/>
      <c r="F212" s="119"/>
      <c r="G212" s="119"/>
      <c r="H212" s="119"/>
      <c r="I212" s="119"/>
      <c r="J212" s="119"/>
      <c r="K212" s="119"/>
      <c r="N212" s="120"/>
      <c r="O212" s="120"/>
      <c r="P212" s="120"/>
      <c r="Q212" s="120"/>
      <c r="R212" s="120"/>
      <c r="S212" s="120"/>
      <c r="T212" s="120"/>
      <c r="U212" s="120"/>
      <c r="V212" s="120"/>
      <c r="W212" s="120"/>
    </row>
    <row r="213" spans="2:30" x14ac:dyDescent="0.25">
      <c r="B213" s="614" t="s">
        <v>744</v>
      </c>
      <c r="C213" s="614"/>
      <c r="D213" s="614"/>
      <c r="E213" s="614"/>
      <c r="F213" s="614"/>
      <c r="G213" s="614"/>
      <c r="H213" s="614"/>
      <c r="I213" s="614"/>
      <c r="J213" s="614"/>
      <c r="K213" s="182">
        <f>SUM(I208,K202,I192,I179,I171,K158,K143)</f>
        <v>20362.440563562093</v>
      </c>
    </row>
    <row r="214" spans="2:30" x14ac:dyDescent="0.25">
      <c r="B214" s="614" t="s">
        <v>289</v>
      </c>
      <c r="C214" s="614"/>
      <c r="D214" s="614"/>
      <c r="E214" s="614"/>
      <c r="F214" s="614"/>
      <c r="G214" s="614"/>
      <c r="H214" s="614"/>
      <c r="I214" s="614"/>
      <c r="J214" s="614"/>
      <c r="K214" s="182">
        <f>SUM(K208,K203,K192,K179,K171,K159,K144)</f>
        <v>122174.64338137255</v>
      </c>
      <c r="N214" s="120"/>
      <c r="O214" s="120"/>
      <c r="P214" s="120"/>
      <c r="Q214" s="120"/>
      <c r="R214" s="120"/>
      <c r="S214" s="120"/>
      <c r="T214" s="120"/>
      <c r="U214" s="120"/>
      <c r="V214" s="120"/>
      <c r="W214" s="120"/>
      <c r="AD214" s="14"/>
    </row>
    <row r="215" spans="2:30" x14ac:dyDescent="0.25">
      <c r="B215" s="119"/>
      <c r="C215" s="119"/>
      <c r="D215" s="119"/>
      <c r="E215" s="119"/>
      <c r="F215" s="119"/>
      <c r="G215" s="119"/>
      <c r="H215" s="119"/>
      <c r="I215" s="119"/>
      <c r="J215" s="119"/>
      <c r="K215" s="119"/>
      <c r="AD215" s="14"/>
    </row>
    <row r="216" spans="2:30" x14ac:dyDescent="0.25">
      <c r="B216" s="626" t="s">
        <v>745</v>
      </c>
      <c r="C216" s="626"/>
      <c r="D216" s="626"/>
      <c r="E216" s="626"/>
      <c r="F216" s="626"/>
      <c r="G216" s="626"/>
      <c r="H216" s="626"/>
      <c r="I216" s="626"/>
      <c r="J216" s="626"/>
      <c r="K216" s="626"/>
      <c r="N216" s="120"/>
      <c r="O216" s="120"/>
      <c r="P216" s="120"/>
      <c r="Q216" s="120"/>
      <c r="R216" s="120"/>
      <c r="S216" s="120"/>
      <c r="T216" s="120"/>
      <c r="U216" s="120"/>
      <c r="V216" s="120"/>
      <c r="W216" s="120"/>
      <c r="AD216" s="14"/>
    </row>
    <row r="217" spans="2:30" x14ac:dyDescent="0.25">
      <c r="AD217" s="14"/>
    </row>
    <row r="218" spans="2:30" x14ac:dyDescent="0.25">
      <c r="B218" s="609" t="s">
        <v>746</v>
      </c>
      <c r="C218" s="609"/>
      <c r="D218" s="609"/>
      <c r="E218" s="609"/>
      <c r="F218" s="609"/>
      <c r="G218" s="609"/>
      <c r="H218" s="609"/>
      <c r="I218" s="609"/>
      <c r="J218" s="609"/>
      <c r="K218" s="609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AD218" s="14"/>
    </row>
    <row r="219" spans="2:30" x14ac:dyDescent="0.25">
      <c r="B219" s="223" t="s">
        <v>174</v>
      </c>
      <c r="C219" s="235"/>
      <c r="D219" s="235"/>
      <c r="E219" s="235"/>
      <c r="F219" s="236"/>
      <c r="G219" s="223" t="s">
        <v>128</v>
      </c>
      <c r="H219" s="138" t="s">
        <v>129</v>
      </c>
      <c r="I219" s="605" t="s">
        <v>226</v>
      </c>
      <c r="J219" s="605"/>
      <c r="K219" s="138" t="s">
        <v>227</v>
      </c>
      <c r="R219" s="120"/>
      <c r="T219" s="120"/>
      <c r="U219" s="120"/>
      <c r="V219" s="120"/>
      <c r="W219" s="120"/>
      <c r="AD219" s="14"/>
    </row>
    <row r="220" spans="2:30" x14ac:dyDescent="0.25">
      <c r="B220" s="620" t="s">
        <v>228</v>
      </c>
      <c r="C220" s="620"/>
      <c r="D220" s="620"/>
      <c r="E220" s="620"/>
      <c r="F220" s="620"/>
      <c r="G220" s="555">
        <v>1</v>
      </c>
      <c r="H220" s="125" t="s">
        <v>129</v>
      </c>
      <c r="I220" s="621">
        <f>I133</f>
        <v>276034</v>
      </c>
      <c r="J220" s="621"/>
      <c r="K220" s="224">
        <f>I220*G220</f>
        <v>276034</v>
      </c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AD220" s="14"/>
    </row>
    <row r="221" spans="2:30" x14ac:dyDescent="0.25">
      <c r="B221" s="622" t="s">
        <v>230</v>
      </c>
      <c r="C221" s="622"/>
      <c r="D221" s="622"/>
      <c r="E221" s="622"/>
      <c r="F221" s="622"/>
      <c r="G221" s="8">
        <v>7</v>
      </c>
      <c r="H221" s="8" t="s">
        <v>231</v>
      </c>
      <c r="I221" s="616"/>
      <c r="J221" s="616"/>
      <c r="K221" s="158"/>
      <c r="AD221" s="14"/>
    </row>
    <row r="222" spans="2:30" x14ac:dyDescent="0.25">
      <c r="B222" s="622" t="s">
        <v>232</v>
      </c>
      <c r="C222" s="622"/>
      <c r="D222" s="622"/>
      <c r="E222" s="622"/>
      <c r="F222" s="622"/>
      <c r="G222" s="8">
        <v>6</v>
      </c>
      <c r="H222" s="8" t="s">
        <v>231</v>
      </c>
      <c r="I222" s="616"/>
      <c r="J222" s="616"/>
      <c r="K222" s="158"/>
      <c r="N222" s="120"/>
      <c r="O222" s="120"/>
      <c r="P222" s="120"/>
      <c r="Q222" s="120"/>
      <c r="R222" s="120"/>
      <c r="S222" s="120"/>
      <c r="T222" s="120"/>
      <c r="U222" s="120"/>
      <c r="V222" s="120"/>
      <c r="W222" s="120"/>
      <c r="AD222" s="14"/>
    </row>
    <row r="223" spans="2:30" x14ac:dyDescent="0.25">
      <c r="B223" s="615" t="s">
        <v>233</v>
      </c>
      <c r="C223" s="615"/>
      <c r="D223" s="615"/>
      <c r="E223" s="615"/>
      <c r="F223" s="615"/>
      <c r="G223" s="225">
        <v>80</v>
      </c>
      <c r="H223" s="8" t="s">
        <v>89</v>
      </c>
      <c r="I223" s="617">
        <f>I220</f>
        <v>276034</v>
      </c>
      <c r="J223" s="617"/>
      <c r="K223" s="30">
        <f>I223*G223/100</f>
        <v>220827.2</v>
      </c>
      <c r="AD223" s="14"/>
    </row>
    <row r="224" spans="2:30" x14ac:dyDescent="0.25">
      <c r="B224" s="618" t="s">
        <v>747</v>
      </c>
      <c r="C224" s="618"/>
      <c r="D224" s="618"/>
      <c r="E224" s="618"/>
      <c r="F224" s="618"/>
      <c r="G224" s="226">
        <f>G221*12</f>
        <v>84</v>
      </c>
      <c r="H224" s="226" t="s">
        <v>235</v>
      </c>
      <c r="I224" s="619">
        <f>K223</f>
        <v>220827.2</v>
      </c>
      <c r="J224" s="619"/>
      <c r="K224" s="148">
        <f>I224/G224</f>
        <v>2628.8952380952383</v>
      </c>
      <c r="N224" s="120"/>
      <c r="O224" s="120"/>
      <c r="P224" s="120"/>
      <c r="Q224" s="120"/>
      <c r="R224" s="120"/>
      <c r="S224" s="120"/>
      <c r="T224" s="120"/>
      <c r="U224" s="120"/>
      <c r="V224" s="120"/>
      <c r="W224" s="120"/>
      <c r="AD224" s="14"/>
    </row>
    <row r="225" spans="2:30" x14ac:dyDescent="0.25">
      <c r="B225" s="620" t="s">
        <v>748</v>
      </c>
      <c r="C225" s="620"/>
      <c r="D225" s="620"/>
      <c r="E225" s="620"/>
      <c r="F225" s="620"/>
      <c r="G225" s="125">
        <f>G220</f>
        <v>1</v>
      </c>
      <c r="H225" s="125" t="s">
        <v>129</v>
      </c>
      <c r="I225" s="621">
        <v>30000</v>
      </c>
      <c r="J225" s="621"/>
      <c r="K225" s="224">
        <f>I225*G225</f>
        <v>30000</v>
      </c>
      <c r="AD225" s="14"/>
    </row>
    <row r="226" spans="2:30" x14ac:dyDescent="0.25">
      <c r="B226" s="622" t="s">
        <v>749</v>
      </c>
      <c r="C226" s="622"/>
      <c r="D226" s="622"/>
      <c r="E226" s="622"/>
      <c r="F226" s="622"/>
      <c r="G226" s="8">
        <v>7</v>
      </c>
      <c r="H226" s="8" t="s">
        <v>231</v>
      </c>
      <c r="I226" s="616"/>
      <c r="J226" s="616"/>
      <c r="K226" s="158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AD226" s="14"/>
    </row>
    <row r="227" spans="2:30" x14ac:dyDescent="0.25">
      <c r="B227" s="622" t="s">
        <v>750</v>
      </c>
      <c r="C227" s="622"/>
      <c r="D227" s="622"/>
      <c r="E227" s="622"/>
      <c r="F227" s="622"/>
      <c r="G227" s="558">
        <v>0</v>
      </c>
      <c r="H227" s="8" t="s">
        <v>231</v>
      </c>
      <c r="I227" s="616"/>
      <c r="J227" s="616"/>
      <c r="K227" s="158"/>
      <c r="R227" s="120"/>
      <c r="T227" s="120"/>
      <c r="U227" s="120"/>
      <c r="V227" s="120"/>
      <c r="W227" s="120"/>
    </row>
    <row r="228" spans="2:30" x14ac:dyDescent="0.25">
      <c r="B228" s="615" t="s">
        <v>751</v>
      </c>
      <c r="C228" s="615"/>
      <c r="D228" s="615"/>
      <c r="E228" s="615"/>
      <c r="F228" s="615"/>
      <c r="G228" s="225">
        <v>80</v>
      </c>
      <c r="H228" s="8" t="s">
        <v>89</v>
      </c>
      <c r="I228" s="617">
        <f>I225</f>
        <v>30000</v>
      </c>
      <c r="J228" s="617"/>
      <c r="K228" s="30">
        <f>I228*G228/100</f>
        <v>24000</v>
      </c>
      <c r="N228" s="120"/>
      <c r="O228" s="120"/>
      <c r="P228" s="120"/>
      <c r="Q228" s="120"/>
      <c r="S228" s="120"/>
    </row>
    <row r="229" spans="2:30" x14ac:dyDescent="0.25">
      <c r="B229" s="618" t="s">
        <v>752</v>
      </c>
      <c r="C229" s="618"/>
      <c r="D229" s="618"/>
      <c r="E229" s="618"/>
      <c r="F229" s="618"/>
      <c r="G229" s="226">
        <f>G226*12</f>
        <v>84</v>
      </c>
      <c r="H229" s="226" t="s">
        <v>235</v>
      </c>
      <c r="I229" s="619">
        <f>K228</f>
        <v>24000</v>
      </c>
      <c r="J229" s="619"/>
      <c r="K229" s="148">
        <f>I229/G229</f>
        <v>285.71428571428572</v>
      </c>
      <c r="N229" s="120"/>
      <c r="O229" s="120"/>
      <c r="P229" s="120"/>
      <c r="Q229" s="120"/>
      <c r="S229" s="120"/>
    </row>
    <row r="230" spans="2:30" x14ac:dyDescent="0.25">
      <c r="B230" s="635" t="s">
        <v>414</v>
      </c>
      <c r="C230" s="635"/>
      <c r="D230" s="635"/>
      <c r="E230" s="635"/>
      <c r="F230" s="635"/>
      <c r="G230" s="180"/>
      <c r="H230" s="180"/>
      <c r="I230" s="636"/>
      <c r="J230" s="636"/>
      <c r="K230" s="227">
        <f>SUM(K224+K229)</f>
        <v>2914.609523809524</v>
      </c>
      <c r="N230" s="120"/>
      <c r="O230" s="120"/>
      <c r="P230" s="120"/>
      <c r="Q230" s="120"/>
      <c r="S230" s="120"/>
    </row>
    <row r="231" spans="2:30" x14ac:dyDescent="0.25">
      <c r="B231" s="612" t="s">
        <v>415</v>
      </c>
      <c r="C231" s="612"/>
      <c r="D231" s="612"/>
      <c r="E231" s="612"/>
      <c r="F231" s="612"/>
      <c r="G231" s="45">
        <v>1</v>
      </c>
      <c r="H231" s="45" t="s">
        <v>229</v>
      </c>
      <c r="I231" s="613">
        <f>K230</f>
        <v>2914.609523809524</v>
      </c>
      <c r="J231" s="613"/>
      <c r="K231" s="159">
        <f>I231*G231</f>
        <v>2914.609523809524</v>
      </c>
      <c r="N231" s="120"/>
      <c r="O231" s="120"/>
      <c r="P231" s="120"/>
      <c r="Q231" s="120"/>
      <c r="S231" s="120"/>
    </row>
    <row r="232" spans="2:30" x14ac:dyDescent="0.25">
      <c r="N232" s="120"/>
      <c r="O232" s="120"/>
      <c r="P232" s="120"/>
      <c r="Q232" s="120"/>
      <c r="S232" s="120"/>
    </row>
    <row r="233" spans="2:30" x14ac:dyDescent="0.25">
      <c r="B233" s="609" t="s">
        <v>753</v>
      </c>
      <c r="C233" s="609"/>
      <c r="D233" s="609"/>
      <c r="E233" s="609"/>
      <c r="F233" s="609"/>
      <c r="G233" s="609"/>
      <c r="H233" s="609"/>
      <c r="I233" s="609"/>
      <c r="J233" s="609"/>
      <c r="K233" s="609"/>
      <c r="N233" s="120"/>
      <c r="O233" s="120"/>
      <c r="P233" s="120"/>
      <c r="Q233" s="120"/>
      <c r="R233" s="120"/>
      <c r="S233" s="120"/>
      <c r="T233" s="120"/>
      <c r="U233" s="120"/>
      <c r="V233" s="120"/>
      <c r="W233" s="120"/>
    </row>
    <row r="234" spans="2:30" ht="15" customHeight="1" x14ac:dyDescent="0.25">
      <c r="B234" s="602" t="s">
        <v>174</v>
      </c>
      <c r="C234" s="602"/>
      <c r="D234" s="602"/>
      <c r="E234" s="602"/>
      <c r="F234" s="602"/>
      <c r="G234" s="61" t="s">
        <v>128</v>
      </c>
      <c r="H234" s="45" t="s">
        <v>129</v>
      </c>
      <c r="I234" s="602" t="s">
        <v>226</v>
      </c>
      <c r="J234" s="602"/>
      <c r="K234" s="45" t="s">
        <v>227</v>
      </c>
    </row>
    <row r="235" spans="2:30" x14ac:dyDescent="0.25">
      <c r="B235" s="615" t="s">
        <v>238</v>
      </c>
      <c r="C235" s="615"/>
      <c r="D235" s="615"/>
      <c r="E235" s="615"/>
      <c r="F235" s="615"/>
      <c r="G235" s="8">
        <v>1</v>
      </c>
      <c r="H235" s="8" t="s">
        <v>229</v>
      </c>
      <c r="I235" s="617">
        <f>I220</f>
        <v>276034</v>
      </c>
      <c r="J235" s="617"/>
      <c r="K235" s="30">
        <f>I235*G235</f>
        <v>276034</v>
      </c>
      <c r="M235" s="547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</row>
    <row r="236" spans="2:30" x14ac:dyDescent="0.25">
      <c r="B236" s="615" t="s">
        <v>239</v>
      </c>
      <c r="C236" s="615"/>
      <c r="D236" s="615"/>
      <c r="E236" s="615"/>
      <c r="F236" s="615"/>
      <c r="G236" s="556">
        <v>13.75</v>
      </c>
      <c r="H236" s="8" t="s">
        <v>89</v>
      </c>
      <c r="I236" s="616"/>
      <c r="J236" s="616"/>
      <c r="K236" s="30"/>
      <c r="M236" s="547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</row>
    <row r="237" spans="2:30" ht="18" x14ac:dyDescent="0.25">
      <c r="B237" s="615" t="s">
        <v>240</v>
      </c>
      <c r="C237" s="615"/>
      <c r="D237" s="615"/>
      <c r="E237" s="615"/>
      <c r="F237" s="615"/>
      <c r="G237" s="8"/>
      <c r="H237" s="8"/>
      <c r="I237" s="617">
        <f>IFERROR(IF(G222&lt;=G221,I220-(G223/(100*G221)*G222)*I220,I220-K223),0)</f>
        <v>86753.542857142864</v>
      </c>
      <c r="J237" s="617"/>
      <c r="K237" s="30"/>
      <c r="T237" s="237"/>
      <c r="U237" s="237"/>
    </row>
    <row r="238" spans="2:30" x14ac:dyDescent="0.25">
      <c r="B238" s="615" t="s">
        <v>241</v>
      </c>
      <c r="C238" s="615"/>
      <c r="D238" s="615"/>
      <c r="E238" s="615"/>
      <c r="F238" s="615"/>
      <c r="G238" s="8"/>
      <c r="H238" s="8"/>
      <c r="I238" s="617">
        <f>IFERROR(IF(G222&gt;=G221,I237,((((I237)-(I220-K223))*(((G221-G222)+1)/(2*(G221-G222))))+(I220-K223))),0)</f>
        <v>86753.542857142864</v>
      </c>
      <c r="J238" s="617"/>
      <c r="K238" s="30"/>
      <c r="T238" s="237"/>
      <c r="U238" s="237"/>
    </row>
    <row r="239" spans="2:30" x14ac:dyDescent="0.25">
      <c r="B239" s="618" t="s">
        <v>242</v>
      </c>
      <c r="C239" s="618"/>
      <c r="D239" s="618"/>
      <c r="E239" s="618"/>
      <c r="F239" s="618"/>
      <c r="G239" s="147"/>
      <c r="H239" s="147"/>
      <c r="I239" s="619">
        <f>G236*I238/12/100</f>
        <v>994.05101190476194</v>
      </c>
      <c r="J239" s="619"/>
      <c r="K239" s="148">
        <f>I239</f>
        <v>994.05101190476194</v>
      </c>
      <c r="T239" s="237"/>
      <c r="U239" s="237"/>
    </row>
    <row r="240" spans="2:30" x14ac:dyDescent="0.25">
      <c r="B240" s="637" t="s">
        <v>754</v>
      </c>
      <c r="C240" s="637"/>
      <c r="D240" s="637"/>
      <c r="E240" s="637"/>
      <c r="F240" s="637"/>
      <c r="G240" s="125">
        <f>G235</f>
        <v>1</v>
      </c>
      <c r="H240" s="125" t="s">
        <v>229</v>
      </c>
      <c r="I240" s="621">
        <f>I225</f>
        <v>30000</v>
      </c>
      <c r="J240" s="621"/>
      <c r="K240" s="224">
        <f>I240*G240</f>
        <v>30000</v>
      </c>
      <c r="N240" s="120"/>
      <c r="O240" s="120"/>
      <c r="P240" s="120"/>
      <c r="Q240" s="120"/>
      <c r="R240" s="120"/>
      <c r="S240" s="120"/>
      <c r="T240" s="120"/>
      <c r="U240" s="120"/>
      <c r="V240" s="120"/>
      <c r="W240" s="120"/>
    </row>
    <row r="241" spans="2:23" x14ac:dyDescent="0.25">
      <c r="B241" s="615" t="s">
        <v>239</v>
      </c>
      <c r="C241" s="615"/>
      <c r="D241" s="615"/>
      <c r="E241" s="615"/>
      <c r="F241" s="615"/>
      <c r="G241" s="556">
        <v>13.75</v>
      </c>
      <c r="H241" s="8" t="s">
        <v>89</v>
      </c>
      <c r="I241" s="616"/>
      <c r="J241" s="616"/>
      <c r="K241" s="30"/>
      <c r="N241" s="120"/>
      <c r="O241" s="120"/>
      <c r="P241" s="120"/>
      <c r="Q241" s="120"/>
      <c r="R241" s="120"/>
      <c r="S241" s="120"/>
      <c r="T241" s="120"/>
      <c r="U241" s="120"/>
      <c r="V241" s="120"/>
      <c r="W241" s="120"/>
    </row>
    <row r="242" spans="2:23" ht="18" x14ac:dyDescent="0.25">
      <c r="B242" s="615" t="s">
        <v>755</v>
      </c>
      <c r="C242" s="615"/>
      <c r="D242" s="615"/>
      <c r="E242" s="615"/>
      <c r="F242" s="615"/>
      <c r="G242" s="8"/>
      <c r="H242" s="8"/>
      <c r="I242" s="617">
        <f>IFERROR(IF(G227&lt;=G226,I225-(G228/(100*G226)*G227)*I225,I225-K228),0)</f>
        <v>30000</v>
      </c>
      <c r="J242" s="617"/>
      <c r="K242" s="30"/>
    </row>
    <row r="243" spans="2:23" ht="17.25" x14ac:dyDescent="0.25">
      <c r="B243" s="615" t="s">
        <v>756</v>
      </c>
      <c r="C243" s="615"/>
      <c r="D243" s="615"/>
      <c r="E243" s="615"/>
      <c r="F243" s="615"/>
      <c r="G243" s="8"/>
      <c r="H243" s="8"/>
      <c r="I243" s="617">
        <f>IFERROR(IF(G227&gt;=G226,I242,((((I242)-(I225-K228))*(((G226-G227)+1)/(2*(G226-G227))))+(I225-K228))),0)</f>
        <v>19714.285714285714</v>
      </c>
      <c r="J243" s="617"/>
      <c r="K243" s="30"/>
    </row>
    <row r="244" spans="2:23" ht="17.25" x14ac:dyDescent="0.25">
      <c r="B244" s="618" t="s">
        <v>757</v>
      </c>
      <c r="C244" s="618"/>
      <c r="D244" s="618"/>
      <c r="E244" s="618"/>
      <c r="F244" s="618"/>
      <c r="G244" s="147"/>
      <c r="H244" s="147"/>
      <c r="I244" s="619">
        <f>G241*I243/12/100</f>
        <v>225.89285714285714</v>
      </c>
      <c r="J244" s="619"/>
      <c r="K244" s="148">
        <f>I244</f>
        <v>225.89285714285714</v>
      </c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</row>
    <row r="245" spans="2:23" x14ac:dyDescent="0.25">
      <c r="B245" s="635" t="s">
        <v>423</v>
      </c>
      <c r="C245" s="635"/>
      <c r="D245" s="635"/>
      <c r="E245" s="635"/>
      <c r="F245" s="635"/>
      <c r="G245" s="180"/>
      <c r="H245" s="180"/>
      <c r="I245" s="636"/>
      <c r="J245" s="636"/>
      <c r="K245" s="227">
        <f>SUM(K239+K244)</f>
        <v>1219.943869047619</v>
      </c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</row>
    <row r="246" spans="2:23" x14ac:dyDescent="0.25">
      <c r="B246" s="612" t="s">
        <v>243</v>
      </c>
      <c r="C246" s="612"/>
      <c r="D246" s="612"/>
      <c r="E246" s="612"/>
      <c r="F246" s="612"/>
      <c r="G246" s="45">
        <v>1</v>
      </c>
      <c r="H246" s="45" t="s">
        <v>229</v>
      </c>
      <c r="I246" s="613">
        <f>K245</f>
        <v>1219.943869047619</v>
      </c>
      <c r="J246" s="613"/>
      <c r="K246" s="159">
        <f>I246*G246</f>
        <v>1219.943869047619</v>
      </c>
      <c r="L246" s="551"/>
      <c r="M246" s="552"/>
      <c r="N246" s="238"/>
      <c r="O246" s="239"/>
      <c r="P246" s="120"/>
      <c r="Q246" s="120"/>
      <c r="R246" s="120"/>
      <c r="S246" s="120"/>
      <c r="T246" s="120"/>
      <c r="U246" s="120"/>
      <c r="V246" s="120"/>
      <c r="W246" s="120"/>
    </row>
    <row r="247" spans="2:23" x14ac:dyDescent="0.25">
      <c r="B247" s="131"/>
      <c r="C247" s="131"/>
      <c r="D247" s="131"/>
      <c r="E247" s="131"/>
      <c r="F247" s="131"/>
      <c r="G247" s="18"/>
      <c r="H247" s="18"/>
      <c r="I247" s="18"/>
      <c r="J247" s="18"/>
      <c r="K247" s="132"/>
      <c r="N247" s="120"/>
      <c r="O247" s="120"/>
      <c r="P247" s="120"/>
      <c r="Q247" s="120"/>
      <c r="R247" s="120"/>
      <c r="S247" s="120"/>
      <c r="T247" s="120"/>
      <c r="U247" s="120"/>
      <c r="V247" s="120"/>
      <c r="W247" s="120"/>
    </row>
    <row r="248" spans="2:23" x14ac:dyDescent="0.25">
      <c r="B248" s="609" t="s">
        <v>758</v>
      </c>
      <c r="C248" s="609"/>
      <c r="D248" s="609"/>
      <c r="E248" s="609"/>
      <c r="F248" s="609"/>
      <c r="G248" s="609"/>
      <c r="H248" s="609"/>
      <c r="I248" s="609"/>
      <c r="J248" s="609"/>
      <c r="K248" s="609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</row>
    <row r="249" spans="2:23" x14ac:dyDescent="0.25">
      <c r="B249" s="602" t="s">
        <v>174</v>
      </c>
      <c r="C249" s="602"/>
      <c r="D249" s="602"/>
      <c r="E249" s="602"/>
      <c r="F249" s="602"/>
      <c r="G249" s="61" t="s">
        <v>128</v>
      </c>
      <c r="H249" s="45" t="s">
        <v>129</v>
      </c>
      <c r="I249" s="602" t="s">
        <v>226</v>
      </c>
      <c r="J249" s="602"/>
      <c r="K249" s="45" t="s">
        <v>246</v>
      </c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</row>
    <row r="250" spans="2:23" x14ac:dyDescent="0.25">
      <c r="B250" s="622" t="s">
        <v>426</v>
      </c>
      <c r="C250" s="622"/>
      <c r="D250" s="622"/>
      <c r="E250" s="622"/>
      <c r="F250" s="622"/>
      <c r="G250" s="8">
        <v>1</v>
      </c>
      <c r="H250" s="8" t="s">
        <v>229</v>
      </c>
      <c r="I250" s="617">
        <f>I220*0.01</f>
        <v>2760.34</v>
      </c>
      <c r="J250" s="617"/>
      <c r="K250" s="30">
        <f>(I250*G250)/12</f>
        <v>230.02833333333334</v>
      </c>
      <c r="N250" s="120"/>
      <c r="O250" s="120"/>
      <c r="P250" s="120"/>
      <c r="Q250" s="120"/>
      <c r="R250" s="120"/>
      <c r="S250" s="120"/>
      <c r="T250" s="120"/>
      <c r="U250" s="120"/>
      <c r="V250" s="120"/>
      <c r="W250" s="120"/>
    </row>
    <row r="251" spans="2:23" x14ac:dyDescent="0.25">
      <c r="B251" s="622" t="s">
        <v>427</v>
      </c>
      <c r="C251" s="622"/>
      <c r="D251" s="622"/>
      <c r="E251" s="622"/>
      <c r="F251" s="622"/>
      <c r="G251" s="8">
        <v>1</v>
      </c>
      <c r="H251" s="8" t="s">
        <v>229</v>
      </c>
      <c r="I251" s="617">
        <v>109.27</v>
      </c>
      <c r="J251" s="617"/>
      <c r="K251" s="30">
        <f>(I251*G251)/12</f>
        <v>9.105833333333333</v>
      </c>
      <c r="R251" s="120"/>
      <c r="T251" s="120"/>
      <c r="U251" s="120"/>
      <c r="V251" s="120"/>
      <c r="W251" s="120"/>
    </row>
    <row r="252" spans="2:23" x14ac:dyDescent="0.25">
      <c r="B252" s="615" t="s">
        <v>247</v>
      </c>
      <c r="C252" s="615"/>
      <c r="D252" s="615"/>
      <c r="E252" s="615"/>
      <c r="F252" s="615"/>
      <c r="G252" s="8">
        <v>1</v>
      </c>
      <c r="H252" s="8" t="s">
        <v>229</v>
      </c>
      <c r="I252" s="617">
        <v>0</v>
      </c>
      <c r="J252" s="617"/>
      <c r="K252" s="30">
        <f>(I252*G252)/60</f>
        <v>0</v>
      </c>
      <c r="N252" s="120"/>
      <c r="O252" s="120"/>
      <c r="P252" s="120"/>
      <c r="Q252" s="120"/>
      <c r="S252" s="120"/>
    </row>
    <row r="253" spans="2:23" x14ac:dyDescent="0.25">
      <c r="B253" s="622" t="s">
        <v>428</v>
      </c>
      <c r="C253" s="622"/>
      <c r="D253" s="622"/>
      <c r="E253" s="622"/>
      <c r="F253" s="622"/>
      <c r="G253" s="8">
        <v>1</v>
      </c>
      <c r="H253" s="8" t="s">
        <v>229</v>
      </c>
      <c r="I253" s="617">
        <f>'10 - CUSTOS UN'!$J$255</f>
        <v>2750.0266666666666</v>
      </c>
      <c r="J253" s="617"/>
      <c r="K253" s="30">
        <f>(I253/12)*G253</f>
        <v>229.16888888888889</v>
      </c>
      <c r="N253" s="120"/>
      <c r="O253" s="120"/>
      <c r="P253" s="120"/>
      <c r="Q253" s="120"/>
      <c r="R253" s="120"/>
      <c r="S253" s="120"/>
      <c r="T253" s="120"/>
      <c r="U253" s="120"/>
      <c r="V253" s="120"/>
      <c r="W253" s="120"/>
    </row>
    <row r="254" spans="2:23" x14ac:dyDescent="0.25">
      <c r="B254" s="622" t="s">
        <v>429</v>
      </c>
      <c r="C254" s="622"/>
      <c r="D254" s="622"/>
      <c r="E254" s="622"/>
      <c r="F254" s="622"/>
      <c r="G254" s="8">
        <v>1</v>
      </c>
      <c r="H254" s="8" t="s">
        <v>229</v>
      </c>
      <c r="I254" s="617">
        <f>'10 - CUSTOS UN'!$J$233</f>
        <v>57.093333333333334</v>
      </c>
      <c r="J254" s="617"/>
      <c r="K254" s="30">
        <f>I254*G254</f>
        <v>57.093333333333334</v>
      </c>
    </row>
    <row r="255" spans="2:23" ht="15" customHeight="1" x14ac:dyDescent="0.25">
      <c r="B255" s="624" t="s">
        <v>249</v>
      </c>
      <c r="C255" s="624"/>
      <c r="D255" s="624"/>
      <c r="E255" s="624"/>
      <c r="F255" s="624"/>
      <c r="G255" s="161">
        <v>1</v>
      </c>
      <c r="H255" s="161" t="s">
        <v>129</v>
      </c>
      <c r="I255" s="625">
        <f>SUM(K250:K254)/G255</f>
        <v>525.39638888888885</v>
      </c>
      <c r="J255" s="625"/>
      <c r="K255" s="150">
        <f>I255*G255</f>
        <v>525.39638888888885</v>
      </c>
    </row>
    <row r="256" spans="2:23" x14ac:dyDescent="0.25"/>
    <row r="257" spans="2:14" x14ac:dyDescent="0.25">
      <c r="B257" s="609" t="s">
        <v>759</v>
      </c>
      <c r="C257" s="609"/>
      <c r="D257" s="609"/>
      <c r="E257" s="609"/>
      <c r="F257" s="609"/>
      <c r="G257" s="609"/>
      <c r="H257" s="609"/>
      <c r="I257" s="609"/>
      <c r="J257" s="609"/>
      <c r="K257" s="609"/>
    </row>
    <row r="258" spans="2:14" x14ac:dyDescent="0.25">
      <c r="B258" s="605" t="s">
        <v>174</v>
      </c>
      <c r="C258" s="605"/>
      <c r="D258" s="605"/>
      <c r="E258" s="605"/>
      <c r="F258" s="605"/>
      <c r="G258" s="223" t="s">
        <v>128</v>
      </c>
      <c r="H258" s="138" t="s">
        <v>129</v>
      </c>
      <c r="I258" s="605" t="s">
        <v>226</v>
      </c>
      <c r="J258" s="605"/>
      <c r="K258" s="138" t="s">
        <v>209</v>
      </c>
    </row>
    <row r="259" spans="2:14" x14ac:dyDescent="0.25">
      <c r="B259" s="620" t="s">
        <v>252</v>
      </c>
      <c r="C259" s="620"/>
      <c r="D259" s="620"/>
      <c r="E259" s="620"/>
      <c r="F259" s="620"/>
      <c r="G259" s="557">
        <v>2080</v>
      </c>
      <c r="H259" s="8" t="s">
        <v>253</v>
      </c>
      <c r="I259" s="641"/>
      <c r="J259" s="641"/>
      <c r="K259" s="11"/>
    </row>
    <row r="260" spans="2:14" x14ac:dyDescent="0.25">
      <c r="B260" s="622" t="s">
        <v>431</v>
      </c>
      <c r="C260" s="622"/>
      <c r="D260" s="622"/>
      <c r="E260" s="622"/>
      <c r="F260" s="622"/>
      <c r="G260" s="8">
        <v>4</v>
      </c>
      <c r="H260" s="8" t="s">
        <v>432</v>
      </c>
      <c r="I260" s="642"/>
      <c r="J260" s="642"/>
      <c r="K260" s="176"/>
    </row>
    <row r="261" spans="2:14" ht="17.25" x14ac:dyDescent="0.25">
      <c r="B261" s="622" t="s">
        <v>615</v>
      </c>
      <c r="C261" s="622"/>
      <c r="D261" s="622"/>
      <c r="E261" s="622"/>
      <c r="F261" s="622"/>
      <c r="G261" s="8">
        <v>1</v>
      </c>
      <c r="H261" s="8" t="s">
        <v>258</v>
      </c>
      <c r="I261" s="633">
        <v>7.24</v>
      </c>
      <c r="J261" s="633"/>
      <c r="K261" s="30"/>
    </row>
    <row r="262" spans="2:14" x14ac:dyDescent="0.25">
      <c r="B262" s="627" t="s">
        <v>434</v>
      </c>
      <c r="C262" s="627"/>
      <c r="D262" s="627"/>
      <c r="E262" s="627"/>
      <c r="F262" s="627"/>
      <c r="G262" s="228">
        <f>G259/G260</f>
        <v>520</v>
      </c>
      <c r="H262" s="226" t="s">
        <v>435</v>
      </c>
      <c r="I262" s="619">
        <f>I261</f>
        <v>7.24</v>
      </c>
      <c r="J262" s="619"/>
      <c r="K262" s="148">
        <f>I262*G262</f>
        <v>3764.8</v>
      </c>
    </row>
    <row r="263" spans="2:14" x14ac:dyDescent="0.25">
      <c r="B263" s="624" t="s">
        <v>436</v>
      </c>
      <c r="C263" s="624"/>
      <c r="D263" s="624"/>
      <c r="E263" s="624"/>
      <c r="F263" s="624"/>
      <c r="G263" s="161">
        <v>1</v>
      </c>
      <c r="H263" s="161" t="s">
        <v>129</v>
      </c>
      <c r="I263" s="625">
        <f>K262</f>
        <v>3764.8</v>
      </c>
      <c r="J263" s="625"/>
      <c r="K263" s="150">
        <f>I263*G263</f>
        <v>3764.8</v>
      </c>
    </row>
    <row r="264" spans="2:14" x14ac:dyDescent="0.25">
      <c r="B264" s="856" t="s">
        <v>437</v>
      </c>
      <c r="C264" s="856"/>
      <c r="D264" s="856"/>
      <c r="E264" s="856"/>
      <c r="F264" s="856"/>
      <c r="G264" s="856"/>
      <c r="H264" s="856"/>
      <c r="I264" s="856"/>
      <c r="J264" s="856"/>
      <c r="K264" s="856"/>
    </row>
    <row r="265" spans="2:14" x14ac:dyDescent="0.25">
      <c r="B265" s="120"/>
      <c r="C265" s="120"/>
      <c r="D265" s="120"/>
      <c r="E265" s="120"/>
      <c r="F265" s="120"/>
      <c r="G265" s="1"/>
      <c r="H265" s="1"/>
      <c r="I265" s="124"/>
      <c r="J265" s="124"/>
      <c r="K265" s="129"/>
    </row>
    <row r="266" spans="2:14" x14ac:dyDescent="0.25">
      <c r="B266" s="609" t="s">
        <v>760</v>
      </c>
      <c r="C266" s="609"/>
      <c r="D266" s="609"/>
      <c r="E266" s="609"/>
      <c r="F266" s="609"/>
      <c r="G266" s="609"/>
      <c r="H266" s="609"/>
      <c r="I266" s="609"/>
      <c r="J266" s="609"/>
      <c r="K266" s="609"/>
    </row>
    <row r="267" spans="2:14" x14ac:dyDescent="0.25">
      <c r="B267" s="605" t="s">
        <v>174</v>
      </c>
      <c r="C267" s="605"/>
      <c r="D267" s="605"/>
      <c r="E267" s="605"/>
      <c r="F267" s="605"/>
      <c r="G267" s="223" t="s">
        <v>128</v>
      </c>
      <c r="H267" s="138" t="s">
        <v>129</v>
      </c>
      <c r="I267" s="605" t="s">
        <v>226</v>
      </c>
      <c r="J267" s="605"/>
      <c r="K267" s="138" t="s">
        <v>227</v>
      </c>
    </row>
    <row r="268" spans="2:14" x14ac:dyDescent="0.25">
      <c r="B268" s="620" t="s">
        <v>439</v>
      </c>
      <c r="C268" s="620"/>
      <c r="D268" s="620"/>
      <c r="E268" s="620"/>
      <c r="F268" s="620"/>
      <c r="G268" s="558">
        <v>2</v>
      </c>
      <c r="H268" s="8" t="s">
        <v>440</v>
      </c>
      <c r="I268" s="621">
        <f>'10 - CUSTOS UN'!$J$216</f>
        <v>20.973333333333333</v>
      </c>
      <c r="J268" s="621"/>
      <c r="K268" s="30">
        <f>I268*G268</f>
        <v>41.946666666666665</v>
      </c>
    </row>
    <row r="269" spans="2:14" x14ac:dyDescent="0.25">
      <c r="B269" s="630" t="s">
        <v>441</v>
      </c>
      <c r="C269" s="630"/>
      <c r="D269" s="630"/>
      <c r="E269" s="630"/>
      <c r="F269" s="630"/>
      <c r="G269" s="229">
        <f>G259</f>
        <v>2080</v>
      </c>
      <c r="H269" s="25" t="s">
        <v>253</v>
      </c>
      <c r="I269" s="631">
        <f>K268/1000</f>
        <v>4.1946666666666667E-2</v>
      </c>
      <c r="J269" s="631"/>
      <c r="K269" s="127">
        <f>I269*G269</f>
        <v>87.249066666666664</v>
      </c>
      <c r="N269" s="12"/>
    </row>
    <row r="270" spans="2:14" x14ac:dyDescent="0.25">
      <c r="B270" s="622" t="s">
        <v>442</v>
      </c>
      <c r="C270" s="622"/>
      <c r="D270" s="622"/>
      <c r="E270" s="622"/>
      <c r="F270" s="622"/>
      <c r="G270" s="125">
        <v>0.5</v>
      </c>
      <c r="H270" s="8" t="s">
        <v>440</v>
      </c>
      <c r="I270" s="617">
        <f>'10 - CUSTOS UN'!$J$219</f>
        <v>34.336666666666666</v>
      </c>
      <c r="J270" s="617"/>
      <c r="K270" s="30">
        <f>G270*I270</f>
        <v>17.168333333333333</v>
      </c>
    </row>
    <row r="271" spans="2:14" x14ac:dyDescent="0.25">
      <c r="B271" s="630" t="s">
        <v>443</v>
      </c>
      <c r="C271" s="630"/>
      <c r="D271" s="630"/>
      <c r="E271" s="630"/>
      <c r="F271" s="630"/>
      <c r="G271" s="229">
        <f>G259</f>
        <v>2080</v>
      </c>
      <c r="H271" s="25" t="s">
        <v>253</v>
      </c>
      <c r="I271" s="631">
        <f>K270/1000</f>
        <v>1.7168333333333334E-2</v>
      </c>
      <c r="J271" s="631"/>
      <c r="K271" s="127">
        <f t="shared" ref="K271:K276" si="4">I271*G271</f>
        <v>35.710133333333332</v>
      </c>
    </row>
    <row r="272" spans="2:14" x14ac:dyDescent="0.25">
      <c r="B272" s="622" t="s">
        <v>444</v>
      </c>
      <c r="C272" s="622"/>
      <c r="D272" s="622"/>
      <c r="E272" s="622"/>
      <c r="F272" s="622"/>
      <c r="G272" s="8">
        <v>0.2</v>
      </c>
      <c r="H272" s="8" t="s">
        <v>440</v>
      </c>
      <c r="I272" s="617">
        <f>'10 - CUSTOS UN'!$J$225</f>
        <v>25.786666666666665</v>
      </c>
      <c r="J272" s="617"/>
      <c r="K272" s="30">
        <f t="shared" si="4"/>
        <v>5.1573333333333338</v>
      </c>
    </row>
    <row r="273" spans="2:11" x14ac:dyDescent="0.25">
      <c r="B273" s="630" t="s">
        <v>445</v>
      </c>
      <c r="C273" s="630"/>
      <c r="D273" s="630"/>
      <c r="E273" s="630"/>
      <c r="F273" s="630"/>
      <c r="G273" s="229">
        <f>G259</f>
        <v>2080</v>
      </c>
      <c r="H273" s="25" t="s">
        <v>253</v>
      </c>
      <c r="I273" s="631">
        <f>K272/1000</f>
        <v>5.1573333333333341E-3</v>
      </c>
      <c r="J273" s="631"/>
      <c r="K273" s="127">
        <f t="shared" si="4"/>
        <v>10.727253333333335</v>
      </c>
    </row>
    <row r="274" spans="2:11" x14ac:dyDescent="0.25">
      <c r="B274" s="622" t="s">
        <v>446</v>
      </c>
      <c r="C274" s="622"/>
      <c r="D274" s="622"/>
      <c r="E274" s="622"/>
      <c r="F274" s="622"/>
      <c r="G274" s="8">
        <v>2</v>
      </c>
      <c r="H274" s="8" t="s">
        <v>447</v>
      </c>
      <c r="I274" s="617">
        <f>'10 - CUSTOS UN'!$J$228</f>
        <v>43.276666666666664</v>
      </c>
      <c r="J274" s="617"/>
      <c r="K274" s="30">
        <f t="shared" si="4"/>
        <v>86.553333333333327</v>
      </c>
    </row>
    <row r="275" spans="2:11" x14ac:dyDescent="0.25">
      <c r="B275" s="627" t="s">
        <v>448</v>
      </c>
      <c r="C275" s="627"/>
      <c r="D275" s="627"/>
      <c r="E275" s="627"/>
      <c r="F275" s="627"/>
      <c r="G275" s="228">
        <f>G259</f>
        <v>2080</v>
      </c>
      <c r="H275" s="226" t="s">
        <v>253</v>
      </c>
      <c r="I275" s="619">
        <f>K274/1000</f>
        <v>8.6553333333333329E-2</v>
      </c>
      <c r="J275" s="619"/>
      <c r="K275" s="148">
        <f t="shared" si="4"/>
        <v>180.03093333333334</v>
      </c>
    </row>
    <row r="276" spans="2:11" ht="15" customHeight="1" x14ac:dyDescent="0.25">
      <c r="B276" s="624" t="s">
        <v>449</v>
      </c>
      <c r="C276" s="624"/>
      <c r="D276" s="624"/>
      <c r="E276" s="624"/>
      <c r="F276" s="624"/>
      <c r="G276" s="231">
        <v>1</v>
      </c>
      <c r="H276" s="161" t="s">
        <v>129</v>
      </c>
      <c r="I276" s="625">
        <f>SUM(K269,K271,K273,K275)</f>
        <v>313.7173866666667</v>
      </c>
      <c r="J276" s="625"/>
      <c r="K276" s="150">
        <f t="shared" si="4"/>
        <v>313.7173866666667</v>
      </c>
    </row>
    <row r="277" spans="2:11" x14ac:dyDescent="0.25">
      <c r="B277" s="119"/>
      <c r="C277" s="119"/>
      <c r="D277" s="119"/>
      <c r="E277" s="119"/>
      <c r="F277" s="119"/>
      <c r="G277" s="119"/>
      <c r="H277" s="119"/>
      <c r="I277" s="119"/>
      <c r="J277" s="119"/>
      <c r="K277" s="119"/>
    </row>
    <row r="278" spans="2:11" x14ac:dyDescent="0.25">
      <c r="B278" s="609" t="s">
        <v>761</v>
      </c>
      <c r="C278" s="609"/>
      <c r="D278" s="609"/>
      <c r="E278" s="609"/>
      <c r="F278" s="609"/>
      <c r="G278" s="609"/>
      <c r="H278" s="609"/>
      <c r="I278" s="609"/>
      <c r="J278" s="609"/>
      <c r="K278" s="609"/>
    </row>
    <row r="279" spans="2:11" x14ac:dyDescent="0.25">
      <c r="B279" s="605" t="s">
        <v>174</v>
      </c>
      <c r="C279" s="605"/>
      <c r="D279" s="605"/>
      <c r="E279" s="605"/>
      <c r="F279" s="605"/>
      <c r="G279" s="223" t="s">
        <v>128</v>
      </c>
      <c r="H279" s="138" t="s">
        <v>129</v>
      </c>
      <c r="I279" s="605" t="s">
        <v>226</v>
      </c>
      <c r="J279" s="605"/>
      <c r="K279" s="138" t="s">
        <v>227</v>
      </c>
    </row>
    <row r="280" spans="2:11" x14ac:dyDescent="0.25">
      <c r="B280" s="620" t="s">
        <v>762</v>
      </c>
      <c r="C280" s="620"/>
      <c r="D280" s="620"/>
      <c r="E280" s="620"/>
      <c r="F280" s="620"/>
      <c r="G280" s="8">
        <v>6</v>
      </c>
      <c r="H280" s="8" t="s">
        <v>229</v>
      </c>
      <c r="I280" s="629">
        <f>'10 - CUSTOS UN'!J201</f>
        <v>720.73666666666668</v>
      </c>
      <c r="J280" s="629"/>
      <c r="K280" s="47">
        <f>I280*G280</f>
        <v>4324.42</v>
      </c>
    </row>
    <row r="281" spans="2:11" x14ac:dyDescent="0.25">
      <c r="B281" s="622" t="s">
        <v>452</v>
      </c>
      <c r="C281" s="622"/>
      <c r="D281" s="622"/>
      <c r="E281" s="622"/>
      <c r="F281" s="622"/>
      <c r="G281" s="8">
        <v>3</v>
      </c>
      <c r="H281" s="8" t="s">
        <v>229</v>
      </c>
      <c r="I281" s="616"/>
      <c r="J281" s="616"/>
      <c r="K281" s="158"/>
    </row>
    <row r="282" spans="2:11" x14ac:dyDescent="0.25">
      <c r="B282" s="622" t="s">
        <v>453</v>
      </c>
      <c r="C282" s="622"/>
      <c r="D282" s="622"/>
      <c r="E282" s="622"/>
      <c r="F282" s="622"/>
      <c r="G282" s="8">
        <f>G281*G280</f>
        <v>18</v>
      </c>
      <c r="H282" s="8" t="s">
        <v>229</v>
      </c>
      <c r="I282" s="634">
        <f>'10 - CUSTOS UN'!J262</f>
        <v>521.98</v>
      </c>
      <c r="J282" s="634"/>
      <c r="K282" s="30">
        <f>I282*G282</f>
        <v>9395.64</v>
      </c>
    </row>
    <row r="283" spans="2:11" x14ac:dyDescent="0.25">
      <c r="B283" s="622" t="s">
        <v>272</v>
      </c>
      <c r="C283" s="622"/>
      <c r="D283" s="622"/>
      <c r="E283" s="622"/>
      <c r="F283" s="622"/>
      <c r="G283" s="10">
        <v>30000</v>
      </c>
      <c r="H283" s="8" t="s">
        <v>260</v>
      </c>
      <c r="I283" s="616"/>
      <c r="J283" s="616"/>
      <c r="K283" s="158"/>
    </row>
    <row r="284" spans="2:11" x14ac:dyDescent="0.25">
      <c r="B284" s="622" t="s">
        <v>454</v>
      </c>
      <c r="C284" s="622"/>
      <c r="D284" s="622"/>
      <c r="E284" s="622"/>
      <c r="F284" s="622"/>
      <c r="G284" s="10">
        <f>15/20*G283</f>
        <v>22500</v>
      </c>
      <c r="H284" s="8" t="s">
        <v>260</v>
      </c>
      <c r="I284" s="616"/>
      <c r="J284" s="616"/>
      <c r="K284" s="158"/>
    </row>
    <row r="285" spans="2:11" x14ac:dyDescent="0.25">
      <c r="B285" s="622" t="s">
        <v>455</v>
      </c>
      <c r="C285" s="622"/>
      <c r="D285" s="622"/>
      <c r="E285" s="622"/>
      <c r="F285" s="622"/>
      <c r="G285" s="10">
        <f>G283+G284*G281</f>
        <v>97500</v>
      </c>
      <c r="H285" s="8" t="s">
        <v>274</v>
      </c>
      <c r="I285" s="617">
        <f>K282+K280</f>
        <v>13720.06</v>
      </c>
      <c r="J285" s="617"/>
      <c r="K285" s="30">
        <f>I285/G285</f>
        <v>0.14071856410256409</v>
      </c>
    </row>
    <row r="286" spans="2:11" x14ac:dyDescent="0.25">
      <c r="B286" s="627" t="s">
        <v>275</v>
      </c>
      <c r="C286" s="627"/>
      <c r="D286" s="627"/>
      <c r="E286" s="627"/>
      <c r="F286" s="627"/>
      <c r="G286" s="228">
        <f>G259</f>
        <v>2080</v>
      </c>
      <c r="H286" s="226" t="s">
        <v>260</v>
      </c>
      <c r="I286" s="619">
        <f>K285</f>
        <v>0.14071856410256409</v>
      </c>
      <c r="J286" s="619"/>
      <c r="K286" s="148">
        <f>I286*G286</f>
        <v>292.69461333333328</v>
      </c>
    </row>
    <row r="287" spans="2:11" ht="15" customHeight="1" x14ac:dyDescent="0.25">
      <c r="B287" s="624" t="s">
        <v>276</v>
      </c>
      <c r="C287" s="624"/>
      <c r="D287" s="624"/>
      <c r="E287" s="624"/>
      <c r="F287" s="624"/>
      <c r="G287" s="161">
        <v>1</v>
      </c>
      <c r="H287" s="161" t="s">
        <v>129</v>
      </c>
      <c r="I287" s="625">
        <f>K286</f>
        <v>292.69461333333328</v>
      </c>
      <c r="J287" s="625"/>
      <c r="K287" s="150">
        <f>I287*G287</f>
        <v>292.69461333333328</v>
      </c>
    </row>
    <row r="288" spans="2:11" ht="31.5" customHeight="1" x14ac:dyDescent="0.25">
      <c r="B288" s="120"/>
      <c r="C288" s="120"/>
      <c r="D288" s="120"/>
      <c r="E288" s="120"/>
      <c r="F288" s="120"/>
      <c r="G288" s="1"/>
      <c r="H288" s="1"/>
      <c r="I288" s="124"/>
      <c r="J288" s="124"/>
      <c r="K288" s="129"/>
    </row>
    <row r="289" spans="2:11" x14ac:dyDescent="0.25">
      <c r="B289" s="609" t="s">
        <v>763</v>
      </c>
      <c r="C289" s="609"/>
      <c r="D289" s="609"/>
      <c r="E289" s="609"/>
      <c r="F289" s="609"/>
      <c r="G289" s="609"/>
      <c r="H289" s="609"/>
      <c r="I289" s="609"/>
      <c r="J289" s="609"/>
      <c r="K289" s="609"/>
    </row>
    <row r="290" spans="2:11" x14ac:dyDescent="0.25">
      <c r="B290" s="605" t="s">
        <v>174</v>
      </c>
      <c r="C290" s="605"/>
      <c r="D290" s="605"/>
      <c r="E290" s="605"/>
      <c r="F290" s="605"/>
      <c r="G290" s="223" t="s">
        <v>128</v>
      </c>
      <c r="H290" s="138" t="s">
        <v>129</v>
      </c>
      <c r="I290" s="605" t="s">
        <v>226</v>
      </c>
      <c r="J290" s="605"/>
      <c r="K290" s="138" t="s">
        <v>209</v>
      </c>
    </row>
    <row r="291" spans="2:11" x14ac:dyDescent="0.25">
      <c r="B291" s="610" t="s">
        <v>457</v>
      </c>
      <c r="C291" s="610"/>
      <c r="D291" s="610"/>
      <c r="E291" s="610"/>
      <c r="F291" s="610"/>
      <c r="G291" s="232">
        <f>G259</f>
        <v>2080</v>
      </c>
      <c r="H291" s="233" t="s">
        <v>253</v>
      </c>
      <c r="I291" s="623">
        <v>1.18</v>
      </c>
      <c r="J291" s="623"/>
      <c r="K291" s="234">
        <f>I291*G291</f>
        <v>2454.4</v>
      </c>
    </row>
    <row r="292" spans="2:11" x14ac:dyDescent="0.25">
      <c r="B292" s="624" t="s">
        <v>458</v>
      </c>
      <c r="C292" s="624"/>
      <c r="D292" s="624"/>
      <c r="E292" s="624"/>
      <c r="F292" s="624"/>
      <c r="G292" s="161">
        <v>1</v>
      </c>
      <c r="H292" s="161" t="s">
        <v>229</v>
      </c>
      <c r="I292" s="625">
        <f>K291</f>
        <v>2454.4</v>
      </c>
      <c r="J292" s="625"/>
      <c r="K292" s="150">
        <f>I292*G292</f>
        <v>2454.4</v>
      </c>
    </row>
    <row r="293" spans="2:11" x14ac:dyDescent="0.25">
      <c r="B293" s="119"/>
      <c r="C293" s="119"/>
      <c r="D293" s="119"/>
      <c r="E293" s="119"/>
      <c r="F293" s="119"/>
      <c r="G293" s="119"/>
      <c r="H293" s="119"/>
      <c r="I293" s="119"/>
      <c r="J293" s="119"/>
      <c r="K293" s="119"/>
    </row>
    <row r="294" spans="2:11" ht="15" customHeight="1" x14ac:dyDescent="0.25">
      <c r="B294" s="614" t="s">
        <v>764</v>
      </c>
      <c r="C294" s="614"/>
      <c r="D294" s="614"/>
      <c r="E294" s="614"/>
      <c r="F294" s="614"/>
      <c r="G294" s="614"/>
      <c r="H294" s="614"/>
      <c r="I294" s="614"/>
      <c r="J294" s="614"/>
      <c r="K294" s="182">
        <f>SUM(I292,I287,I276,I263,I255,I246,I231)</f>
        <v>11485.561781746032</v>
      </c>
    </row>
    <row r="295" spans="2:11" ht="15" customHeight="1" x14ac:dyDescent="0.25">
      <c r="B295" s="614" t="s">
        <v>289</v>
      </c>
      <c r="C295" s="614"/>
      <c r="D295" s="614"/>
      <c r="E295" s="614"/>
      <c r="F295" s="614"/>
      <c r="G295" s="614"/>
      <c r="H295" s="614"/>
      <c r="I295" s="614"/>
      <c r="J295" s="614"/>
      <c r="K295" s="182">
        <f>SUM(K292,K287,K276,K263,K255,K246,K231)</f>
        <v>11485.561781746032</v>
      </c>
    </row>
    <row r="298" spans="2:11" ht="15" customHeight="1" x14ac:dyDescent="0.25">
      <c r="B298" s="597" t="s">
        <v>290</v>
      </c>
      <c r="C298" s="597"/>
      <c r="D298" s="597"/>
      <c r="E298" s="597"/>
      <c r="F298" s="597"/>
      <c r="G298" s="597"/>
      <c r="H298" s="597"/>
      <c r="I298" s="597"/>
      <c r="J298" s="597"/>
      <c r="K298" s="241">
        <f>SUM(K214,K295)</f>
        <v>133660.20516311858</v>
      </c>
    </row>
    <row r="301" spans="2:11" ht="15" customHeight="1" x14ac:dyDescent="0.25">
      <c r="B301" s="601" t="s">
        <v>765</v>
      </c>
      <c r="C301" s="601"/>
      <c r="D301" s="601"/>
      <c r="E301" s="601"/>
      <c r="F301" s="601"/>
      <c r="G301" s="601"/>
      <c r="H301" s="601"/>
      <c r="I301" s="601"/>
      <c r="J301" s="601"/>
      <c r="K301" s="601"/>
    </row>
    <row r="302" spans="2:11" ht="15" customHeight="1" x14ac:dyDescent="0.25">
      <c r="B302" s="108"/>
      <c r="C302" s="108"/>
      <c r="D302" s="108"/>
      <c r="E302" s="108"/>
      <c r="F302" s="108"/>
      <c r="G302" s="108"/>
      <c r="H302" s="108"/>
      <c r="I302" s="108"/>
      <c r="J302" s="108"/>
      <c r="K302" s="242"/>
    </row>
    <row r="303" spans="2:11" ht="30" x14ac:dyDescent="0.25">
      <c r="B303" s="138" t="s">
        <v>207</v>
      </c>
      <c r="C303" s="605" t="s">
        <v>174</v>
      </c>
      <c r="D303" s="605"/>
      <c r="E303" s="605"/>
      <c r="F303" s="605"/>
      <c r="G303" s="223" t="s">
        <v>128</v>
      </c>
      <c r="H303" s="139" t="s">
        <v>488</v>
      </c>
      <c r="I303" s="605" t="s">
        <v>226</v>
      </c>
      <c r="J303" s="605"/>
      <c r="K303" s="138" t="s">
        <v>246</v>
      </c>
    </row>
    <row r="304" spans="2:11" ht="15" customHeight="1" x14ac:dyDescent="0.25">
      <c r="B304" s="115" t="s">
        <v>766</v>
      </c>
      <c r="C304" s="606" t="s">
        <v>490</v>
      </c>
      <c r="D304" s="606"/>
      <c r="E304" s="606"/>
      <c r="F304" s="606"/>
      <c r="G304" s="590">
        <v>23</v>
      </c>
      <c r="H304" s="166">
        <v>24</v>
      </c>
      <c r="I304" s="607">
        <f>'10 - CUSTOS UN'!$J$117</f>
        <v>53.346666666666664</v>
      </c>
      <c r="J304" s="607"/>
      <c r="K304" s="227">
        <f>(I304*G304)/H304</f>
        <v>51.123888888888892</v>
      </c>
    </row>
    <row r="305" spans="2:11" ht="15" customHeight="1" x14ac:dyDescent="0.25">
      <c r="B305" s="5" t="s">
        <v>767</v>
      </c>
      <c r="C305" s="594" t="s">
        <v>492</v>
      </c>
      <c r="D305" s="594"/>
      <c r="E305" s="594"/>
      <c r="F305" s="594"/>
      <c r="G305" s="243">
        <v>7</v>
      </c>
      <c r="H305" s="166">
        <v>60</v>
      </c>
      <c r="I305" s="599">
        <f>'10 - CUSTOS UN'!$J$243</f>
        <v>1727.96</v>
      </c>
      <c r="J305" s="599"/>
      <c r="K305" s="31">
        <f>(I305*G305)/H305</f>
        <v>201.59533333333334</v>
      </c>
    </row>
    <row r="306" spans="2:11" ht="15" customHeight="1" x14ac:dyDescent="0.25">
      <c r="B306" s="5" t="s">
        <v>768</v>
      </c>
      <c r="C306" s="594" t="s">
        <v>496</v>
      </c>
      <c r="D306" s="594"/>
      <c r="E306" s="594"/>
      <c r="F306" s="594"/>
      <c r="G306" s="243">
        <v>8</v>
      </c>
      <c r="H306" s="4">
        <v>12</v>
      </c>
      <c r="I306" s="599">
        <f>'10 - CUSTOS UN'!$J$18</f>
        <v>83.660000000000011</v>
      </c>
      <c r="J306" s="599"/>
      <c r="K306" s="247">
        <f>(G306*I306)/H306</f>
        <v>55.773333333333341</v>
      </c>
    </row>
    <row r="307" spans="2:11" ht="15" customHeight="1" x14ac:dyDescent="0.25">
      <c r="B307" s="115" t="s">
        <v>769</v>
      </c>
      <c r="C307" s="604" t="s">
        <v>498</v>
      </c>
      <c r="D307" s="604"/>
      <c r="E307" s="604"/>
      <c r="F307" s="604"/>
      <c r="G307" s="243">
        <v>16</v>
      </c>
      <c r="H307" s="4">
        <v>12</v>
      </c>
      <c r="I307" s="599">
        <f>'10 - CUSTOS UN'!$J$60</f>
        <v>4.1399999999999997</v>
      </c>
      <c r="J307" s="599"/>
      <c r="K307" s="247">
        <f>(I307*G307)/H307</f>
        <v>5.52</v>
      </c>
    </row>
    <row r="308" spans="2:11" ht="15" customHeight="1" x14ac:dyDescent="0.25">
      <c r="B308" s="5" t="s">
        <v>770</v>
      </c>
      <c r="C308" s="594" t="s">
        <v>500</v>
      </c>
      <c r="D308" s="594"/>
      <c r="E308" s="594"/>
      <c r="F308" s="594"/>
      <c r="G308" s="243">
        <v>1</v>
      </c>
      <c r="H308" s="4">
        <v>1</v>
      </c>
      <c r="I308" s="599">
        <f>'10 - CUSTOS UN'!$J$105</f>
        <v>22.343333333333334</v>
      </c>
      <c r="J308" s="599"/>
      <c r="K308" s="247">
        <f>(I308*G308)/H308</f>
        <v>22.343333333333334</v>
      </c>
    </row>
    <row r="309" spans="2:11" ht="15" customHeight="1" x14ac:dyDescent="0.25">
      <c r="B309" s="115" t="s">
        <v>771</v>
      </c>
      <c r="C309" s="594" t="s">
        <v>502</v>
      </c>
      <c r="D309" s="594"/>
      <c r="E309" s="594"/>
      <c r="F309" s="594"/>
      <c r="G309" s="243">
        <v>8</v>
      </c>
      <c r="H309" s="4">
        <v>1</v>
      </c>
      <c r="I309" s="599">
        <f>'10 - CUSTOS UN'!$J$96</f>
        <v>13.38</v>
      </c>
      <c r="J309" s="599"/>
      <c r="K309" s="247">
        <f>G309*I309/H309</f>
        <v>107.04</v>
      </c>
    </row>
    <row r="310" spans="2:11" ht="15" customHeight="1" x14ac:dyDescent="0.25">
      <c r="B310" s="5" t="s">
        <v>772</v>
      </c>
      <c r="C310" s="594" t="s">
        <v>504</v>
      </c>
      <c r="D310" s="594"/>
      <c r="E310" s="594"/>
      <c r="F310" s="594"/>
      <c r="G310" s="243">
        <v>1</v>
      </c>
      <c r="H310" s="4">
        <v>1</v>
      </c>
      <c r="I310" s="599">
        <f>'10 - CUSTOS UN'!$J$6</f>
        <v>34.836666666666666</v>
      </c>
      <c r="J310" s="599"/>
      <c r="K310" s="31">
        <f>G310*I310/H310</f>
        <v>34.836666666666666</v>
      </c>
    </row>
    <row r="311" spans="2:11" ht="15" customHeight="1" x14ac:dyDescent="0.25">
      <c r="B311" s="115" t="s">
        <v>773</v>
      </c>
      <c r="C311" s="594" t="s">
        <v>774</v>
      </c>
      <c r="D311" s="594"/>
      <c r="E311" s="594"/>
      <c r="F311" s="594"/>
      <c r="G311" s="170">
        <v>160</v>
      </c>
      <c r="H311" s="4">
        <v>60</v>
      </c>
      <c r="I311" s="599">
        <f>'10 - CUSTOS UN'!J102</f>
        <v>247.79666666666665</v>
      </c>
      <c r="J311" s="599"/>
      <c r="K311" s="31">
        <f>(I311*G311)/H311</f>
        <v>660.79111111111115</v>
      </c>
    </row>
    <row r="312" spans="2:11" ht="15" customHeight="1" x14ac:dyDescent="0.25">
      <c r="B312" s="5" t="s">
        <v>775</v>
      </c>
      <c r="C312" s="604" t="s">
        <v>776</v>
      </c>
      <c r="D312" s="604"/>
      <c r="E312" s="604"/>
      <c r="F312" s="604"/>
      <c r="G312" s="170">
        <v>8</v>
      </c>
      <c r="H312" s="4">
        <v>1</v>
      </c>
      <c r="I312" s="599">
        <f>'10 - CUSTOS UN'!J12</f>
        <v>94.673333333333332</v>
      </c>
      <c r="J312" s="599"/>
      <c r="K312" s="31">
        <f>I312*G312</f>
        <v>757.38666666666666</v>
      </c>
    </row>
    <row r="313" spans="2:11" ht="15" customHeight="1" x14ac:dyDescent="0.25">
      <c r="B313" s="115" t="s">
        <v>777</v>
      </c>
      <c r="C313" s="349" t="s">
        <v>778</v>
      </c>
      <c r="D313" s="350"/>
      <c r="E313" s="350"/>
      <c r="F313" s="351"/>
      <c r="G313" s="243">
        <v>1</v>
      </c>
      <c r="H313" s="166">
        <v>120</v>
      </c>
      <c r="I313" s="599">
        <f>'10 - CUSTOS UN'!J123</f>
        <v>1326.83</v>
      </c>
      <c r="J313" s="599"/>
      <c r="K313" s="227">
        <f>I313/H313*G313</f>
        <v>11.056916666666666</v>
      </c>
    </row>
    <row r="314" spans="2:11" ht="15" customHeight="1" x14ac:dyDescent="0.25">
      <c r="B314" s="600" t="s">
        <v>779</v>
      </c>
      <c r="C314" s="600"/>
      <c r="D314" s="600"/>
      <c r="E314" s="600"/>
      <c r="F314" s="600"/>
      <c r="G314" s="600"/>
      <c r="H314" s="600"/>
      <c r="I314" s="600"/>
      <c r="J314" s="600"/>
      <c r="K314" s="352">
        <f>SUM(K304:K313)</f>
        <v>1907.4672499999999</v>
      </c>
    </row>
    <row r="315" spans="2:11" ht="15" customHeight="1" x14ac:dyDescent="0.25">
      <c r="B315" s="108"/>
      <c r="C315" s="108"/>
      <c r="D315" s="108"/>
      <c r="E315" s="108"/>
      <c r="F315" s="108"/>
      <c r="G315" s="108"/>
      <c r="H315" s="108"/>
      <c r="I315" s="108"/>
      <c r="J315" s="108"/>
      <c r="K315" s="242"/>
    </row>
    <row r="316" spans="2:11" ht="15" customHeight="1" x14ac:dyDescent="0.25">
      <c r="B316" s="108"/>
      <c r="C316" s="108"/>
      <c r="D316" s="108"/>
      <c r="E316" s="108"/>
      <c r="F316" s="108"/>
      <c r="G316" s="108"/>
      <c r="H316" s="108"/>
      <c r="I316" s="108"/>
      <c r="J316" s="108"/>
      <c r="K316" s="242"/>
    </row>
    <row r="317" spans="2:11" ht="15" customHeight="1" x14ac:dyDescent="0.25">
      <c r="B317" s="597" t="s">
        <v>675</v>
      </c>
      <c r="C317" s="597"/>
      <c r="D317" s="597"/>
      <c r="E317" s="597"/>
      <c r="F317" s="597"/>
      <c r="G317" s="597"/>
      <c r="H317" s="597"/>
      <c r="I317" s="597"/>
      <c r="J317" s="597"/>
      <c r="K317" s="241">
        <f>SUM(K314,K298,K103,K68)</f>
        <v>298342.30645670951</v>
      </c>
    </row>
    <row r="318" spans="2:11" ht="15" customHeight="1" x14ac:dyDescent="0.25">
      <c r="B318" s="108"/>
      <c r="C318" s="108"/>
      <c r="D318" s="108"/>
      <c r="E318" s="108"/>
      <c r="F318" s="108"/>
      <c r="G318" s="108"/>
      <c r="H318" s="108"/>
      <c r="I318" s="108"/>
      <c r="J318" s="108"/>
      <c r="K318" s="242"/>
    </row>
    <row r="319" spans="2:11" ht="15" customHeight="1" x14ac:dyDescent="0.25">
      <c r="B319" s="108"/>
      <c r="C319" s="108"/>
      <c r="D319" s="108"/>
      <c r="E319" s="108"/>
      <c r="F319" s="108"/>
      <c r="G319" s="108"/>
      <c r="H319" s="108"/>
      <c r="I319" s="108"/>
      <c r="J319" s="108"/>
      <c r="K319" s="242"/>
    </row>
    <row r="320" spans="2:11" ht="15" customHeight="1" x14ac:dyDescent="0.25">
      <c r="B320" s="601" t="s">
        <v>780</v>
      </c>
      <c r="C320" s="601"/>
      <c r="D320" s="601"/>
      <c r="E320" s="601"/>
      <c r="F320" s="601"/>
      <c r="G320" s="601"/>
      <c r="H320" s="601"/>
      <c r="I320" s="601"/>
      <c r="J320" s="601"/>
      <c r="K320" s="601"/>
    </row>
    <row r="321" spans="2:11" ht="15" customHeight="1" x14ac:dyDescent="0.25">
      <c r="K321" s="12"/>
    </row>
    <row r="322" spans="2:11" ht="15" customHeight="1" x14ac:dyDescent="0.25">
      <c r="B322" s="341" t="s">
        <v>207</v>
      </c>
      <c r="C322" s="602" t="s">
        <v>174</v>
      </c>
      <c r="D322" s="602"/>
      <c r="E322" s="602"/>
      <c r="F322" s="602"/>
      <c r="G322" s="602"/>
      <c r="H322" s="342" t="s">
        <v>89</v>
      </c>
      <c r="I322" s="603" t="s">
        <v>507</v>
      </c>
      <c r="J322" s="603"/>
      <c r="K322" s="341" t="s">
        <v>301</v>
      </c>
    </row>
    <row r="323" spans="2:11" ht="15" customHeight="1" x14ac:dyDescent="0.25">
      <c r="B323" s="5" t="s">
        <v>701</v>
      </c>
      <c r="C323" s="594" t="s">
        <v>509</v>
      </c>
      <c r="D323" s="594"/>
      <c r="E323" s="594"/>
      <c r="F323" s="594"/>
      <c r="G323" s="594"/>
      <c r="H323" s="5"/>
      <c r="I323" s="595">
        <f>'OK 4 - ADM LOCAL - SELETIVA'!K382</f>
        <v>114005.14023490343</v>
      </c>
      <c r="J323" s="595"/>
      <c r="K323" s="133">
        <f>I323</f>
        <v>114005.14023490343</v>
      </c>
    </row>
    <row r="324" spans="2:11" ht="15" customHeight="1" x14ac:dyDescent="0.25">
      <c r="B324" s="5" t="s">
        <v>702</v>
      </c>
      <c r="C324" s="594" t="s">
        <v>86</v>
      </c>
      <c r="D324" s="594"/>
      <c r="E324" s="594"/>
      <c r="F324" s="594"/>
      <c r="G324" s="594"/>
      <c r="H324" s="249">
        <f>'9 - BDI'!D15</f>
        <v>0.27689893995634196</v>
      </c>
      <c r="I324" s="595">
        <f>K317</f>
        <v>298342.30645670951</v>
      </c>
      <c r="J324" s="595"/>
      <c r="K324" s="133">
        <f>I324*H324</f>
        <v>82610.668401992982</v>
      </c>
    </row>
    <row r="325" spans="2:11" ht="15" customHeight="1" x14ac:dyDescent="0.25">
      <c r="B325" s="596" t="s">
        <v>548</v>
      </c>
      <c r="C325" s="596"/>
      <c r="D325" s="596"/>
      <c r="E325" s="596"/>
      <c r="F325" s="596"/>
      <c r="G325" s="596"/>
      <c r="H325" s="596"/>
      <c r="I325" s="596"/>
      <c r="J325" s="596"/>
      <c r="K325" s="250">
        <f>SUM(K323:K324)</f>
        <v>196615.80863689643</v>
      </c>
    </row>
    <row r="326" spans="2:11" ht="15" customHeight="1" x14ac:dyDescent="0.25">
      <c r="B326" s="186"/>
      <c r="C326" s="186"/>
      <c r="D326" s="186"/>
      <c r="E326" s="186"/>
      <c r="F326" s="186"/>
      <c r="I326" s="1"/>
      <c r="J326" s="1"/>
      <c r="K326" s="109"/>
    </row>
    <row r="327" spans="2:11" ht="15" customHeight="1" x14ac:dyDescent="0.25">
      <c r="B327" s="186"/>
      <c r="C327" s="186"/>
      <c r="D327" s="186"/>
      <c r="E327" s="186"/>
      <c r="F327" s="186"/>
      <c r="I327" s="1"/>
      <c r="J327" s="1"/>
      <c r="K327" s="109"/>
    </row>
    <row r="328" spans="2:11" ht="15" customHeight="1" x14ac:dyDescent="0.25">
      <c r="B328" s="597" t="s">
        <v>781</v>
      </c>
      <c r="C328" s="597"/>
      <c r="D328" s="597"/>
      <c r="E328" s="597"/>
      <c r="F328" s="597"/>
      <c r="G328" s="597"/>
      <c r="H328" s="597"/>
      <c r="I328" s="597"/>
      <c r="J328" s="597"/>
      <c r="K328" s="241">
        <f>K317+K325</f>
        <v>494958.11509360594</v>
      </c>
    </row>
    <row r="330" spans="2:11" ht="15" customHeight="1" x14ac:dyDescent="0.25">
      <c r="B330" s="198"/>
      <c r="K330" s="199"/>
    </row>
    <row r="331" spans="2:11" ht="15" customHeight="1" x14ac:dyDescent="0.25">
      <c r="B331" s="198"/>
      <c r="K331" s="1"/>
    </row>
    <row r="332" spans="2:11" ht="44.25" customHeight="1" x14ac:dyDescent="0.25">
      <c r="B332" s="598"/>
      <c r="C332" s="598"/>
      <c r="D332" s="598"/>
      <c r="E332" s="598"/>
      <c r="F332" s="598"/>
      <c r="G332" s="598"/>
      <c r="H332" s="598"/>
      <c r="I332" s="598"/>
      <c r="J332" s="598"/>
      <c r="K332" s="200"/>
    </row>
    <row r="1048575" ht="12.75" customHeight="1" x14ac:dyDescent="0.25"/>
    <row r="1048576" ht="12.75" customHeight="1" x14ac:dyDescent="0.25"/>
  </sheetData>
  <mergeCells count="472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C18:G18"/>
    <mergeCell ref="I18:J18"/>
    <mergeCell ref="B19:J19"/>
    <mergeCell ref="B20:J20"/>
    <mergeCell ref="B21:G21"/>
    <mergeCell ref="I21:J21"/>
    <mergeCell ref="B23:K23"/>
    <mergeCell ref="B24:K24"/>
    <mergeCell ref="B25:K25"/>
    <mergeCell ref="C26:G26"/>
    <mergeCell ref="C27:G27"/>
    <mergeCell ref="C30:G30"/>
    <mergeCell ref="C31:I31"/>
    <mergeCell ref="C32:I32"/>
    <mergeCell ref="C33:I33"/>
    <mergeCell ref="C34:I34"/>
    <mergeCell ref="C35:I35"/>
    <mergeCell ref="C36:I36"/>
    <mergeCell ref="C37:I37"/>
    <mergeCell ref="C38:G38"/>
    <mergeCell ref="C39:G39"/>
    <mergeCell ref="C40:G40"/>
    <mergeCell ref="C41:G41"/>
    <mergeCell ref="C42:G42"/>
    <mergeCell ref="C43:I43"/>
    <mergeCell ref="B44:J44"/>
    <mergeCell ref="B45:H45"/>
    <mergeCell ref="B47:K47"/>
    <mergeCell ref="C48:G48"/>
    <mergeCell ref="C49:G49"/>
    <mergeCell ref="C52:G52"/>
    <mergeCell ref="C53:I53"/>
    <mergeCell ref="C54:I54"/>
    <mergeCell ref="C55:I55"/>
    <mergeCell ref="C56:I56"/>
    <mergeCell ref="C57:I57"/>
    <mergeCell ref="C58:I58"/>
    <mergeCell ref="C59:I59"/>
    <mergeCell ref="C60:G60"/>
    <mergeCell ref="C61:G61"/>
    <mergeCell ref="C62:G62"/>
    <mergeCell ref="C63:G63"/>
    <mergeCell ref="C64:I64"/>
    <mergeCell ref="B65:J65"/>
    <mergeCell ref="B66:H66"/>
    <mergeCell ref="B68:J68"/>
    <mergeCell ref="B71:K71"/>
    <mergeCell ref="B73:K73"/>
    <mergeCell ref="B74:F74"/>
    <mergeCell ref="I74:J74"/>
    <mergeCell ref="B75:F75"/>
    <mergeCell ref="I75:J75"/>
    <mergeCell ref="B76:F76"/>
    <mergeCell ref="I76:J76"/>
    <mergeCell ref="B77:F77"/>
    <mergeCell ref="I77:J77"/>
    <mergeCell ref="B78:F78"/>
    <mergeCell ref="I78:J78"/>
    <mergeCell ref="B79:F79"/>
    <mergeCell ref="I79:J79"/>
    <mergeCell ref="B80:F80"/>
    <mergeCell ref="I80:J80"/>
    <mergeCell ref="B81:F81"/>
    <mergeCell ref="I81:J81"/>
    <mergeCell ref="B82:F82"/>
    <mergeCell ref="I82:J82"/>
    <mergeCell ref="B83:F83"/>
    <mergeCell ref="I83:J83"/>
    <mergeCell ref="B84:F84"/>
    <mergeCell ref="I84:J84"/>
    <mergeCell ref="B85:F85"/>
    <mergeCell ref="I85:J85"/>
    <mergeCell ref="B86:F86"/>
    <mergeCell ref="I86:J86"/>
    <mergeCell ref="B87:F87"/>
    <mergeCell ref="I87:J87"/>
    <mergeCell ref="B88:F88"/>
    <mergeCell ref="I88:J88"/>
    <mergeCell ref="B90:K90"/>
    <mergeCell ref="B91:F91"/>
    <mergeCell ref="I91:J91"/>
    <mergeCell ref="B92:F92"/>
    <mergeCell ref="I92:J92"/>
    <mergeCell ref="B93:F93"/>
    <mergeCell ref="I93:J93"/>
    <mergeCell ref="B94:F94"/>
    <mergeCell ref="I94:J94"/>
    <mergeCell ref="B95:F95"/>
    <mergeCell ref="I95:J95"/>
    <mergeCell ref="B96:F96"/>
    <mergeCell ref="I96:J96"/>
    <mergeCell ref="B97:F97"/>
    <mergeCell ref="I97:J97"/>
    <mergeCell ref="B98:F98"/>
    <mergeCell ref="I98:J98"/>
    <mergeCell ref="B99:F99"/>
    <mergeCell ref="I99:J99"/>
    <mergeCell ref="B100:F100"/>
    <mergeCell ref="I100:J100"/>
    <mergeCell ref="B101:F101"/>
    <mergeCell ref="I101:J101"/>
    <mergeCell ref="B102:F102"/>
    <mergeCell ref="I102:J102"/>
    <mergeCell ref="B103:J103"/>
    <mergeCell ref="B106:K106"/>
    <mergeCell ref="B108:K108"/>
    <mergeCell ref="C109:H109"/>
    <mergeCell ref="I109:J109"/>
    <mergeCell ref="C110:H110"/>
    <mergeCell ref="I110:J110"/>
    <mergeCell ref="C111:H111"/>
    <mergeCell ref="I111:J111"/>
    <mergeCell ref="C112:H112"/>
    <mergeCell ref="I112:J112"/>
    <mergeCell ref="C113:H113"/>
    <mergeCell ref="I113:J113"/>
    <mergeCell ref="C114:H114"/>
    <mergeCell ref="I114:J114"/>
    <mergeCell ref="C115:H115"/>
    <mergeCell ref="I115:J115"/>
    <mergeCell ref="C116:H116"/>
    <mergeCell ref="I116:J116"/>
    <mergeCell ref="C117:H117"/>
    <mergeCell ref="I117:J117"/>
    <mergeCell ref="C118:H118"/>
    <mergeCell ref="I118:J118"/>
    <mergeCell ref="C119:H119"/>
    <mergeCell ref="I119:J119"/>
    <mergeCell ref="C120:H120"/>
    <mergeCell ref="I120:J120"/>
    <mergeCell ref="C121:H121"/>
    <mergeCell ref="I121:J121"/>
    <mergeCell ref="C122:H122"/>
    <mergeCell ref="I122:J122"/>
    <mergeCell ref="C123:H123"/>
    <mergeCell ref="I123:J123"/>
    <mergeCell ref="C124:H124"/>
    <mergeCell ref="I124:J124"/>
    <mergeCell ref="C125:H125"/>
    <mergeCell ref="I125:J125"/>
    <mergeCell ref="C126:H126"/>
    <mergeCell ref="I126:J126"/>
    <mergeCell ref="B129:K129"/>
    <mergeCell ref="B131:K131"/>
    <mergeCell ref="I132:J132"/>
    <mergeCell ref="B133:F133"/>
    <mergeCell ref="I133:J133"/>
    <mergeCell ref="B134:F134"/>
    <mergeCell ref="I134:J134"/>
    <mergeCell ref="B135:F135"/>
    <mergeCell ref="I135:J135"/>
    <mergeCell ref="B136:F136"/>
    <mergeCell ref="I136:J136"/>
    <mergeCell ref="B137:F137"/>
    <mergeCell ref="I137:J137"/>
    <mergeCell ref="B138:F138"/>
    <mergeCell ref="I138:J138"/>
    <mergeCell ref="B139:F139"/>
    <mergeCell ref="I139:J139"/>
    <mergeCell ref="B140:F140"/>
    <mergeCell ref="I140:J140"/>
    <mergeCell ref="B141:F141"/>
    <mergeCell ref="I141:J141"/>
    <mergeCell ref="B142:F142"/>
    <mergeCell ref="I142:J142"/>
    <mergeCell ref="B143:F143"/>
    <mergeCell ref="I143:J143"/>
    <mergeCell ref="B144:F144"/>
    <mergeCell ref="I144:J144"/>
    <mergeCell ref="B146:K146"/>
    <mergeCell ref="B147:F147"/>
    <mergeCell ref="I147:J147"/>
    <mergeCell ref="B148:F148"/>
    <mergeCell ref="I148:J148"/>
    <mergeCell ref="B149:F149"/>
    <mergeCell ref="I149:J149"/>
    <mergeCell ref="B150:F150"/>
    <mergeCell ref="I150:J150"/>
    <mergeCell ref="B151:F151"/>
    <mergeCell ref="I151:J151"/>
    <mergeCell ref="B152:F152"/>
    <mergeCell ref="I152:J152"/>
    <mergeCell ref="B153:F153"/>
    <mergeCell ref="I153:J153"/>
    <mergeCell ref="B154:F154"/>
    <mergeCell ref="I154:J154"/>
    <mergeCell ref="B155:F155"/>
    <mergeCell ref="I155:J155"/>
    <mergeCell ref="B156:F156"/>
    <mergeCell ref="I156:J156"/>
    <mergeCell ref="B157:F157"/>
    <mergeCell ref="I157:J157"/>
    <mergeCell ref="B158:F158"/>
    <mergeCell ref="I158:J158"/>
    <mergeCell ref="B159:F159"/>
    <mergeCell ref="I159:J159"/>
    <mergeCell ref="B160:K162"/>
    <mergeCell ref="B164:K164"/>
    <mergeCell ref="M164:M171"/>
    <mergeCell ref="B165:F165"/>
    <mergeCell ref="I165:J165"/>
    <mergeCell ref="B166:F166"/>
    <mergeCell ref="I166:J166"/>
    <mergeCell ref="B167:F167"/>
    <mergeCell ref="I167:J167"/>
    <mergeCell ref="B168:F168"/>
    <mergeCell ref="I168:J168"/>
    <mergeCell ref="B169:F169"/>
    <mergeCell ref="I169:J169"/>
    <mergeCell ref="B170:F170"/>
    <mergeCell ref="I170:J170"/>
    <mergeCell ref="B171:F171"/>
    <mergeCell ref="I171:J171"/>
    <mergeCell ref="B173:K173"/>
    <mergeCell ref="B174:F174"/>
    <mergeCell ref="I174:J174"/>
    <mergeCell ref="B175:F175"/>
    <mergeCell ref="I175:J175"/>
    <mergeCell ref="B176:F176"/>
    <mergeCell ref="I176:J176"/>
    <mergeCell ref="B177:F177"/>
    <mergeCell ref="I177:J177"/>
    <mergeCell ref="B178:F178"/>
    <mergeCell ref="I178:J178"/>
    <mergeCell ref="B179:F179"/>
    <mergeCell ref="I179:J179"/>
    <mergeCell ref="B180:K180"/>
    <mergeCell ref="B182:K182"/>
    <mergeCell ref="B183:F183"/>
    <mergeCell ref="I183:J183"/>
    <mergeCell ref="B184:F184"/>
    <mergeCell ref="I184:J184"/>
    <mergeCell ref="B185:F185"/>
    <mergeCell ref="I185:J185"/>
    <mergeCell ref="B186:F186"/>
    <mergeCell ref="I186:J186"/>
    <mergeCell ref="B187:F187"/>
    <mergeCell ref="I187:J187"/>
    <mergeCell ref="B188:F188"/>
    <mergeCell ref="I188:J188"/>
    <mergeCell ref="B189:F189"/>
    <mergeCell ref="I189:J189"/>
    <mergeCell ref="B190:F190"/>
    <mergeCell ref="I190:J190"/>
    <mergeCell ref="B191:F191"/>
    <mergeCell ref="I191:J191"/>
    <mergeCell ref="B192:F192"/>
    <mergeCell ref="I192:J192"/>
    <mergeCell ref="B194:K194"/>
    <mergeCell ref="B195:F195"/>
    <mergeCell ref="I195:J195"/>
    <mergeCell ref="B196:F196"/>
    <mergeCell ref="I196:J196"/>
    <mergeCell ref="B197:F197"/>
    <mergeCell ref="I197:J197"/>
    <mergeCell ref="B198:F198"/>
    <mergeCell ref="I198:J198"/>
    <mergeCell ref="B199:F199"/>
    <mergeCell ref="I199:J199"/>
    <mergeCell ref="B200:F200"/>
    <mergeCell ref="I200:J200"/>
    <mergeCell ref="B201:F201"/>
    <mergeCell ref="I201:J201"/>
    <mergeCell ref="B202:F202"/>
    <mergeCell ref="I202:J202"/>
    <mergeCell ref="B203:F203"/>
    <mergeCell ref="I203:J203"/>
    <mergeCell ref="B205:K205"/>
    <mergeCell ref="B206:F206"/>
    <mergeCell ref="I206:J206"/>
    <mergeCell ref="B207:F207"/>
    <mergeCell ref="I207:J207"/>
    <mergeCell ref="B208:F208"/>
    <mergeCell ref="I208:J208"/>
    <mergeCell ref="B209:K211"/>
    <mergeCell ref="B213:J213"/>
    <mergeCell ref="B214:J214"/>
    <mergeCell ref="B216:K216"/>
    <mergeCell ref="B218:K218"/>
    <mergeCell ref="I219:J219"/>
    <mergeCell ref="B220:F220"/>
    <mergeCell ref="I220:J220"/>
    <mergeCell ref="B221:F221"/>
    <mergeCell ref="I221:J221"/>
    <mergeCell ref="B222:F222"/>
    <mergeCell ref="I222:J222"/>
    <mergeCell ref="B223:F223"/>
    <mergeCell ref="I223:J223"/>
    <mergeCell ref="B224:F224"/>
    <mergeCell ref="I224:J224"/>
    <mergeCell ref="B225:F225"/>
    <mergeCell ref="I225:J225"/>
    <mergeCell ref="B226:F226"/>
    <mergeCell ref="I226:J226"/>
    <mergeCell ref="B227:F227"/>
    <mergeCell ref="I227:J227"/>
    <mergeCell ref="B228:F228"/>
    <mergeCell ref="I228:J228"/>
    <mergeCell ref="B229:F229"/>
    <mergeCell ref="I229:J229"/>
    <mergeCell ref="B230:F230"/>
    <mergeCell ref="I230:J230"/>
    <mergeCell ref="B231:F231"/>
    <mergeCell ref="I231:J231"/>
    <mergeCell ref="B233:K233"/>
    <mergeCell ref="B234:F234"/>
    <mergeCell ref="I234:J234"/>
    <mergeCell ref="B235:F235"/>
    <mergeCell ref="I235:J235"/>
    <mergeCell ref="B236:F236"/>
    <mergeCell ref="I236:J236"/>
    <mergeCell ref="B237:F237"/>
    <mergeCell ref="I237:J237"/>
    <mergeCell ref="B238:F238"/>
    <mergeCell ref="I238:J238"/>
    <mergeCell ref="B239:F239"/>
    <mergeCell ref="I239:J239"/>
    <mergeCell ref="B240:F240"/>
    <mergeCell ref="I240:J240"/>
    <mergeCell ref="B241:F241"/>
    <mergeCell ref="I241:J241"/>
    <mergeCell ref="B242:F242"/>
    <mergeCell ref="I242:J242"/>
    <mergeCell ref="B243:F243"/>
    <mergeCell ref="I243:J243"/>
    <mergeCell ref="B244:F244"/>
    <mergeCell ref="I244:J244"/>
    <mergeCell ref="B245:F245"/>
    <mergeCell ref="I245:J245"/>
    <mergeCell ref="B246:F246"/>
    <mergeCell ref="I246:J246"/>
    <mergeCell ref="B248:K248"/>
    <mergeCell ref="B249:F249"/>
    <mergeCell ref="I249:J249"/>
    <mergeCell ref="B250:F250"/>
    <mergeCell ref="I250:J250"/>
    <mergeCell ref="B251:F251"/>
    <mergeCell ref="I251:J251"/>
    <mergeCell ref="B252:F252"/>
    <mergeCell ref="I252:J252"/>
    <mergeCell ref="B253:F253"/>
    <mergeCell ref="I253:J253"/>
    <mergeCell ref="B254:F254"/>
    <mergeCell ref="I254:J254"/>
    <mergeCell ref="B255:F255"/>
    <mergeCell ref="I255:J255"/>
    <mergeCell ref="B257:K257"/>
    <mergeCell ref="B258:F258"/>
    <mergeCell ref="I258:J258"/>
    <mergeCell ref="B259:F259"/>
    <mergeCell ref="I259:J259"/>
    <mergeCell ref="B260:F260"/>
    <mergeCell ref="I260:J260"/>
    <mergeCell ref="B261:F261"/>
    <mergeCell ref="I261:J261"/>
    <mergeCell ref="B262:F262"/>
    <mergeCell ref="I262:J262"/>
    <mergeCell ref="B263:F263"/>
    <mergeCell ref="I263:J263"/>
    <mergeCell ref="B264:K264"/>
    <mergeCell ref="B266:K266"/>
    <mergeCell ref="B267:F267"/>
    <mergeCell ref="I267:J267"/>
    <mergeCell ref="B268:F268"/>
    <mergeCell ref="I268:J268"/>
    <mergeCell ref="B269:F269"/>
    <mergeCell ref="I269:J269"/>
    <mergeCell ref="B270:F270"/>
    <mergeCell ref="I270:J270"/>
    <mergeCell ref="B271:F271"/>
    <mergeCell ref="I271:J271"/>
    <mergeCell ref="B272:F272"/>
    <mergeCell ref="I272:J272"/>
    <mergeCell ref="B273:F273"/>
    <mergeCell ref="I273:J273"/>
    <mergeCell ref="B274:F274"/>
    <mergeCell ref="I274:J274"/>
    <mergeCell ref="B275:F275"/>
    <mergeCell ref="I275:J275"/>
    <mergeCell ref="B276:F276"/>
    <mergeCell ref="I276:J276"/>
    <mergeCell ref="B278:K278"/>
    <mergeCell ref="B279:F279"/>
    <mergeCell ref="I279:J279"/>
    <mergeCell ref="B280:F280"/>
    <mergeCell ref="I280:J280"/>
    <mergeCell ref="B281:F281"/>
    <mergeCell ref="I281:J281"/>
    <mergeCell ref="B282:F282"/>
    <mergeCell ref="I282:J282"/>
    <mergeCell ref="B283:F283"/>
    <mergeCell ref="I283:J283"/>
    <mergeCell ref="B284:F284"/>
    <mergeCell ref="I284:J284"/>
    <mergeCell ref="B285:F285"/>
    <mergeCell ref="I285:J285"/>
    <mergeCell ref="B286:F286"/>
    <mergeCell ref="I286:J286"/>
    <mergeCell ref="B287:F287"/>
    <mergeCell ref="I287:J287"/>
    <mergeCell ref="B289:K289"/>
    <mergeCell ref="B290:F290"/>
    <mergeCell ref="I290:J290"/>
    <mergeCell ref="B291:F291"/>
    <mergeCell ref="I291:J291"/>
    <mergeCell ref="B292:F292"/>
    <mergeCell ref="I292:J292"/>
    <mergeCell ref="B294:J294"/>
    <mergeCell ref="B295:J295"/>
    <mergeCell ref="B298:J298"/>
    <mergeCell ref="B301:K301"/>
    <mergeCell ref="C303:F303"/>
    <mergeCell ref="I303:J303"/>
    <mergeCell ref="C304:F304"/>
    <mergeCell ref="I304:J304"/>
    <mergeCell ref="C305:F305"/>
    <mergeCell ref="I305:J305"/>
    <mergeCell ref="C306:F306"/>
    <mergeCell ref="I306:J306"/>
    <mergeCell ref="C307:F307"/>
    <mergeCell ref="I307:J307"/>
    <mergeCell ref="C308:F308"/>
    <mergeCell ref="I308:J308"/>
    <mergeCell ref="C309:F309"/>
    <mergeCell ref="I309:J309"/>
    <mergeCell ref="C310:F310"/>
    <mergeCell ref="I310:J310"/>
    <mergeCell ref="C311:F311"/>
    <mergeCell ref="I311:J311"/>
    <mergeCell ref="C312:F312"/>
    <mergeCell ref="I312:J312"/>
    <mergeCell ref="I313:J313"/>
    <mergeCell ref="B325:J325"/>
    <mergeCell ref="B328:J328"/>
    <mergeCell ref="B332:J332"/>
    <mergeCell ref="B314:J314"/>
    <mergeCell ref="B317:J317"/>
    <mergeCell ref="B320:K320"/>
    <mergeCell ref="C322:G322"/>
    <mergeCell ref="I322:J322"/>
    <mergeCell ref="C323:G323"/>
    <mergeCell ref="I323:J323"/>
    <mergeCell ref="C324:G324"/>
    <mergeCell ref="I324:J324"/>
  </mergeCells>
  <pageMargins left="0.51180555555555596" right="0.51180555555555596" top="0.78749999999999998" bottom="0.78749999999999998" header="0.511811023622047" footer="0.31527777777777799"/>
  <pageSetup paperSize="9" firstPageNumber="24" fitToHeight="0" orientation="portrait" useFirstPageNumber="1" horizontalDpi="300" verticalDpi="300"/>
  <headerFooter>
    <oddFooter>&amp;R&amp;P de 45</oddFooter>
  </headerFooter>
  <rowBreaks count="3" manualBreakCount="3">
    <brk id="115" max="16383" man="1"/>
    <brk id="168" max="16383" man="1"/>
    <brk id="219" max="16383" man="1"/>
  </rowBreaks>
  <ignoredErrors>
    <ignoredError sqref="K306 K9 K100 K186 K189 K27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048500"/>
  <sheetViews>
    <sheetView topLeftCell="A56" workbookViewId="0">
      <selection activeCell="M16" sqref="M16"/>
    </sheetView>
  </sheetViews>
  <sheetFormatPr defaultColWidth="13.42578125" defaultRowHeight="17.100000000000001" customHeight="1" x14ac:dyDescent="0.25"/>
  <cols>
    <col min="11" max="11" width="18.5703125" customWidth="1"/>
    <col min="12" max="12" width="13.42578125" style="535"/>
    <col min="13" max="13" width="23.28515625" style="535" customWidth="1"/>
    <col min="14" max="15" width="13.42578125" style="536"/>
  </cols>
  <sheetData>
    <row r="1" spans="1:13" ht="17.100000000000001" customHeight="1" x14ac:dyDescent="0.25">
      <c r="A1" s="251"/>
      <c r="B1" s="86"/>
      <c r="C1" s="86"/>
      <c r="D1" s="86"/>
      <c r="E1" s="86"/>
      <c r="F1" s="86"/>
      <c r="G1" s="86"/>
      <c r="H1" s="86"/>
      <c r="I1" s="86"/>
      <c r="J1" s="86"/>
      <c r="K1" s="252"/>
    </row>
    <row r="2" spans="1:13" ht="17.100000000000001" customHeight="1" x14ac:dyDescent="0.25">
      <c r="A2" s="86"/>
      <c r="B2" s="849" t="s">
        <v>782</v>
      </c>
      <c r="C2" s="849"/>
      <c r="D2" s="849"/>
      <c r="E2" s="849"/>
      <c r="F2" s="849"/>
      <c r="G2" s="849"/>
      <c r="H2" s="849"/>
      <c r="I2" s="849"/>
      <c r="J2" s="849"/>
      <c r="K2" s="849"/>
    </row>
    <row r="3" spans="1:13" ht="17.100000000000001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252"/>
    </row>
    <row r="4" spans="1:13" ht="17.100000000000001" customHeight="1" x14ac:dyDescent="0.25">
      <c r="A4" s="86"/>
      <c r="B4" s="780" t="s">
        <v>36</v>
      </c>
      <c r="C4" s="780"/>
      <c r="D4" s="780"/>
      <c r="E4" s="780"/>
      <c r="F4" s="780"/>
      <c r="G4" s="780"/>
      <c r="H4" s="780"/>
      <c r="I4" s="780"/>
      <c r="J4" s="780"/>
      <c r="K4" s="780"/>
    </row>
    <row r="5" spans="1:13" ht="30" x14ac:dyDescent="0.25">
      <c r="A5" s="86"/>
      <c r="B5" s="750" t="s">
        <v>37</v>
      </c>
      <c r="C5" s="750"/>
      <c r="D5" s="750"/>
      <c r="E5" s="750"/>
      <c r="F5" s="750"/>
      <c r="G5" s="750"/>
      <c r="H5" s="89" t="s">
        <v>38</v>
      </c>
      <c r="I5" s="832" t="s">
        <v>39</v>
      </c>
      <c r="J5" s="832"/>
      <c r="K5" s="253" t="s">
        <v>40</v>
      </c>
      <c r="M5" s="550"/>
    </row>
    <row r="6" spans="1:13" ht="17.100000000000001" customHeight="1" x14ac:dyDescent="0.25">
      <c r="A6" s="252"/>
      <c r="B6" s="254" t="s">
        <v>41</v>
      </c>
      <c r="C6" s="850" t="s">
        <v>42</v>
      </c>
      <c r="D6" s="850"/>
      <c r="E6" s="850"/>
      <c r="F6" s="850"/>
      <c r="G6" s="850"/>
      <c r="H6" s="255">
        <f>SUM(H7)</f>
        <v>1</v>
      </c>
      <c r="I6" s="843"/>
      <c r="J6" s="843"/>
      <c r="K6" s="256">
        <f>SUM(K7)</f>
        <v>12578.929312692355</v>
      </c>
    </row>
    <row r="7" spans="1:13" ht="17.100000000000001" customHeight="1" x14ac:dyDescent="0.25">
      <c r="A7" s="252"/>
      <c r="B7" s="77" t="s">
        <v>43</v>
      </c>
      <c r="C7" s="797" t="s">
        <v>44</v>
      </c>
      <c r="D7" s="797"/>
      <c r="E7" s="797"/>
      <c r="F7" s="797"/>
      <c r="G7" s="797"/>
      <c r="H7" s="584">
        <v>1</v>
      </c>
      <c r="I7" s="842">
        <f>K36</f>
        <v>12578.929312692355</v>
      </c>
      <c r="J7" s="842"/>
      <c r="K7" s="94">
        <f>I7*H7</f>
        <v>12578.929312692355</v>
      </c>
    </row>
    <row r="8" spans="1:13" ht="17.100000000000001" customHeight="1" x14ac:dyDescent="0.25">
      <c r="A8" s="252"/>
      <c r="B8" s="254" t="s">
        <v>67</v>
      </c>
      <c r="C8" s="843" t="s">
        <v>68</v>
      </c>
      <c r="D8" s="843"/>
      <c r="E8" s="843"/>
      <c r="F8" s="843"/>
      <c r="G8" s="843"/>
      <c r="H8" s="255">
        <f>SUM(H9)</f>
        <v>1</v>
      </c>
      <c r="I8" s="844"/>
      <c r="J8" s="844"/>
      <c r="K8" s="256">
        <f>SUM(K9)</f>
        <v>22.152222222222221</v>
      </c>
    </row>
    <row r="9" spans="1:13" ht="17.100000000000001" customHeight="1" x14ac:dyDescent="0.25">
      <c r="A9" s="252"/>
      <c r="B9" s="87" t="s">
        <v>69</v>
      </c>
      <c r="C9" s="797" t="s">
        <v>783</v>
      </c>
      <c r="D9" s="797"/>
      <c r="E9" s="797"/>
      <c r="F9" s="797"/>
      <c r="G9" s="797"/>
      <c r="H9" s="76">
        <f>H7</f>
        <v>1</v>
      </c>
      <c r="I9" s="842">
        <f>K50</f>
        <v>22.152222222222221</v>
      </c>
      <c r="J9" s="842"/>
      <c r="K9" s="257">
        <f>I9*H9</f>
        <v>22.152222222222221</v>
      </c>
    </row>
    <row r="10" spans="1:13" ht="17.100000000000001" customHeight="1" x14ac:dyDescent="0.25">
      <c r="A10" s="252"/>
      <c r="B10" s="254" t="s">
        <v>83</v>
      </c>
      <c r="C10" s="843" t="s">
        <v>84</v>
      </c>
      <c r="D10" s="843"/>
      <c r="E10" s="843"/>
      <c r="F10" s="843"/>
      <c r="G10" s="843"/>
      <c r="H10" s="255">
        <v>1</v>
      </c>
      <c r="I10" s="845"/>
      <c r="J10" s="845"/>
      <c r="K10" s="256">
        <f>K62</f>
        <v>8000</v>
      </c>
    </row>
    <row r="11" spans="1:13" ht="17.100000000000001" customHeight="1" x14ac:dyDescent="0.25">
      <c r="A11" s="252"/>
      <c r="B11" s="254" t="s">
        <v>85</v>
      </c>
      <c r="C11" s="843" t="s">
        <v>86</v>
      </c>
      <c r="D11" s="843"/>
      <c r="E11" s="843"/>
      <c r="F11" s="843"/>
      <c r="G11" s="843"/>
      <c r="H11" s="255">
        <v>1</v>
      </c>
      <c r="I11" s="845"/>
      <c r="J11" s="845"/>
      <c r="K11" s="256">
        <f>K70</f>
        <v>5704.4176389720169</v>
      </c>
    </row>
    <row r="12" spans="1:13" ht="17.100000000000001" customHeight="1" x14ac:dyDescent="0.25">
      <c r="A12" s="86"/>
      <c r="B12" s="840" t="s">
        <v>87</v>
      </c>
      <c r="C12" s="840"/>
      <c r="D12" s="840"/>
      <c r="E12" s="840"/>
      <c r="F12" s="840"/>
      <c r="G12" s="840"/>
      <c r="H12" s="840"/>
      <c r="I12" s="840"/>
      <c r="J12" s="840"/>
      <c r="K12" s="259">
        <f>SUM(K6+K8+K10+K11)</f>
        <v>26305.499173886594</v>
      </c>
      <c r="L12" s="541"/>
    </row>
    <row r="13" spans="1:13" ht="17.100000000000001" customHeight="1" x14ac:dyDescent="0.25">
      <c r="A13" s="86"/>
      <c r="B13" s="841" t="s">
        <v>88</v>
      </c>
      <c r="C13" s="841"/>
      <c r="D13" s="841"/>
      <c r="E13" s="841"/>
      <c r="F13" s="841"/>
      <c r="G13" s="841"/>
      <c r="H13" s="841"/>
      <c r="I13" s="841"/>
      <c r="J13" s="260" t="s">
        <v>89</v>
      </c>
      <c r="K13" s="261" t="s">
        <v>90</v>
      </c>
    </row>
    <row r="14" spans="1:13" ht="17.100000000000001" customHeight="1" x14ac:dyDescent="0.25">
      <c r="A14" s="86"/>
      <c r="B14" s="797" t="s">
        <v>784</v>
      </c>
      <c r="C14" s="797"/>
      <c r="D14" s="797"/>
      <c r="E14" s="797"/>
      <c r="F14" s="797"/>
      <c r="G14" s="797"/>
      <c r="H14" s="797"/>
      <c r="I14" s="797"/>
      <c r="J14" s="262">
        <f>I82</f>
        <v>2.0172477995829833E-2</v>
      </c>
      <c r="K14" s="94">
        <f>$K$12*J14</f>
        <v>530.64710325454712</v>
      </c>
    </row>
    <row r="15" spans="1:13" ht="17.100000000000001" customHeight="1" x14ac:dyDescent="0.25">
      <c r="A15" s="86"/>
      <c r="B15" s="780" t="s">
        <v>34</v>
      </c>
      <c r="C15" s="780"/>
      <c r="D15" s="780"/>
      <c r="E15" s="780"/>
      <c r="F15" s="780"/>
      <c r="G15" s="780"/>
      <c r="H15" s="780"/>
      <c r="I15" s="780"/>
      <c r="J15" s="263">
        <f>SUM(J14)</f>
        <v>2.0172477995829833E-2</v>
      </c>
      <c r="K15" s="264">
        <f>SUM(K14)</f>
        <v>530.64710325454712</v>
      </c>
    </row>
    <row r="16" spans="1:13" ht="20.100000000000001" customHeight="1" x14ac:dyDescent="0.25">
      <c r="A16" s="86"/>
      <c r="B16" s="810" t="s">
        <v>92</v>
      </c>
      <c r="C16" s="810"/>
      <c r="D16" s="810"/>
      <c r="E16" s="810"/>
      <c r="F16" s="810"/>
      <c r="G16" s="810"/>
      <c r="H16" s="810"/>
      <c r="I16" s="810"/>
      <c r="J16" s="810"/>
      <c r="K16" s="810"/>
    </row>
    <row r="17" spans="1:11" ht="17.100000000000001" customHeight="1" x14ac:dyDescent="0.25">
      <c r="A17" s="86"/>
      <c r="B17" s="86"/>
      <c r="C17" s="86"/>
      <c r="D17" s="86"/>
      <c r="E17" s="86"/>
      <c r="F17" s="86"/>
      <c r="G17" s="86"/>
      <c r="H17" s="86"/>
      <c r="I17" s="86"/>
      <c r="J17" s="86"/>
      <c r="K17" s="252"/>
    </row>
    <row r="18" spans="1:11" ht="17.100000000000001" customHeight="1" x14ac:dyDescent="0.25">
      <c r="A18" s="86"/>
      <c r="B18" s="788" t="s">
        <v>93</v>
      </c>
      <c r="C18" s="788"/>
      <c r="D18" s="788"/>
      <c r="E18" s="788"/>
      <c r="F18" s="788"/>
      <c r="G18" s="788"/>
      <c r="H18" s="788"/>
      <c r="I18" s="788"/>
      <c r="J18" s="788"/>
      <c r="K18" s="788"/>
    </row>
    <row r="19" spans="1:11" ht="17.100000000000001" customHeight="1" x14ac:dyDescent="0.25">
      <c r="A19" s="86"/>
      <c r="B19" s="867"/>
      <c r="C19" s="867"/>
      <c r="D19" s="867"/>
      <c r="E19" s="867"/>
      <c r="F19" s="867"/>
      <c r="G19" s="867"/>
      <c r="H19" s="867"/>
      <c r="I19" s="867"/>
      <c r="J19" s="867"/>
      <c r="K19" s="867"/>
    </row>
    <row r="20" spans="1:11" ht="17.100000000000001" customHeight="1" x14ac:dyDescent="0.25">
      <c r="A20" s="86"/>
      <c r="B20" s="353"/>
      <c r="C20" s="353"/>
      <c r="D20" s="353"/>
      <c r="E20" s="353"/>
      <c r="F20" s="353"/>
      <c r="G20" s="353"/>
      <c r="H20" s="353"/>
      <c r="I20" s="353"/>
      <c r="J20" s="353"/>
      <c r="K20" s="353"/>
    </row>
    <row r="21" spans="1:11" ht="17.100000000000001" customHeight="1" x14ac:dyDescent="0.25">
      <c r="A21" s="86"/>
      <c r="B21" s="752" t="s">
        <v>94</v>
      </c>
      <c r="C21" s="752"/>
      <c r="D21" s="752"/>
      <c r="E21" s="752"/>
      <c r="F21" s="752"/>
      <c r="G21" s="752"/>
      <c r="H21" s="752"/>
      <c r="I21" s="752"/>
      <c r="J21" s="752"/>
      <c r="K21" s="752"/>
    </row>
    <row r="22" spans="1:11" ht="17.100000000000001" customHeight="1" x14ac:dyDescent="0.25">
      <c r="A22" s="86"/>
      <c r="B22" s="72" t="s">
        <v>95</v>
      </c>
      <c r="C22" s="753" t="s">
        <v>96</v>
      </c>
      <c r="D22" s="753"/>
      <c r="E22" s="753"/>
      <c r="F22" s="753"/>
      <c r="G22" s="753"/>
      <c r="H22" s="753"/>
      <c r="I22" s="753"/>
      <c r="J22" s="73"/>
      <c r="K22" s="73" t="s">
        <v>97</v>
      </c>
    </row>
    <row r="23" spans="1:11" ht="17.100000000000001" customHeight="1" x14ac:dyDescent="0.25">
      <c r="A23" s="86"/>
      <c r="B23" s="77" t="s">
        <v>98</v>
      </c>
      <c r="C23" s="669" t="s">
        <v>99</v>
      </c>
      <c r="D23" s="669"/>
      <c r="E23" s="669"/>
      <c r="F23" s="669"/>
      <c r="G23" s="669"/>
      <c r="H23" s="669"/>
      <c r="I23" s="669"/>
      <c r="J23" s="81"/>
      <c r="K23" s="79">
        <f>'6 - DADOS CC MO'!E113</f>
        <v>6876.95</v>
      </c>
    </row>
    <row r="24" spans="1:11" ht="17.100000000000001" customHeight="1" x14ac:dyDescent="0.25">
      <c r="A24" s="86"/>
      <c r="B24" s="77"/>
      <c r="C24" s="748" t="s">
        <v>100</v>
      </c>
      <c r="D24" s="748"/>
      <c r="E24" s="748"/>
      <c r="F24" s="748"/>
      <c r="G24" s="748"/>
      <c r="H24" s="748"/>
      <c r="I24" s="748"/>
      <c r="J24" s="87"/>
      <c r="K24" s="88">
        <f>K23</f>
        <v>6876.95</v>
      </c>
    </row>
    <row r="25" spans="1:11" ht="17.100000000000001" customHeight="1" x14ac:dyDescent="0.25">
      <c r="A25" s="86"/>
      <c r="B25" s="73" t="s">
        <v>101</v>
      </c>
      <c r="C25" s="753" t="s">
        <v>102</v>
      </c>
      <c r="D25" s="753"/>
      <c r="E25" s="753"/>
      <c r="F25" s="753"/>
      <c r="G25" s="753"/>
      <c r="H25" s="753"/>
      <c r="I25" s="753"/>
      <c r="J25" s="73" t="s">
        <v>89</v>
      </c>
      <c r="K25" s="73" t="s">
        <v>97</v>
      </c>
    </row>
    <row r="26" spans="1:11" ht="17.100000000000001" customHeight="1" x14ac:dyDescent="0.25">
      <c r="A26" s="86"/>
      <c r="B26" s="76" t="s">
        <v>103</v>
      </c>
      <c r="C26" s="671" t="s">
        <v>104</v>
      </c>
      <c r="D26" s="671"/>
      <c r="E26" s="671"/>
      <c r="F26" s="671"/>
      <c r="G26" s="671"/>
      <c r="H26" s="671"/>
      <c r="I26" s="671"/>
      <c r="J26" s="262">
        <f>'7 - ENCARGOS SOCIAIS'!$D$13</f>
        <v>0.36800000000000005</v>
      </c>
      <c r="K26" s="79">
        <f>J26*K24</f>
        <v>2530.7176000000004</v>
      </c>
    </row>
    <row r="27" spans="1:11" ht="17.100000000000001" customHeight="1" x14ac:dyDescent="0.25">
      <c r="A27" s="86"/>
      <c r="B27" s="76" t="s">
        <v>105</v>
      </c>
      <c r="C27" s="671" t="s">
        <v>106</v>
      </c>
      <c r="D27" s="671"/>
      <c r="E27" s="671"/>
      <c r="F27" s="671"/>
      <c r="G27" s="671"/>
      <c r="H27" s="671"/>
      <c r="I27" s="671"/>
      <c r="J27" s="262">
        <f>'7 - ENCARGOS SOCIAIS'!$D$21</f>
        <v>0.15387245147090212</v>
      </c>
      <c r="K27" s="79">
        <f>J27*K24</f>
        <v>1058.1731551428202</v>
      </c>
    </row>
    <row r="28" spans="1:11" ht="17.100000000000001" customHeight="1" x14ac:dyDescent="0.25">
      <c r="A28" s="86"/>
      <c r="B28" s="76" t="s">
        <v>107</v>
      </c>
      <c r="C28" s="671" t="s">
        <v>108</v>
      </c>
      <c r="D28" s="671"/>
      <c r="E28" s="671"/>
      <c r="F28" s="671"/>
      <c r="G28" s="671"/>
      <c r="H28" s="671"/>
      <c r="I28" s="671"/>
      <c r="J28" s="262">
        <f>'7 - ENCARGOS SOCIAIS'!$D$28</f>
        <v>0.12666581537651095</v>
      </c>
      <c r="K28" s="79">
        <f>J28*K24</f>
        <v>871.07447905349693</v>
      </c>
    </row>
    <row r="29" spans="1:11" ht="17.100000000000001" customHeight="1" x14ac:dyDescent="0.25">
      <c r="A29" s="86"/>
      <c r="B29" s="76" t="s">
        <v>109</v>
      </c>
      <c r="C29" s="671" t="s">
        <v>110</v>
      </c>
      <c r="D29" s="671"/>
      <c r="E29" s="671"/>
      <c r="F29" s="671"/>
      <c r="G29" s="671"/>
      <c r="H29" s="671"/>
      <c r="I29" s="671"/>
      <c r="J29" s="262">
        <f>'7 - ENCARGOS SOCIAIS'!$D$32</f>
        <v>5.9231502118822603E-2</v>
      </c>
      <c r="K29" s="79">
        <f>J29*K24</f>
        <v>407.33207849603707</v>
      </c>
    </row>
    <row r="30" spans="1:11" ht="17.100000000000001" customHeight="1" x14ac:dyDescent="0.25">
      <c r="A30" s="86"/>
      <c r="B30" s="89"/>
      <c r="C30" s="750" t="s">
        <v>111</v>
      </c>
      <c r="D30" s="750"/>
      <c r="E30" s="750"/>
      <c r="F30" s="750"/>
      <c r="G30" s="750"/>
      <c r="H30" s="750"/>
      <c r="I30" s="750"/>
      <c r="J30" s="90">
        <f>SUM(J26:J29)</f>
        <v>0.70776976896623567</v>
      </c>
      <c r="K30" s="91">
        <f>SUM(K26:K29)</f>
        <v>4867.2973126923544</v>
      </c>
    </row>
    <row r="31" spans="1:11" ht="17.100000000000001" customHeight="1" x14ac:dyDescent="0.25">
      <c r="A31" s="86"/>
      <c r="B31" s="73" t="s">
        <v>112</v>
      </c>
      <c r="C31" s="751" t="s">
        <v>113</v>
      </c>
      <c r="D31" s="751"/>
      <c r="E31" s="751"/>
      <c r="F31" s="751"/>
      <c r="G31" s="751"/>
      <c r="H31" s="74" t="s">
        <v>114</v>
      </c>
      <c r="I31" s="73" t="s">
        <v>115</v>
      </c>
      <c r="J31" s="73" t="s">
        <v>116</v>
      </c>
      <c r="K31" s="73" t="s">
        <v>97</v>
      </c>
    </row>
    <row r="32" spans="1:11" ht="17.100000000000001" customHeight="1" x14ac:dyDescent="0.25">
      <c r="A32" s="86"/>
      <c r="B32" s="76" t="s">
        <v>117</v>
      </c>
      <c r="C32" s="671" t="s">
        <v>156</v>
      </c>
      <c r="D32" s="671"/>
      <c r="E32" s="671"/>
      <c r="F32" s="671"/>
      <c r="G32" s="671"/>
      <c r="H32" s="76">
        <v>26</v>
      </c>
      <c r="I32" s="92">
        <v>27.15</v>
      </c>
      <c r="J32" s="93">
        <v>0.19</v>
      </c>
      <c r="K32" s="94">
        <f>(H32*I32)-((H32*I32)*0.19)</f>
        <v>571.779</v>
      </c>
    </row>
    <row r="33" spans="1:13" ht="17.100000000000001" customHeight="1" x14ac:dyDescent="0.25">
      <c r="A33" s="86"/>
      <c r="B33" s="76" t="s">
        <v>119</v>
      </c>
      <c r="C33" s="671" t="s">
        <v>160</v>
      </c>
      <c r="D33" s="671"/>
      <c r="E33" s="671"/>
      <c r="F33" s="671"/>
      <c r="G33" s="671"/>
      <c r="H33" s="76">
        <f>H32*4</f>
        <v>104</v>
      </c>
      <c r="I33" s="95">
        <v>6.25</v>
      </c>
      <c r="J33" s="93">
        <v>0.06</v>
      </c>
      <c r="K33" s="94">
        <f>(H33*I33)-(K23*0.06)</f>
        <v>237.38300000000004</v>
      </c>
    </row>
    <row r="34" spans="1:13" ht="17.100000000000001" customHeight="1" x14ac:dyDescent="0.25">
      <c r="A34" s="86"/>
      <c r="B34" s="76" t="s">
        <v>121</v>
      </c>
      <c r="C34" s="671" t="s">
        <v>122</v>
      </c>
      <c r="D34" s="671"/>
      <c r="E34" s="671"/>
      <c r="F34" s="671"/>
      <c r="G34" s="671"/>
      <c r="H34" s="77">
        <v>1</v>
      </c>
      <c r="I34" s="92">
        <v>25.52</v>
      </c>
      <c r="J34" s="96"/>
      <c r="K34" s="265">
        <f>I34</f>
        <v>25.52</v>
      </c>
    </row>
    <row r="35" spans="1:13" ht="17.100000000000001" customHeight="1" x14ac:dyDescent="0.25">
      <c r="A35" s="86"/>
      <c r="B35" s="96"/>
      <c r="C35" s="748" t="s">
        <v>123</v>
      </c>
      <c r="D35" s="748"/>
      <c r="E35" s="748"/>
      <c r="F35" s="748"/>
      <c r="G35" s="748"/>
      <c r="H35" s="748"/>
      <c r="I35" s="748"/>
      <c r="J35" s="87"/>
      <c r="K35" s="98">
        <f>SUM(K32:K34)</f>
        <v>834.68200000000002</v>
      </c>
    </row>
    <row r="36" spans="1:13" ht="17.100000000000001" customHeight="1" x14ac:dyDescent="0.25">
      <c r="A36" s="86"/>
      <c r="B36" s="749" t="s">
        <v>124</v>
      </c>
      <c r="C36" s="749"/>
      <c r="D36" s="749"/>
      <c r="E36" s="749"/>
      <c r="F36" s="749"/>
      <c r="G36" s="749"/>
      <c r="H36" s="749"/>
      <c r="I36" s="749"/>
      <c r="J36" s="749"/>
      <c r="K36" s="99">
        <f>K35+K30+K24</f>
        <v>12578.929312692355</v>
      </c>
    </row>
    <row r="37" spans="1:13" ht="17.100000000000001" customHeight="1" x14ac:dyDescent="0.25">
      <c r="A37" s="86"/>
      <c r="B37" s="838" t="s">
        <v>518</v>
      </c>
      <c r="C37" s="838"/>
      <c r="D37" s="838"/>
      <c r="E37" s="838"/>
      <c r="F37" s="838"/>
      <c r="G37" s="838"/>
      <c r="H37" s="838"/>
      <c r="I37" s="838"/>
      <c r="J37" s="838"/>
      <c r="K37" s="100">
        <f>K36*1</f>
        <v>12578.929312692355</v>
      </c>
    </row>
    <row r="38" spans="1:13" ht="17.100000000000001" customHeight="1" x14ac:dyDescent="0.25">
      <c r="A38" s="86"/>
      <c r="B38" s="96"/>
      <c r="C38" s="748"/>
      <c r="D38" s="748"/>
      <c r="E38" s="748"/>
      <c r="F38" s="748"/>
      <c r="G38" s="748"/>
      <c r="H38" s="748"/>
      <c r="I38" s="748"/>
      <c r="J38" s="87"/>
      <c r="K38" s="98"/>
    </row>
    <row r="39" spans="1:13" ht="17.100000000000001" customHeight="1" x14ac:dyDescent="0.25">
      <c r="A39" s="86"/>
      <c r="B39" s="749"/>
      <c r="C39" s="749"/>
      <c r="D39" s="749"/>
      <c r="E39" s="749"/>
      <c r="F39" s="749"/>
      <c r="G39" s="749"/>
      <c r="H39" s="749"/>
      <c r="I39" s="749"/>
      <c r="J39" s="749"/>
      <c r="K39" s="99"/>
    </row>
    <row r="40" spans="1:13" ht="17.100000000000001" customHeight="1" x14ac:dyDescent="0.25">
      <c r="A40" s="86"/>
      <c r="B40" s="838"/>
      <c r="C40" s="838"/>
      <c r="D40" s="838"/>
      <c r="E40" s="838"/>
      <c r="F40" s="838"/>
      <c r="G40" s="838"/>
      <c r="H40" s="838"/>
      <c r="I40" s="838"/>
      <c r="J40" s="838"/>
      <c r="K40" s="100"/>
    </row>
    <row r="41" spans="1:13" ht="17.100000000000001" customHeight="1" x14ac:dyDescent="0.25">
      <c r="A41" s="86"/>
      <c r="B41" s="779" t="s">
        <v>527</v>
      </c>
      <c r="C41" s="779"/>
      <c r="D41" s="779"/>
      <c r="E41" s="779"/>
      <c r="F41" s="779"/>
      <c r="G41" s="779"/>
      <c r="H41" s="779"/>
      <c r="I41" s="779"/>
      <c r="J41" s="779"/>
      <c r="K41" s="280">
        <f>K37</f>
        <v>12578.929312692355</v>
      </c>
    </row>
    <row r="42" spans="1:13" ht="17.100000000000001" customHeight="1" x14ac:dyDescent="0.25">
      <c r="A42" s="86"/>
      <c r="B42" s="354"/>
      <c r="C42" s="354"/>
      <c r="D42" s="354"/>
      <c r="E42" s="354"/>
      <c r="F42" s="354"/>
      <c r="G42" s="354"/>
      <c r="H42" s="354"/>
      <c r="I42" s="354"/>
      <c r="J42" s="354"/>
      <c r="K42" s="355"/>
    </row>
    <row r="43" spans="1:13" ht="17.100000000000001" customHeight="1" x14ac:dyDescent="0.25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252"/>
    </row>
    <row r="44" spans="1:13" ht="17.100000000000001" customHeight="1" x14ac:dyDescent="0.25">
      <c r="A44" s="86"/>
      <c r="B44" s="788" t="s">
        <v>172</v>
      </c>
      <c r="C44" s="788"/>
      <c r="D44" s="788"/>
      <c r="E44" s="788"/>
      <c r="F44" s="788"/>
      <c r="G44" s="788"/>
      <c r="H44" s="788"/>
      <c r="I44" s="788"/>
      <c r="J44" s="788"/>
      <c r="K44" s="788"/>
    </row>
    <row r="45" spans="1:13" ht="17.100000000000001" customHeight="1" x14ac:dyDescent="0.25">
      <c r="A45" s="86"/>
      <c r="B45" s="86"/>
      <c r="C45" s="86"/>
      <c r="D45" s="86"/>
      <c r="E45" s="86"/>
      <c r="F45" s="86"/>
      <c r="G45" s="86"/>
      <c r="H45" s="86"/>
      <c r="I45" s="86"/>
      <c r="J45" s="86"/>
      <c r="K45" s="252"/>
    </row>
    <row r="46" spans="1:13" ht="17.100000000000001" customHeight="1" x14ac:dyDescent="0.25">
      <c r="A46" s="86"/>
      <c r="B46" s="752" t="s">
        <v>785</v>
      </c>
      <c r="C46" s="752"/>
      <c r="D46" s="752"/>
      <c r="E46" s="752"/>
      <c r="F46" s="752"/>
      <c r="G46" s="752"/>
      <c r="H46" s="752"/>
      <c r="I46" s="752"/>
      <c r="J46" s="752"/>
      <c r="K46" s="752"/>
    </row>
    <row r="47" spans="1:13" ht="29.45" customHeight="1" x14ac:dyDescent="0.25">
      <c r="A47" s="86"/>
      <c r="B47" s="750" t="s">
        <v>174</v>
      </c>
      <c r="C47" s="750"/>
      <c r="D47" s="750"/>
      <c r="E47" s="750"/>
      <c r="F47" s="750"/>
      <c r="G47" s="539" t="s">
        <v>1678</v>
      </c>
      <c r="H47" s="253" t="s">
        <v>176</v>
      </c>
      <c r="I47" s="832" t="s">
        <v>177</v>
      </c>
      <c r="J47" s="832"/>
      <c r="K47" s="89" t="s">
        <v>178</v>
      </c>
      <c r="M47" s="547"/>
    </row>
    <row r="48" spans="1:13" ht="17.100000000000001" customHeight="1" x14ac:dyDescent="0.25">
      <c r="A48" s="86"/>
      <c r="B48" s="797" t="s">
        <v>179</v>
      </c>
      <c r="C48" s="797"/>
      <c r="D48" s="797"/>
      <c r="E48" s="797"/>
      <c r="F48" s="797"/>
      <c r="G48" s="77">
        <v>1</v>
      </c>
      <c r="H48" s="95">
        <f>'10 - CUSTOS UN'!$J$36</f>
        <v>21.349999999999998</v>
      </c>
      <c r="I48" s="798">
        <f>H48/6</f>
        <v>3.5583333333333331</v>
      </c>
      <c r="J48" s="798"/>
      <c r="K48" s="94">
        <f>I48*G48</f>
        <v>3.5583333333333331</v>
      </c>
    </row>
    <row r="49" spans="1:11" ht="17.100000000000001" customHeight="1" x14ac:dyDescent="0.25">
      <c r="A49" s="86"/>
      <c r="B49" s="829" t="s">
        <v>180</v>
      </c>
      <c r="C49" s="829"/>
      <c r="D49" s="829"/>
      <c r="E49" s="829"/>
      <c r="F49" s="829"/>
      <c r="G49" s="282">
        <v>1</v>
      </c>
      <c r="H49" s="283">
        <f>'10 - CUSTOS UN'!$J$63</f>
        <v>111.56333333333333</v>
      </c>
      <c r="I49" s="807">
        <f>H49/6</f>
        <v>18.593888888888888</v>
      </c>
      <c r="J49" s="807"/>
      <c r="K49" s="284">
        <f>I49*G49</f>
        <v>18.593888888888888</v>
      </c>
    </row>
    <row r="50" spans="1:11" ht="17.100000000000001" customHeight="1" x14ac:dyDescent="0.25">
      <c r="A50" s="86"/>
      <c r="B50" s="801" t="s">
        <v>371</v>
      </c>
      <c r="C50" s="801"/>
      <c r="D50" s="801"/>
      <c r="E50" s="801"/>
      <c r="F50" s="801"/>
      <c r="G50" s="285"/>
      <c r="H50" s="285"/>
      <c r="I50" s="813"/>
      <c r="J50" s="813"/>
      <c r="K50" s="286">
        <f>SUM(K48:K49)</f>
        <v>22.152222222222221</v>
      </c>
    </row>
    <row r="51" spans="1:11" ht="17.100000000000001" customHeight="1" x14ac:dyDescent="0.25">
      <c r="A51" s="86"/>
      <c r="B51" s="805" t="s">
        <v>686</v>
      </c>
      <c r="C51" s="805"/>
      <c r="D51" s="805"/>
      <c r="E51" s="805"/>
      <c r="F51" s="805"/>
      <c r="G51" s="96"/>
      <c r="H51" s="96"/>
      <c r="I51" s="816">
        <f>K50</f>
        <v>22.152222222222221</v>
      </c>
      <c r="J51" s="816"/>
      <c r="K51" s="98">
        <f>K50*1</f>
        <v>22.152222222222221</v>
      </c>
    </row>
    <row r="52" spans="1:11" ht="17.100000000000001" customHeight="1" x14ac:dyDescent="0.25">
      <c r="A52" s="86"/>
      <c r="B52" s="297"/>
      <c r="C52" s="297"/>
      <c r="D52" s="297"/>
      <c r="E52" s="297"/>
      <c r="F52" s="297"/>
      <c r="G52" s="86"/>
      <c r="H52" s="86"/>
      <c r="I52" s="86"/>
      <c r="J52" s="86"/>
      <c r="K52" s="252"/>
    </row>
    <row r="53" spans="1:11" ht="17.100000000000001" customHeight="1" x14ac:dyDescent="0.25">
      <c r="A53" s="86"/>
      <c r="B53" s="779" t="s">
        <v>531</v>
      </c>
      <c r="C53" s="779"/>
      <c r="D53" s="779"/>
      <c r="E53" s="779"/>
      <c r="F53" s="779"/>
      <c r="G53" s="779"/>
      <c r="H53" s="779"/>
      <c r="I53" s="779"/>
      <c r="J53" s="779"/>
      <c r="K53" s="280">
        <f>K51</f>
        <v>22.152222222222221</v>
      </c>
    </row>
    <row r="54" spans="1:11" ht="17.100000000000001" customHeight="1" x14ac:dyDescent="0.25">
      <c r="A54" s="86"/>
      <c r="B54" s="86"/>
      <c r="C54" s="86"/>
      <c r="D54" s="86"/>
      <c r="E54" s="86"/>
      <c r="F54" s="86"/>
      <c r="G54" s="86"/>
      <c r="H54" s="86"/>
      <c r="I54" s="86"/>
      <c r="J54" s="86"/>
      <c r="K54" s="252"/>
    </row>
    <row r="55" spans="1:11" ht="17.100000000000001" customHeight="1" x14ac:dyDescent="0.25">
      <c r="A55" s="86"/>
      <c r="B55" s="86"/>
      <c r="C55" s="86"/>
      <c r="D55" s="86"/>
      <c r="E55" s="86"/>
      <c r="F55" s="86"/>
      <c r="G55" s="86"/>
      <c r="H55" s="86"/>
      <c r="I55" s="86"/>
      <c r="J55" s="86"/>
      <c r="K55" s="252"/>
    </row>
    <row r="56" spans="1:11" ht="17.100000000000001" customHeight="1" x14ac:dyDescent="0.25">
      <c r="A56" s="86"/>
      <c r="B56" s="788" t="s">
        <v>292</v>
      </c>
      <c r="C56" s="788"/>
      <c r="D56" s="788"/>
      <c r="E56" s="788"/>
      <c r="F56" s="788"/>
      <c r="G56" s="788"/>
      <c r="H56" s="788"/>
      <c r="I56" s="788"/>
      <c r="J56" s="788"/>
      <c r="K56" s="788"/>
    </row>
    <row r="57" spans="1:11" ht="17.100000000000001" customHeight="1" x14ac:dyDescent="0.25">
      <c r="A57" s="86"/>
      <c r="B57" s="781"/>
      <c r="C57" s="781"/>
      <c r="D57" s="781"/>
      <c r="E57" s="781"/>
      <c r="F57" s="781"/>
      <c r="G57" s="781"/>
      <c r="H57" s="781"/>
      <c r="I57" s="781"/>
      <c r="J57" s="781"/>
      <c r="K57" s="781"/>
    </row>
    <row r="58" spans="1:11" ht="17.100000000000001" customHeight="1" x14ac:dyDescent="0.25">
      <c r="A58" s="86"/>
      <c r="B58" s="793" t="s">
        <v>174</v>
      </c>
      <c r="C58" s="793"/>
      <c r="D58" s="793"/>
      <c r="E58" s="793"/>
      <c r="F58" s="793"/>
      <c r="G58" s="318" t="s">
        <v>128</v>
      </c>
      <c r="H58" s="318" t="s">
        <v>129</v>
      </c>
      <c r="I58" s="793" t="s">
        <v>226</v>
      </c>
      <c r="J58" s="793"/>
      <c r="K58" s="318" t="s">
        <v>293</v>
      </c>
    </row>
    <row r="59" spans="1:11" ht="17.100000000000001" customHeight="1" x14ac:dyDescent="0.25">
      <c r="A59" s="86"/>
      <c r="B59" s="794" t="s">
        <v>294</v>
      </c>
      <c r="C59" s="794"/>
      <c r="D59" s="794"/>
      <c r="E59" s="794"/>
      <c r="F59" s="794"/>
      <c r="G59" s="285"/>
      <c r="H59" s="285"/>
      <c r="I59" s="795"/>
      <c r="J59" s="795"/>
      <c r="K59" s="591">
        <v>5000</v>
      </c>
    </row>
    <row r="60" spans="1:11" ht="17.100000000000001" customHeight="1" x14ac:dyDescent="0.25">
      <c r="A60" s="86"/>
      <c r="B60" s="669" t="s">
        <v>295</v>
      </c>
      <c r="C60" s="669"/>
      <c r="D60" s="669"/>
      <c r="E60" s="669"/>
      <c r="F60" s="669"/>
      <c r="G60" s="96"/>
      <c r="H60" s="96"/>
      <c r="I60" s="796"/>
      <c r="J60" s="796"/>
      <c r="K60" s="592">
        <v>2000</v>
      </c>
    </row>
    <row r="61" spans="1:11" ht="17.100000000000001" customHeight="1" x14ac:dyDescent="0.25">
      <c r="A61" s="86"/>
      <c r="B61" s="785" t="s">
        <v>296</v>
      </c>
      <c r="C61" s="785"/>
      <c r="D61" s="785"/>
      <c r="E61" s="785"/>
      <c r="F61" s="785"/>
      <c r="G61" s="281"/>
      <c r="H61" s="281"/>
      <c r="I61" s="786"/>
      <c r="J61" s="786"/>
      <c r="K61" s="542">
        <v>1000</v>
      </c>
    </row>
    <row r="62" spans="1:11" ht="17.100000000000001" customHeight="1" x14ac:dyDescent="0.25">
      <c r="A62" s="86"/>
      <c r="B62" s="787" t="s">
        <v>548</v>
      </c>
      <c r="C62" s="787"/>
      <c r="D62" s="787"/>
      <c r="E62" s="787"/>
      <c r="F62" s="787"/>
      <c r="G62" s="787"/>
      <c r="H62" s="787"/>
      <c r="I62" s="787"/>
      <c r="J62" s="787"/>
      <c r="K62" s="320">
        <f>SUM(K59:K61)</f>
        <v>8000</v>
      </c>
    </row>
    <row r="63" spans="1:11" ht="17.100000000000001" customHeight="1" x14ac:dyDescent="0.25">
      <c r="A63" s="86"/>
      <c r="B63" s="321"/>
      <c r="C63" s="321"/>
      <c r="D63" s="321"/>
      <c r="E63" s="321"/>
      <c r="F63" s="321"/>
      <c r="G63" s="86"/>
      <c r="H63" s="86"/>
      <c r="I63" s="252"/>
      <c r="J63" s="252"/>
      <c r="K63" s="279"/>
    </row>
    <row r="64" spans="1:11" ht="17.100000000000001" customHeight="1" x14ac:dyDescent="0.25">
      <c r="A64" s="86"/>
      <c r="B64" s="321"/>
      <c r="C64" s="321"/>
      <c r="D64" s="321"/>
      <c r="E64" s="321"/>
      <c r="F64" s="321"/>
      <c r="G64" s="86"/>
      <c r="H64" s="86"/>
      <c r="I64" s="252"/>
      <c r="J64" s="252"/>
      <c r="K64" s="279"/>
    </row>
    <row r="65" spans="1:12" ht="17.100000000000001" customHeight="1" x14ac:dyDescent="0.25">
      <c r="A65" s="86"/>
      <c r="B65" s="779" t="s">
        <v>549</v>
      </c>
      <c r="C65" s="779"/>
      <c r="D65" s="779"/>
      <c r="E65" s="779"/>
      <c r="F65" s="779"/>
      <c r="G65" s="779"/>
      <c r="H65" s="779"/>
      <c r="I65" s="779"/>
      <c r="J65" s="779"/>
      <c r="K65" s="280">
        <f>K62+K53+K41</f>
        <v>20601.081534914578</v>
      </c>
    </row>
    <row r="66" spans="1:12" ht="17.100000000000001" customHeight="1" x14ac:dyDescent="0.25">
      <c r="A66" s="86"/>
      <c r="B66" s="321"/>
      <c r="C66" s="321"/>
      <c r="D66" s="321"/>
      <c r="E66" s="321"/>
      <c r="F66" s="321"/>
      <c r="G66" s="86"/>
      <c r="H66" s="86"/>
      <c r="I66" s="252"/>
      <c r="J66" s="252"/>
      <c r="K66" s="279"/>
    </row>
    <row r="67" spans="1:12" ht="17.100000000000001" customHeight="1" x14ac:dyDescent="0.25">
      <c r="A67" s="86"/>
      <c r="B67" s="788" t="s">
        <v>299</v>
      </c>
      <c r="C67" s="788"/>
      <c r="D67" s="788"/>
      <c r="E67" s="788"/>
      <c r="F67" s="788"/>
      <c r="G67" s="788"/>
      <c r="H67" s="788"/>
      <c r="I67" s="788"/>
      <c r="J67" s="788"/>
      <c r="K67" s="788"/>
    </row>
    <row r="68" spans="1:12" ht="17.100000000000001" customHeight="1" x14ac:dyDescent="0.25">
      <c r="A68" s="86"/>
      <c r="B68" s="322" t="s">
        <v>207</v>
      </c>
      <c r="C68" s="753" t="s">
        <v>174</v>
      </c>
      <c r="D68" s="753"/>
      <c r="E68" s="753"/>
      <c r="F68" s="753"/>
      <c r="G68" s="753"/>
      <c r="H68" s="323" t="s">
        <v>89</v>
      </c>
      <c r="I68" s="789" t="s">
        <v>507</v>
      </c>
      <c r="J68" s="789"/>
      <c r="K68" s="323" t="s">
        <v>301</v>
      </c>
    </row>
    <row r="69" spans="1:12" ht="17.100000000000001" customHeight="1" x14ac:dyDescent="0.25">
      <c r="A69" s="86"/>
      <c r="B69" s="324" t="s">
        <v>6</v>
      </c>
      <c r="C69" s="790" t="s">
        <v>86</v>
      </c>
      <c r="D69" s="790"/>
      <c r="E69" s="790"/>
      <c r="F69" s="790"/>
      <c r="G69" s="790"/>
      <c r="H69" s="326">
        <f>'9 - BDI'!D15</f>
        <v>0.27689893995634196</v>
      </c>
      <c r="I69" s="791">
        <f>K65</f>
        <v>20601.081534914578</v>
      </c>
      <c r="J69" s="791"/>
      <c r="K69" s="327">
        <f>I69*H69</f>
        <v>5704.4176389720169</v>
      </c>
    </row>
    <row r="70" spans="1:12" ht="17.100000000000001" customHeight="1" x14ac:dyDescent="0.25">
      <c r="A70" s="86"/>
      <c r="B70" s="773" t="s">
        <v>550</v>
      </c>
      <c r="C70" s="773"/>
      <c r="D70" s="773"/>
      <c r="E70" s="773"/>
      <c r="F70" s="773"/>
      <c r="G70" s="773"/>
      <c r="H70" s="773"/>
      <c r="I70" s="773"/>
      <c r="J70" s="773"/>
      <c r="K70" s="328">
        <f>SUM(K69)</f>
        <v>5704.4176389720169</v>
      </c>
    </row>
    <row r="71" spans="1:12" ht="17.100000000000001" customHeight="1" x14ac:dyDescent="0.25">
      <c r="A71" s="86"/>
      <c r="B71" s="86"/>
      <c r="C71" s="86"/>
      <c r="D71" s="86"/>
      <c r="E71" s="86"/>
      <c r="F71" s="86"/>
      <c r="G71" s="266"/>
      <c r="H71" s="266"/>
      <c r="I71" s="329"/>
      <c r="J71" s="329"/>
      <c r="K71" s="330"/>
    </row>
    <row r="72" spans="1:12" ht="17.100000000000001" customHeight="1" x14ac:dyDescent="0.25">
      <c r="A72" s="86"/>
      <c r="B72" s="297"/>
      <c r="C72" s="297"/>
      <c r="D72" s="297"/>
      <c r="E72" s="297"/>
      <c r="F72" s="297"/>
      <c r="G72" s="266"/>
      <c r="H72" s="266"/>
      <c r="I72" s="329"/>
      <c r="J72" s="329"/>
      <c r="K72" s="279"/>
    </row>
    <row r="73" spans="1:12" ht="17.100000000000001" customHeight="1" x14ac:dyDescent="0.25">
      <c r="A73" s="86"/>
      <c r="B73" s="779" t="s">
        <v>551</v>
      </c>
      <c r="C73" s="779"/>
      <c r="D73" s="779"/>
      <c r="E73" s="779"/>
      <c r="F73" s="779"/>
      <c r="G73" s="779"/>
      <c r="H73" s="779"/>
      <c r="I73" s="779"/>
      <c r="J73" s="779"/>
      <c r="K73" s="280">
        <f>K65+K70</f>
        <v>26305.499173886594</v>
      </c>
      <c r="L73" s="541"/>
    </row>
    <row r="74" spans="1:12" ht="17.100000000000001" customHeight="1" x14ac:dyDescent="0.25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252"/>
    </row>
    <row r="75" spans="1:12" ht="17.100000000000001" customHeight="1" x14ac:dyDescent="0.25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252"/>
    </row>
    <row r="76" spans="1:12" ht="17.100000000000001" customHeight="1" x14ac:dyDescent="0.25">
      <c r="A76" s="86"/>
      <c r="B76" s="780" t="s">
        <v>304</v>
      </c>
      <c r="C76" s="780"/>
      <c r="D76" s="780"/>
      <c r="E76" s="780"/>
      <c r="F76" s="780"/>
      <c r="G76" s="780"/>
      <c r="H76" s="780"/>
      <c r="I76" s="780"/>
      <c r="J76" s="780"/>
      <c r="K76" s="780"/>
    </row>
    <row r="77" spans="1:12" ht="17.100000000000001" customHeight="1" x14ac:dyDescent="0.25">
      <c r="A77" s="86"/>
      <c r="B77" s="781"/>
      <c r="C77" s="781"/>
      <c r="D77" s="781"/>
      <c r="E77" s="781"/>
      <c r="F77" s="781"/>
      <c r="G77" s="781"/>
      <c r="H77" s="781"/>
      <c r="I77" s="781"/>
      <c r="J77" s="781"/>
      <c r="K77" s="781"/>
    </row>
    <row r="78" spans="1:12" ht="33" customHeight="1" x14ac:dyDescent="0.25">
      <c r="A78" s="86"/>
      <c r="B78" s="753" t="s">
        <v>305</v>
      </c>
      <c r="C78" s="753"/>
      <c r="D78" s="753"/>
      <c r="E78" s="753"/>
      <c r="F78" s="753"/>
      <c r="G78" s="751" t="s">
        <v>306</v>
      </c>
      <c r="H78" s="751"/>
      <c r="I78" s="753" t="s">
        <v>89</v>
      </c>
      <c r="J78" s="753"/>
      <c r="K78" s="74" t="s">
        <v>307</v>
      </c>
    </row>
    <row r="79" spans="1:12" ht="17.100000000000001" customHeight="1" x14ac:dyDescent="0.25">
      <c r="A79" s="86"/>
      <c r="B79" s="782" t="s">
        <v>308</v>
      </c>
      <c r="C79" s="782"/>
      <c r="D79" s="782"/>
      <c r="E79" s="782"/>
      <c r="F79" s="782"/>
      <c r="G79" s="783">
        <v>1188365.99</v>
      </c>
      <c r="H79" s="783"/>
      <c r="I79" s="784">
        <f>G79/G83</f>
        <v>0.54885365972321676</v>
      </c>
      <c r="J79" s="784"/>
      <c r="K79" s="331">
        <f>K73*I79</f>
        <v>14437.869492433712</v>
      </c>
    </row>
    <row r="80" spans="1:12" ht="17.100000000000001" customHeight="1" x14ac:dyDescent="0.25">
      <c r="A80" s="86"/>
      <c r="B80" s="702" t="s">
        <v>309</v>
      </c>
      <c r="C80" s="702"/>
      <c r="D80" s="702"/>
      <c r="E80" s="702"/>
      <c r="F80" s="702"/>
      <c r="G80" s="703">
        <v>581527.79</v>
      </c>
      <c r="H80" s="703"/>
      <c r="I80" s="704">
        <f>G80/G83</f>
        <v>0.26858195072736329</v>
      </c>
      <c r="J80" s="704"/>
      <c r="K80" s="195">
        <f>K73*I80</f>
        <v>7065.1822829795046</v>
      </c>
    </row>
    <row r="81" spans="2:11" ht="17.100000000000001" customHeight="1" x14ac:dyDescent="0.25">
      <c r="B81" s="702" t="s">
        <v>310</v>
      </c>
      <c r="C81" s="702"/>
      <c r="D81" s="702"/>
      <c r="E81" s="702"/>
      <c r="F81" s="702"/>
      <c r="G81" s="703">
        <v>351607.43</v>
      </c>
      <c r="H81" s="703"/>
      <c r="I81" s="704">
        <f>G81/G83</f>
        <v>0.16239191155359028</v>
      </c>
      <c r="J81" s="704"/>
      <c r="K81" s="195">
        <f>K73*I81</f>
        <v>4271.8002952188344</v>
      </c>
    </row>
    <row r="82" spans="2:11" ht="17.100000000000001" customHeight="1" x14ac:dyDescent="0.25">
      <c r="B82" s="864" t="s">
        <v>311</v>
      </c>
      <c r="C82" s="864"/>
      <c r="D82" s="864"/>
      <c r="E82" s="864"/>
      <c r="F82" s="864"/>
      <c r="G82" s="865">
        <v>43677.01</v>
      </c>
      <c r="H82" s="865"/>
      <c r="I82" s="866">
        <f>G82/G83</f>
        <v>2.0172477995829833E-2</v>
      </c>
      <c r="J82" s="866"/>
      <c r="K82" s="356">
        <f>K73*I82</f>
        <v>530.64710325454712</v>
      </c>
    </row>
    <row r="83" spans="2:11" ht="17.100000000000001" customHeight="1" x14ac:dyDescent="0.25">
      <c r="B83" s="773" t="s">
        <v>34</v>
      </c>
      <c r="C83" s="773"/>
      <c r="D83" s="773"/>
      <c r="E83" s="773"/>
      <c r="F83" s="773"/>
      <c r="G83" s="774">
        <f>SUM(G79:H82)</f>
        <v>2165178.2199999997</v>
      </c>
      <c r="H83" s="774"/>
      <c r="I83" s="775">
        <f>SUM(I79:J82)</f>
        <v>1.0000000000000002</v>
      </c>
      <c r="J83" s="775"/>
      <c r="K83" s="333">
        <f>SUM(K79:K82)</f>
        <v>26305.499173886597</v>
      </c>
    </row>
    <row r="1048164" ht="12.75" customHeight="1" x14ac:dyDescent="0.25"/>
    <row r="1048165" ht="12.75" customHeight="1" x14ac:dyDescent="0.25"/>
    <row r="1048166" ht="12.75" customHeight="1" x14ac:dyDescent="0.25"/>
    <row r="1048167" ht="12.75" customHeight="1" x14ac:dyDescent="0.25"/>
    <row r="1048168" ht="12.75" customHeight="1" x14ac:dyDescent="0.25"/>
    <row r="1048169" ht="12.75" customHeight="1" x14ac:dyDescent="0.25"/>
    <row r="1048170" ht="12.75" customHeight="1" x14ac:dyDescent="0.25"/>
    <row r="1048171" ht="12.75" customHeight="1" x14ac:dyDescent="0.25"/>
    <row r="1048172" ht="12.75" customHeight="1" x14ac:dyDescent="0.25"/>
    <row r="1048173" ht="12.75" customHeight="1" x14ac:dyDescent="0.25"/>
    <row r="1048174" ht="12.75" customHeight="1" x14ac:dyDescent="0.25"/>
    <row r="1048175" ht="12.75" customHeight="1" x14ac:dyDescent="0.25"/>
    <row r="1048176" ht="12.75" customHeight="1" x14ac:dyDescent="0.25"/>
    <row r="1048177" ht="12.75" customHeight="1" x14ac:dyDescent="0.25"/>
    <row r="1048178" ht="12.75" customHeight="1" x14ac:dyDescent="0.25"/>
    <row r="1048179" ht="12.75" customHeight="1" x14ac:dyDescent="0.25"/>
    <row r="1048180" ht="12.75" customHeight="1" x14ac:dyDescent="0.25"/>
    <row r="1048181" ht="12.75" customHeight="1" x14ac:dyDescent="0.25"/>
    <row r="1048182" ht="12.75" customHeight="1" x14ac:dyDescent="0.25"/>
    <row r="1048183" ht="12.75" customHeight="1" x14ac:dyDescent="0.25"/>
    <row r="1048184" ht="12.75" customHeight="1" x14ac:dyDescent="0.25"/>
    <row r="1048185" ht="12.75" customHeight="1" x14ac:dyDescent="0.25"/>
    <row r="1048186" ht="12.75" customHeight="1" x14ac:dyDescent="0.25"/>
    <row r="1048187" ht="12.75" customHeight="1" x14ac:dyDescent="0.25"/>
    <row r="1048188" ht="12.75" customHeight="1" x14ac:dyDescent="0.25"/>
    <row r="1048189" ht="12.75" customHeight="1" x14ac:dyDescent="0.25"/>
    <row r="1048190" ht="12.75" customHeight="1" x14ac:dyDescent="0.25"/>
    <row r="1048191" ht="12.75" customHeight="1" x14ac:dyDescent="0.25"/>
    <row r="1048192" ht="12.75" customHeight="1" x14ac:dyDescent="0.25"/>
    <row r="1048193" ht="12.75" customHeight="1" x14ac:dyDescent="0.25"/>
    <row r="1048194" ht="12.75" customHeight="1" x14ac:dyDescent="0.25"/>
    <row r="1048195" ht="12.75" customHeight="1" x14ac:dyDescent="0.25"/>
    <row r="1048196" ht="12.75" customHeight="1" x14ac:dyDescent="0.25"/>
    <row r="1048197" ht="12.75" customHeight="1" x14ac:dyDescent="0.25"/>
    <row r="1048198" ht="12.75" customHeight="1" x14ac:dyDescent="0.25"/>
    <row r="1048199" ht="12.75" customHeight="1" x14ac:dyDescent="0.25"/>
    <row r="1048200" ht="12.75" customHeight="1" x14ac:dyDescent="0.25"/>
    <row r="1048201" ht="12.75" customHeight="1" x14ac:dyDescent="0.25"/>
    <row r="1048202" ht="12.75" customHeight="1" x14ac:dyDescent="0.25"/>
    <row r="1048203" ht="12.75" customHeight="1" x14ac:dyDescent="0.25"/>
    <row r="1048204" ht="12.75" customHeight="1" x14ac:dyDescent="0.25"/>
    <row r="1048205" ht="12.75" customHeight="1" x14ac:dyDescent="0.25"/>
    <row r="1048206" ht="12.75" customHeight="1" x14ac:dyDescent="0.25"/>
    <row r="1048207" ht="12.75" customHeight="1" x14ac:dyDescent="0.25"/>
    <row r="1048208" ht="12.75" customHeight="1" x14ac:dyDescent="0.25"/>
    <row r="1048209" ht="12.75" customHeight="1" x14ac:dyDescent="0.25"/>
    <row r="1048210" ht="12.75" customHeight="1" x14ac:dyDescent="0.25"/>
    <row r="1048211" ht="12.75" customHeight="1" x14ac:dyDescent="0.25"/>
    <row r="1048212" ht="12.75" customHeight="1" x14ac:dyDescent="0.25"/>
    <row r="1048213" ht="12.75" customHeight="1" x14ac:dyDescent="0.25"/>
    <row r="1048214" ht="12.75" customHeight="1" x14ac:dyDescent="0.25"/>
    <row r="1048215" ht="12.75" customHeight="1" x14ac:dyDescent="0.25"/>
    <row r="1048216" ht="12.75" customHeight="1" x14ac:dyDescent="0.25"/>
    <row r="1048217" ht="12.75" customHeight="1" x14ac:dyDescent="0.25"/>
    <row r="1048218" ht="12.75" customHeight="1" x14ac:dyDescent="0.25"/>
    <row r="1048219" ht="12.75" customHeight="1" x14ac:dyDescent="0.25"/>
    <row r="1048220" ht="12.75" customHeight="1" x14ac:dyDescent="0.25"/>
    <row r="1048221" ht="12.75" customHeight="1" x14ac:dyDescent="0.25"/>
    <row r="1048222" ht="12.75" customHeight="1" x14ac:dyDescent="0.25"/>
    <row r="1048223" ht="12.75" customHeight="1" x14ac:dyDescent="0.25"/>
    <row r="1048224" ht="12.75" customHeight="1" x14ac:dyDescent="0.25"/>
    <row r="1048225" ht="12.75" customHeight="1" x14ac:dyDescent="0.25"/>
    <row r="1048226" ht="12.75" customHeight="1" x14ac:dyDescent="0.25"/>
    <row r="1048227" ht="12.75" customHeight="1" x14ac:dyDescent="0.25"/>
    <row r="1048228" ht="12.75" customHeight="1" x14ac:dyDescent="0.25"/>
    <row r="1048229" ht="12.75" customHeight="1" x14ac:dyDescent="0.25"/>
    <row r="1048230" ht="12.75" customHeight="1" x14ac:dyDescent="0.25"/>
    <row r="1048231" ht="12.75" customHeight="1" x14ac:dyDescent="0.25"/>
    <row r="1048232" ht="12.75" customHeight="1" x14ac:dyDescent="0.25"/>
    <row r="1048233" ht="12.75" customHeight="1" x14ac:dyDescent="0.25"/>
    <row r="1048234" ht="12.75" customHeight="1" x14ac:dyDescent="0.25"/>
    <row r="1048235" ht="12.75" customHeight="1" x14ac:dyDescent="0.25"/>
    <row r="1048236" ht="12.75" customHeight="1" x14ac:dyDescent="0.25"/>
    <row r="1048237" ht="12.75" customHeight="1" x14ac:dyDescent="0.25"/>
    <row r="1048238" ht="12.75" customHeight="1" x14ac:dyDescent="0.25"/>
    <row r="1048239" ht="12.75" customHeight="1" x14ac:dyDescent="0.25"/>
    <row r="1048240" ht="12.75" customHeight="1" x14ac:dyDescent="0.25"/>
    <row r="1048241" ht="12.75" customHeight="1" x14ac:dyDescent="0.25"/>
    <row r="1048242" ht="12.75" customHeight="1" x14ac:dyDescent="0.25"/>
    <row r="1048243" ht="12.75" customHeight="1" x14ac:dyDescent="0.25"/>
    <row r="1048244" ht="12.75" customHeight="1" x14ac:dyDescent="0.25"/>
    <row r="1048245" ht="12.75" customHeight="1" x14ac:dyDescent="0.25"/>
    <row r="1048246" ht="12.75" customHeight="1" x14ac:dyDescent="0.25"/>
    <row r="1048247" ht="12.75" customHeight="1" x14ac:dyDescent="0.25"/>
    <row r="1048248" ht="12.75" customHeight="1" x14ac:dyDescent="0.25"/>
    <row r="1048249" ht="12.75" customHeight="1" x14ac:dyDescent="0.25"/>
    <row r="1048250" ht="12.75" customHeight="1" x14ac:dyDescent="0.25"/>
    <row r="1048251" ht="12.75" customHeight="1" x14ac:dyDescent="0.25"/>
    <row r="1048252" ht="12.75" customHeight="1" x14ac:dyDescent="0.25"/>
    <row r="1048253" ht="12.75" customHeight="1" x14ac:dyDescent="0.25"/>
    <row r="1048254" ht="12.75" customHeight="1" x14ac:dyDescent="0.25"/>
    <row r="1048255" ht="12.75" customHeight="1" x14ac:dyDescent="0.25"/>
    <row r="1048256" ht="12.75" customHeight="1" x14ac:dyDescent="0.25"/>
    <row r="1048257" ht="12.75" customHeight="1" x14ac:dyDescent="0.25"/>
    <row r="1048258" ht="12.75" customHeight="1" x14ac:dyDescent="0.25"/>
    <row r="1048259" ht="12.75" customHeight="1" x14ac:dyDescent="0.25"/>
    <row r="1048260" ht="12.75" customHeight="1" x14ac:dyDescent="0.25"/>
    <row r="1048261" ht="12.75" customHeight="1" x14ac:dyDescent="0.25"/>
    <row r="1048262" ht="12.75" customHeight="1" x14ac:dyDescent="0.25"/>
    <row r="1048263" ht="12.75" customHeight="1" x14ac:dyDescent="0.25"/>
    <row r="1048264" ht="12.75" customHeight="1" x14ac:dyDescent="0.25"/>
    <row r="1048265" ht="12.75" customHeight="1" x14ac:dyDescent="0.25"/>
    <row r="1048266" ht="12.75" customHeight="1" x14ac:dyDescent="0.25"/>
    <row r="1048267" ht="12.75" customHeight="1" x14ac:dyDescent="0.25"/>
    <row r="1048268" ht="12.75" customHeight="1" x14ac:dyDescent="0.25"/>
    <row r="1048269" ht="12.75" customHeight="1" x14ac:dyDescent="0.25"/>
    <row r="1048270" ht="12.75" customHeight="1" x14ac:dyDescent="0.25"/>
    <row r="1048271" ht="12.75" customHeight="1" x14ac:dyDescent="0.25"/>
    <row r="1048272" ht="12.75" customHeight="1" x14ac:dyDescent="0.25"/>
    <row r="1048273" ht="12.75" customHeight="1" x14ac:dyDescent="0.25"/>
    <row r="1048274" ht="12.75" customHeight="1" x14ac:dyDescent="0.25"/>
    <row r="1048275" ht="12.75" customHeight="1" x14ac:dyDescent="0.25"/>
    <row r="1048276" ht="12.75" customHeight="1" x14ac:dyDescent="0.25"/>
    <row r="1048277" ht="12.75" customHeight="1" x14ac:dyDescent="0.25"/>
    <row r="1048278" ht="12.75" customHeight="1" x14ac:dyDescent="0.25"/>
    <row r="1048279" ht="12.75" customHeight="1" x14ac:dyDescent="0.25"/>
    <row r="1048280" ht="12.75" customHeight="1" x14ac:dyDescent="0.25"/>
    <row r="1048281" ht="12.75" customHeight="1" x14ac:dyDescent="0.25"/>
    <row r="1048282" ht="12.75" customHeight="1" x14ac:dyDescent="0.25"/>
    <row r="1048283" ht="12.75" customHeight="1" x14ac:dyDescent="0.25"/>
    <row r="1048284" ht="12.75" customHeight="1" x14ac:dyDescent="0.25"/>
    <row r="1048285" ht="12.75" customHeight="1" x14ac:dyDescent="0.25"/>
    <row r="1048286" ht="12.75" customHeight="1" x14ac:dyDescent="0.25"/>
    <row r="1048287" ht="12.75" customHeight="1" x14ac:dyDescent="0.25"/>
    <row r="1048288" ht="12.75" customHeight="1" x14ac:dyDescent="0.25"/>
    <row r="1048289" ht="12.75" customHeight="1" x14ac:dyDescent="0.25"/>
    <row r="1048290" ht="12.75" customHeight="1" x14ac:dyDescent="0.25"/>
    <row r="1048291" ht="12.75" customHeight="1" x14ac:dyDescent="0.25"/>
    <row r="1048292" ht="12.75" customHeight="1" x14ac:dyDescent="0.25"/>
    <row r="1048293" ht="12.75" customHeight="1" x14ac:dyDescent="0.25"/>
    <row r="1048294" ht="12.75" customHeight="1" x14ac:dyDescent="0.25"/>
    <row r="1048295" ht="12.75" customHeight="1" x14ac:dyDescent="0.25"/>
    <row r="1048296" ht="12.75" customHeight="1" x14ac:dyDescent="0.25"/>
    <row r="1048297" ht="12.75" customHeight="1" x14ac:dyDescent="0.25"/>
    <row r="1048298" ht="12.75" customHeight="1" x14ac:dyDescent="0.25"/>
    <row r="1048299" ht="12.75" customHeight="1" x14ac:dyDescent="0.25"/>
    <row r="1048300" ht="12.75" customHeight="1" x14ac:dyDescent="0.25"/>
    <row r="1048301" ht="12.75" customHeight="1" x14ac:dyDescent="0.25"/>
    <row r="1048302" ht="12.75" customHeight="1" x14ac:dyDescent="0.25"/>
    <row r="1048303" ht="12.75" customHeight="1" x14ac:dyDescent="0.25"/>
    <row r="1048304" ht="12.75" customHeight="1" x14ac:dyDescent="0.25"/>
    <row r="1048305" ht="12.75" customHeight="1" x14ac:dyDescent="0.25"/>
    <row r="1048306" ht="12.75" customHeight="1" x14ac:dyDescent="0.25"/>
    <row r="1048307" ht="12.75" customHeight="1" x14ac:dyDescent="0.25"/>
    <row r="1048308" ht="12.75" customHeight="1" x14ac:dyDescent="0.25"/>
    <row r="1048309" ht="12.75" customHeight="1" x14ac:dyDescent="0.25"/>
    <row r="1048310" ht="12.75" customHeight="1" x14ac:dyDescent="0.25"/>
    <row r="1048311" ht="12.75" customHeight="1" x14ac:dyDescent="0.25"/>
    <row r="1048312" ht="12.75" customHeight="1" x14ac:dyDescent="0.25"/>
    <row r="1048313" ht="12.75" customHeight="1" x14ac:dyDescent="0.25"/>
    <row r="1048314" ht="12.75" customHeight="1" x14ac:dyDescent="0.25"/>
    <row r="1048315" ht="12.75" customHeight="1" x14ac:dyDescent="0.25"/>
    <row r="1048316" ht="12.75" customHeight="1" x14ac:dyDescent="0.25"/>
    <row r="1048317" ht="12.75" customHeight="1" x14ac:dyDescent="0.25"/>
    <row r="1048318" ht="12.75" customHeight="1" x14ac:dyDescent="0.25"/>
    <row r="1048319" ht="12.75" customHeight="1" x14ac:dyDescent="0.25"/>
    <row r="1048320" ht="12.75" customHeight="1" x14ac:dyDescent="0.25"/>
    <row r="1048321" ht="12.75" customHeight="1" x14ac:dyDescent="0.25"/>
    <row r="1048322" ht="12.75" customHeight="1" x14ac:dyDescent="0.25"/>
    <row r="1048323" ht="12.75" customHeight="1" x14ac:dyDescent="0.25"/>
    <row r="1048324" ht="12.75" customHeight="1" x14ac:dyDescent="0.25"/>
    <row r="1048325" ht="12.75" customHeight="1" x14ac:dyDescent="0.25"/>
    <row r="1048326" ht="12.75" customHeight="1" x14ac:dyDescent="0.25"/>
    <row r="1048327" ht="12.75" customHeight="1" x14ac:dyDescent="0.25"/>
    <row r="1048328" ht="12.75" customHeight="1" x14ac:dyDescent="0.25"/>
    <row r="1048329" ht="12.75" customHeight="1" x14ac:dyDescent="0.25"/>
    <row r="1048330" ht="12.75" customHeight="1" x14ac:dyDescent="0.25"/>
    <row r="1048331" ht="12.75" customHeight="1" x14ac:dyDescent="0.25"/>
    <row r="1048332" ht="12.75" customHeight="1" x14ac:dyDescent="0.25"/>
    <row r="1048333" ht="12.75" customHeight="1" x14ac:dyDescent="0.25"/>
    <row r="1048334" ht="12.75" customHeight="1" x14ac:dyDescent="0.25"/>
    <row r="1048335" ht="12.75" customHeight="1" x14ac:dyDescent="0.25"/>
    <row r="1048336" ht="12.75" customHeight="1" x14ac:dyDescent="0.25"/>
    <row r="1048337" ht="12.75" customHeight="1" x14ac:dyDescent="0.25"/>
    <row r="1048338" ht="12.75" customHeight="1" x14ac:dyDescent="0.25"/>
    <row r="1048339" ht="12.75" customHeight="1" x14ac:dyDescent="0.25"/>
    <row r="1048340" ht="12.75" customHeight="1" x14ac:dyDescent="0.25"/>
    <row r="1048341" ht="12.75" customHeight="1" x14ac:dyDescent="0.25"/>
    <row r="1048342" ht="12.75" customHeight="1" x14ac:dyDescent="0.25"/>
    <row r="1048343" ht="12.75" customHeight="1" x14ac:dyDescent="0.25"/>
    <row r="1048344" ht="12.75" customHeight="1" x14ac:dyDescent="0.25"/>
    <row r="1048345" ht="12.75" customHeight="1" x14ac:dyDescent="0.25"/>
    <row r="1048346" ht="12.75" customHeight="1" x14ac:dyDescent="0.25"/>
    <row r="1048347" ht="12.75" customHeight="1" x14ac:dyDescent="0.25"/>
    <row r="1048348" ht="12.75" customHeight="1" x14ac:dyDescent="0.25"/>
    <row r="1048349" ht="12.75" customHeight="1" x14ac:dyDescent="0.25"/>
    <row r="1048350" ht="12.75" customHeight="1" x14ac:dyDescent="0.25"/>
    <row r="1048351" ht="12.75" customHeight="1" x14ac:dyDescent="0.25"/>
    <row r="1048352" ht="12.75" customHeight="1" x14ac:dyDescent="0.25"/>
    <row r="1048353" ht="12.75" customHeight="1" x14ac:dyDescent="0.25"/>
    <row r="1048354" ht="12.75" customHeight="1" x14ac:dyDescent="0.25"/>
    <row r="1048355" ht="12.75" customHeight="1" x14ac:dyDescent="0.25"/>
    <row r="1048356" ht="12.75" customHeight="1" x14ac:dyDescent="0.25"/>
    <row r="1048357" ht="12.75" customHeight="1" x14ac:dyDescent="0.25"/>
    <row r="1048358" ht="12.75" customHeight="1" x14ac:dyDescent="0.25"/>
    <row r="1048359" ht="12.75" customHeight="1" x14ac:dyDescent="0.25"/>
    <row r="1048360" ht="12.75" customHeight="1" x14ac:dyDescent="0.25"/>
    <row r="1048361" ht="12.75" customHeight="1" x14ac:dyDescent="0.25"/>
    <row r="1048362" ht="12.75" customHeight="1" x14ac:dyDescent="0.25"/>
    <row r="1048363" ht="12.75" customHeight="1" x14ac:dyDescent="0.25"/>
    <row r="1048364" ht="12.75" customHeight="1" x14ac:dyDescent="0.25"/>
    <row r="1048365" ht="12.75" customHeight="1" x14ac:dyDescent="0.25"/>
    <row r="1048366" ht="12.75" customHeight="1" x14ac:dyDescent="0.25"/>
    <row r="1048367" ht="12.75" customHeight="1" x14ac:dyDescent="0.25"/>
    <row r="1048368" ht="12.75" customHeight="1" x14ac:dyDescent="0.25"/>
    <row r="1048369" ht="12.75" customHeight="1" x14ac:dyDescent="0.25"/>
    <row r="1048370" ht="12.75" customHeight="1" x14ac:dyDescent="0.25"/>
    <row r="1048371" ht="12.75" customHeight="1" x14ac:dyDescent="0.25"/>
    <row r="1048372" ht="12.75" customHeight="1" x14ac:dyDescent="0.25"/>
    <row r="1048373" ht="12.75" customHeight="1" x14ac:dyDescent="0.25"/>
    <row r="1048374" ht="12.75" customHeight="1" x14ac:dyDescent="0.25"/>
    <row r="1048375" ht="12.75" customHeight="1" x14ac:dyDescent="0.25"/>
    <row r="1048376" ht="12.75" customHeight="1" x14ac:dyDescent="0.25"/>
    <row r="1048377" ht="12.75" customHeight="1" x14ac:dyDescent="0.25"/>
    <row r="1048378" ht="12.75" customHeight="1" x14ac:dyDescent="0.25"/>
    <row r="1048379" ht="12.75" customHeight="1" x14ac:dyDescent="0.25"/>
    <row r="1048380" ht="12.75" customHeight="1" x14ac:dyDescent="0.25"/>
    <row r="1048381" ht="12.75" customHeight="1" x14ac:dyDescent="0.25"/>
    <row r="1048382" ht="12.75" customHeight="1" x14ac:dyDescent="0.25"/>
    <row r="1048383" ht="12.75" customHeight="1" x14ac:dyDescent="0.25"/>
    <row r="1048384" ht="12.75" customHeight="1" x14ac:dyDescent="0.25"/>
    <row r="1048385" ht="12.75" customHeight="1" x14ac:dyDescent="0.25"/>
    <row r="1048386" ht="12.75" customHeight="1" x14ac:dyDescent="0.25"/>
    <row r="1048387" ht="12.75" customHeight="1" x14ac:dyDescent="0.25"/>
    <row r="1048388" ht="12.75" customHeight="1" x14ac:dyDescent="0.25"/>
    <row r="1048389" ht="12.75" customHeight="1" x14ac:dyDescent="0.25"/>
    <row r="1048390" ht="12.75" customHeight="1" x14ac:dyDescent="0.25"/>
    <row r="1048391" ht="12.75" customHeight="1" x14ac:dyDescent="0.25"/>
    <row r="1048392" ht="12.75" customHeight="1" x14ac:dyDescent="0.25"/>
    <row r="1048393" ht="12.75" customHeight="1" x14ac:dyDescent="0.25"/>
    <row r="1048394" ht="12.75" customHeight="1" x14ac:dyDescent="0.25"/>
    <row r="1048395" ht="12.75" customHeight="1" x14ac:dyDescent="0.25"/>
    <row r="1048396" ht="12.75" customHeight="1" x14ac:dyDescent="0.25"/>
    <row r="1048397" ht="12.75" customHeight="1" x14ac:dyDescent="0.25"/>
    <row r="1048398" ht="12.75" customHeight="1" x14ac:dyDescent="0.25"/>
    <row r="1048399" ht="12.75" customHeight="1" x14ac:dyDescent="0.25"/>
    <row r="1048400" ht="12.75" customHeight="1" x14ac:dyDescent="0.25"/>
    <row r="1048401" ht="12.75" customHeight="1" x14ac:dyDescent="0.25"/>
    <row r="1048402" ht="12.75" customHeight="1" x14ac:dyDescent="0.25"/>
    <row r="1048403" ht="12.75" customHeight="1" x14ac:dyDescent="0.25"/>
    <row r="1048404" ht="12.75" customHeight="1" x14ac:dyDescent="0.25"/>
    <row r="1048405" ht="12.75" customHeight="1" x14ac:dyDescent="0.25"/>
    <row r="1048406" ht="12.75" customHeight="1" x14ac:dyDescent="0.25"/>
    <row r="1048407" ht="12.75" customHeight="1" x14ac:dyDescent="0.25"/>
    <row r="1048408" ht="12.75" customHeight="1" x14ac:dyDescent="0.25"/>
    <row r="1048409" ht="12.75" customHeight="1" x14ac:dyDescent="0.25"/>
    <row r="1048410" ht="12.75" customHeight="1" x14ac:dyDescent="0.25"/>
    <row r="1048411" ht="12.75" customHeight="1" x14ac:dyDescent="0.25"/>
    <row r="1048412" ht="12.75" customHeight="1" x14ac:dyDescent="0.25"/>
    <row r="1048413" ht="12.75" customHeight="1" x14ac:dyDescent="0.25"/>
    <row r="1048414" ht="12.75" customHeight="1" x14ac:dyDescent="0.25"/>
    <row r="1048415" ht="12.75" customHeight="1" x14ac:dyDescent="0.25"/>
    <row r="1048416" ht="12.75" customHeight="1" x14ac:dyDescent="0.25"/>
    <row r="1048417" ht="12.75" customHeight="1" x14ac:dyDescent="0.25"/>
    <row r="1048418" ht="12.75" customHeight="1" x14ac:dyDescent="0.25"/>
    <row r="1048419" ht="12.75" customHeight="1" x14ac:dyDescent="0.25"/>
    <row r="1048420" ht="12.75" customHeight="1" x14ac:dyDescent="0.25"/>
    <row r="1048421" ht="12.75" customHeight="1" x14ac:dyDescent="0.25"/>
    <row r="1048422" ht="12.75" customHeight="1" x14ac:dyDescent="0.25"/>
    <row r="1048423" ht="12.75" customHeight="1" x14ac:dyDescent="0.25"/>
    <row r="1048424" ht="12.75" customHeight="1" x14ac:dyDescent="0.25"/>
    <row r="1048425" ht="12.75" customHeight="1" x14ac:dyDescent="0.25"/>
    <row r="1048426" ht="12.75" customHeight="1" x14ac:dyDescent="0.25"/>
    <row r="1048427" ht="12.75" customHeight="1" x14ac:dyDescent="0.25"/>
    <row r="1048428" ht="12.75" customHeight="1" x14ac:dyDescent="0.25"/>
    <row r="1048429" ht="12.75" customHeight="1" x14ac:dyDescent="0.25"/>
    <row r="1048430" ht="12.75" customHeight="1" x14ac:dyDescent="0.25"/>
    <row r="1048431" ht="12.75" customHeight="1" x14ac:dyDescent="0.25"/>
    <row r="1048432" ht="12.75" customHeight="1" x14ac:dyDescent="0.25"/>
    <row r="1048433" ht="12.75" customHeight="1" x14ac:dyDescent="0.25"/>
    <row r="1048434" ht="12.75" customHeight="1" x14ac:dyDescent="0.25"/>
    <row r="1048435" ht="12.75" customHeight="1" x14ac:dyDescent="0.25"/>
    <row r="1048436" ht="12.75" customHeight="1" x14ac:dyDescent="0.25"/>
    <row r="1048437" ht="12.75" customHeight="1" x14ac:dyDescent="0.25"/>
    <row r="1048438" ht="12.75" customHeight="1" x14ac:dyDescent="0.25"/>
    <row r="1048439" ht="12.75" customHeight="1" x14ac:dyDescent="0.25"/>
    <row r="1048440" ht="12.75" customHeight="1" x14ac:dyDescent="0.25"/>
    <row r="1048441" ht="12.75" customHeight="1" x14ac:dyDescent="0.25"/>
    <row r="1048442" ht="12.75" customHeight="1" x14ac:dyDescent="0.25"/>
    <row r="1048443" ht="12.75" customHeight="1" x14ac:dyDescent="0.25"/>
    <row r="1048444" ht="12.75" customHeight="1" x14ac:dyDescent="0.25"/>
    <row r="1048445" ht="12.75" customHeight="1" x14ac:dyDescent="0.25"/>
    <row r="1048446" ht="12.75" customHeight="1" x14ac:dyDescent="0.25"/>
    <row r="1048447" ht="12.75" customHeight="1" x14ac:dyDescent="0.25"/>
    <row r="1048448" ht="12.75" customHeight="1" x14ac:dyDescent="0.25"/>
    <row r="1048449" ht="12.75" customHeight="1" x14ac:dyDescent="0.25"/>
    <row r="1048450" ht="12.75" customHeight="1" x14ac:dyDescent="0.25"/>
    <row r="1048451" ht="12.75" customHeight="1" x14ac:dyDescent="0.25"/>
    <row r="1048452" ht="12.75" customHeight="1" x14ac:dyDescent="0.25"/>
    <row r="1048453" ht="12.75" customHeight="1" x14ac:dyDescent="0.25"/>
    <row r="1048454" ht="12.75" customHeight="1" x14ac:dyDescent="0.25"/>
    <row r="1048455" ht="12.75" customHeight="1" x14ac:dyDescent="0.25"/>
    <row r="1048456" ht="12.75" customHeight="1" x14ac:dyDescent="0.25"/>
    <row r="1048457" ht="12.75" customHeight="1" x14ac:dyDescent="0.25"/>
    <row r="1048458" ht="12.75" customHeight="1" x14ac:dyDescent="0.25"/>
    <row r="1048459" ht="12.75" customHeight="1" x14ac:dyDescent="0.25"/>
    <row r="1048460" ht="12.75" customHeight="1" x14ac:dyDescent="0.25"/>
    <row r="1048461" ht="12.75" customHeight="1" x14ac:dyDescent="0.25"/>
    <row r="1048462" ht="12.75" customHeight="1" x14ac:dyDescent="0.25"/>
    <row r="1048463" ht="12.75" customHeight="1" x14ac:dyDescent="0.25"/>
    <row r="1048464" ht="12.75" customHeight="1" x14ac:dyDescent="0.25"/>
    <row r="1048465" ht="12.75" customHeight="1" x14ac:dyDescent="0.25"/>
    <row r="1048466" ht="12.75" customHeight="1" x14ac:dyDescent="0.25"/>
    <row r="1048467" ht="12.75" customHeight="1" x14ac:dyDescent="0.25"/>
    <row r="1048468" ht="12.75" customHeight="1" x14ac:dyDescent="0.25"/>
    <row r="1048469" ht="12.75" customHeight="1" x14ac:dyDescent="0.25"/>
    <row r="1048470" ht="12.75" customHeight="1" x14ac:dyDescent="0.25"/>
    <row r="1048471" ht="12.75" customHeight="1" x14ac:dyDescent="0.25"/>
    <row r="1048472" ht="12.75" customHeight="1" x14ac:dyDescent="0.25"/>
    <row r="1048473" ht="12.75" customHeight="1" x14ac:dyDescent="0.25"/>
    <row r="1048474" ht="12.75" customHeight="1" x14ac:dyDescent="0.25"/>
    <row r="1048475" ht="12.75" customHeight="1" x14ac:dyDescent="0.25"/>
    <row r="1048476" ht="12.75" customHeight="1" x14ac:dyDescent="0.25"/>
    <row r="1048477" ht="12.75" customHeight="1" x14ac:dyDescent="0.25"/>
    <row r="1048478" ht="12.75" customHeight="1" x14ac:dyDescent="0.25"/>
    <row r="1048479" ht="12.75" customHeight="1" x14ac:dyDescent="0.25"/>
    <row r="1048480" ht="12.75" customHeight="1" x14ac:dyDescent="0.25"/>
    <row r="1048481" ht="12.75" customHeight="1" x14ac:dyDescent="0.25"/>
    <row r="1048482" ht="12.75" customHeight="1" x14ac:dyDescent="0.25"/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</sheetData>
  <mergeCells count="96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B12:J12"/>
    <mergeCell ref="B13:I13"/>
    <mergeCell ref="B14:I14"/>
    <mergeCell ref="B15:I15"/>
    <mergeCell ref="B16:K16"/>
    <mergeCell ref="B18:K18"/>
    <mergeCell ref="B19:K19"/>
    <mergeCell ref="B21:K21"/>
    <mergeCell ref="C22:I22"/>
    <mergeCell ref="C23:I23"/>
    <mergeCell ref="C24:I24"/>
    <mergeCell ref="C25:I25"/>
    <mergeCell ref="C26:I26"/>
    <mergeCell ref="C27:I27"/>
    <mergeCell ref="C28:I28"/>
    <mergeCell ref="C29:I29"/>
    <mergeCell ref="C30:I30"/>
    <mergeCell ref="C31:G31"/>
    <mergeCell ref="C32:G32"/>
    <mergeCell ref="C33:G33"/>
    <mergeCell ref="C34:G34"/>
    <mergeCell ref="C35:I35"/>
    <mergeCell ref="B36:J36"/>
    <mergeCell ref="B37:J37"/>
    <mergeCell ref="C38:I38"/>
    <mergeCell ref="B39:J39"/>
    <mergeCell ref="B40:J40"/>
    <mergeCell ref="B41:J41"/>
    <mergeCell ref="B44:K44"/>
    <mergeCell ref="B46:K46"/>
    <mergeCell ref="B47:F47"/>
    <mergeCell ref="I47:J47"/>
    <mergeCell ref="B48:F48"/>
    <mergeCell ref="I48:J48"/>
    <mergeCell ref="B49:F49"/>
    <mergeCell ref="I49:J49"/>
    <mergeCell ref="B50:F50"/>
    <mergeCell ref="I50:J50"/>
    <mergeCell ref="B51:F51"/>
    <mergeCell ref="I51:J51"/>
    <mergeCell ref="B53:J53"/>
    <mergeCell ref="B56:K56"/>
    <mergeCell ref="B57:K57"/>
    <mergeCell ref="B58:F58"/>
    <mergeCell ref="I58:J58"/>
    <mergeCell ref="B59:F59"/>
    <mergeCell ref="I59:J59"/>
    <mergeCell ref="B60:F60"/>
    <mergeCell ref="I60:J60"/>
    <mergeCell ref="B61:F61"/>
    <mergeCell ref="I61:J61"/>
    <mergeCell ref="B62:J62"/>
    <mergeCell ref="B65:J65"/>
    <mergeCell ref="B67:K67"/>
    <mergeCell ref="C68:G68"/>
    <mergeCell ref="I68:J68"/>
    <mergeCell ref="C69:G69"/>
    <mergeCell ref="I69:J69"/>
    <mergeCell ref="B70:J70"/>
    <mergeCell ref="B73:J73"/>
    <mergeCell ref="B76:K76"/>
    <mergeCell ref="B77:K77"/>
    <mergeCell ref="B78:F78"/>
    <mergeCell ref="G78:H78"/>
    <mergeCell ref="I78:J78"/>
    <mergeCell ref="B79:F79"/>
    <mergeCell ref="G79:H79"/>
    <mergeCell ref="I79:J79"/>
    <mergeCell ref="B83:F83"/>
    <mergeCell ref="G83:H83"/>
    <mergeCell ref="I83:J83"/>
    <mergeCell ref="B80:F80"/>
    <mergeCell ref="G80:H80"/>
    <mergeCell ref="I80:J80"/>
    <mergeCell ref="B81:F81"/>
    <mergeCell ref="G81:H81"/>
    <mergeCell ref="I81:J81"/>
    <mergeCell ref="B82:F82"/>
    <mergeCell ref="G82:H82"/>
    <mergeCell ref="I82:J8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  <ignoredErrors>
    <ignoredError sqref="K7:K8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AD1048576"/>
  <sheetViews>
    <sheetView showGridLines="0" topLeftCell="A218" zoomScale="110" zoomScaleNormal="110" workbookViewId="0">
      <selection activeCell="Q202" sqref="Q202"/>
    </sheetView>
  </sheetViews>
  <sheetFormatPr defaultColWidth="8.7109375" defaultRowHeight="15" customHeight="1" x14ac:dyDescent="0.25"/>
  <cols>
    <col min="1" max="1" width="14.7109375" customWidth="1"/>
    <col min="3" max="3" width="9" customWidth="1"/>
    <col min="5" max="5" width="9.7109375" customWidth="1"/>
    <col min="6" max="6" width="12.85546875" customWidth="1"/>
    <col min="7" max="7" width="13.140625" customWidth="1"/>
    <col min="8" max="8" width="13.5703125" customWidth="1"/>
    <col min="9" max="9" width="9.7109375" customWidth="1"/>
    <col min="10" max="10" width="11.28515625" customWidth="1"/>
    <col min="11" max="11" width="18.7109375" customWidth="1"/>
    <col min="12" max="12" width="8.7109375" style="535"/>
    <col min="13" max="13" width="23" style="545" customWidth="1"/>
    <col min="14" max="14" width="11.7109375" style="536" customWidth="1"/>
    <col min="15" max="15" width="11.140625" style="536" customWidth="1"/>
    <col min="16" max="17" width="8.7109375" style="536"/>
    <col min="18" max="18" width="11.42578125" style="536" customWidth="1"/>
    <col min="16384" max="16384" width="11.5703125" customWidth="1"/>
  </cols>
  <sheetData>
    <row r="2" spans="2:13" ht="15.75" x14ac:dyDescent="0.25">
      <c r="B2" s="683" t="s">
        <v>786</v>
      </c>
      <c r="C2" s="683"/>
      <c r="D2" s="683"/>
      <c r="E2" s="683"/>
      <c r="F2" s="683"/>
      <c r="G2" s="683"/>
      <c r="H2" s="683"/>
      <c r="I2" s="683"/>
      <c r="J2" s="683"/>
      <c r="K2" s="683"/>
      <c r="L2" s="543"/>
      <c r="M2" s="544"/>
    </row>
    <row r="4" spans="2:13" x14ac:dyDescent="0.25">
      <c r="B4" s="672" t="s">
        <v>36</v>
      </c>
      <c r="C4" s="672"/>
      <c r="D4" s="672"/>
      <c r="E4" s="672"/>
      <c r="F4" s="672"/>
      <c r="G4" s="672"/>
      <c r="H4" s="672"/>
      <c r="I4" s="672"/>
      <c r="J4" s="672"/>
      <c r="K4" s="672"/>
    </row>
    <row r="5" spans="2:13" ht="33" customHeight="1" x14ac:dyDescent="0.25">
      <c r="B5" s="614" t="s">
        <v>37</v>
      </c>
      <c r="C5" s="614"/>
      <c r="D5" s="614"/>
      <c r="E5" s="614"/>
      <c r="F5" s="614"/>
      <c r="G5" s="614"/>
      <c r="H5" s="25" t="s">
        <v>38</v>
      </c>
      <c r="I5" s="664" t="s">
        <v>39</v>
      </c>
      <c r="J5" s="664"/>
      <c r="K5" s="26" t="s">
        <v>40</v>
      </c>
    </row>
    <row r="6" spans="2:13" x14ac:dyDescent="0.25">
      <c r="B6" s="27" t="s">
        <v>787</v>
      </c>
      <c r="C6" s="676" t="s">
        <v>314</v>
      </c>
      <c r="D6" s="676"/>
      <c r="E6" s="676"/>
      <c r="F6" s="676"/>
      <c r="G6" s="676"/>
      <c r="H6" s="204">
        <f>SUM(H7:H8)</f>
        <v>3</v>
      </c>
      <c r="I6" s="678"/>
      <c r="J6" s="678"/>
      <c r="K6" s="205">
        <f>SUM(K7:K8)</f>
        <v>20485.282590820054</v>
      </c>
    </row>
    <row r="7" spans="2:13" x14ac:dyDescent="0.25">
      <c r="B7" s="5" t="s">
        <v>788</v>
      </c>
      <c r="C7" s="594" t="s">
        <v>316</v>
      </c>
      <c r="D7" s="594"/>
      <c r="E7" s="594"/>
      <c r="F7" s="594"/>
      <c r="G7" s="594"/>
      <c r="H7" s="4">
        <v>2</v>
      </c>
      <c r="I7" s="679">
        <f>K42</f>
        <v>6465.5533496361713</v>
      </c>
      <c r="J7" s="679"/>
      <c r="K7" s="133">
        <f>K43</f>
        <v>12931.106699272343</v>
      </c>
    </row>
    <row r="8" spans="2:13" x14ac:dyDescent="0.25">
      <c r="B8" s="5" t="s">
        <v>789</v>
      </c>
      <c r="C8" s="594" t="s">
        <v>320</v>
      </c>
      <c r="D8" s="594"/>
      <c r="E8" s="594"/>
      <c r="F8" s="594"/>
      <c r="G8" s="594"/>
      <c r="H8" s="4">
        <v>1</v>
      </c>
      <c r="I8" s="679">
        <f>K63</f>
        <v>7554.1758915477112</v>
      </c>
      <c r="J8" s="679"/>
      <c r="K8" s="133">
        <f>K64</f>
        <v>7554.1758915477112</v>
      </c>
    </row>
    <row r="9" spans="2:13" x14ac:dyDescent="0.25">
      <c r="B9" s="27" t="s">
        <v>790</v>
      </c>
      <c r="C9" s="678" t="s">
        <v>68</v>
      </c>
      <c r="D9" s="678"/>
      <c r="E9" s="678"/>
      <c r="F9" s="678"/>
      <c r="G9" s="678"/>
      <c r="H9" s="204">
        <f>SUM(H10:H11)</f>
        <v>3</v>
      </c>
      <c r="I9" s="678"/>
      <c r="J9" s="678"/>
      <c r="K9" s="205">
        <f>SUM(K10:K11)</f>
        <v>472.37444444444446</v>
      </c>
    </row>
    <row r="10" spans="2:13" x14ac:dyDescent="0.25">
      <c r="B10" s="34" t="s">
        <v>791</v>
      </c>
      <c r="C10" s="594" t="s">
        <v>325</v>
      </c>
      <c r="D10" s="594"/>
      <c r="E10" s="594"/>
      <c r="F10" s="594"/>
      <c r="G10" s="594"/>
      <c r="H10" s="4">
        <v>2</v>
      </c>
      <c r="I10" s="645">
        <f>K85</f>
        <v>190.54388888888889</v>
      </c>
      <c r="J10" s="645"/>
      <c r="K10" s="206">
        <f>I10*H10</f>
        <v>381.08777777777777</v>
      </c>
    </row>
    <row r="11" spans="2:13" ht="15" customHeight="1" x14ac:dyDescent="0.25">
      <c r="B11" s="34" t="s">
        <v>792</v>
      </c>
      <c r="C11" s="670" t="s">
        <v>327</v>
      </c>
      <c r="D11" s="670"/>
      <c r="E11" s="670"/>
      <c r="F11" s="670"/>
      <c r="G11" s="670"/>
      <c r="H11" s="4">
        <v>1</v>
      </c>
      <c r="I11" s="645">
        <f>K98</f>
        <v>91.286666666666676</v>
      </c>
      <c r="J11" s="645"/>
      <c r="K11" s="206">
        <f>I11*H11</f>
        <v>91.286666666666676</v>
      </c>
    </row>
    <row r="12" spans="2:13" x14ac:dyDescent="0.25">
      <c r="B12" s="27" t="s">
        <v>793</v>
      </c>
      <c r="C12" s="678" t="s">
        <v>80</v>
      </c>
      <c r="D12" s="678"/>
      <c r="E12" s="678"/>
      <c r="F12" s="678"/>
      <c r="G12" s="678"/>
      <c r="H12" s="204">
        <f>SUM(H13)</f>
        <v>1</v>
      </c>
      <c r="I12" s="678"/>
      <c r="J12" s="678"/>
      <c r="K12" s="205">
        <f>K205</f>
        <v>8350.8266989621479</v>
      </c>
    </row>
    <row r="13" spans="2:13" x14ac:dyDescent="0.25">
      <c r="B13" s="5" t="s">
        <v>794</v>
      </c>
      <c r="C13" s="594" t="s">
        <v>795</v>
      </c>
      <c r="D13" s="594"/>
      <c r="E13" s="594"/>
      <c r="F13" s="594"/>
      <c r="G13" s="594"/>
      <c r="H13" s="4">
        <v>1</v>
      </c>
      <c r="I13" s="645">
        <f>K202</f>
        <v>8350.8266989621479</v>
      </c>
      <c r="J13" s="645"/>
      <c r="K13" s="133">
        <f>K203</f>
        <v>8350.8266989621479</v>
      </c>
    </row>
    <row r="14" spans="2:13" x14ac:dyDescent="0.25">
      <c r="B14" s="27" t="s">
        <v>796</v>
      </c>
      <c r="C14" s="676" t="s">
        <v>336</v>
      </c>
      <c r="D14" s="676"/>
      <c r="E14" s="676"/>
      <c r="F14" s="676"/>
      <c r="G14" s="676"/>
      <c r="H14" s="207"/>
      <c r="I14" s="677"/>
      <c r="J14" s="677"/>
      <c r="K14" s="205">
        <f>K223</f>
        <v>187.50780555555556</v>
      </c>
    </row>
    <row r="15" spans="2:13" x14ac:dyDescent="0.25">
      <c r="B15" s="27" t="s">
        <v>797</v>
      </c>
      <c r="C15" s="678" t="s">
        <v>570</v>
      </c>
      <c r="D15" s="678"/>
      <c r="E15" s="678"/>
      <c r="F15" s="678"/>
      <c r="G15" s="678"/>
      <c r="H15" s="204"/>
      <c r="I15" s="678"/>
      <c r="J15" s="678"/>
      <c r="K15" s="205">
        <f>K234</f>
        <v>34472.907964213518</v>
      </c>
    </row>
    <row r="16" spans="2:13" x14ac:dyDescent="0.25">
      <c r="B16" s="5" t="s">
        <v>798</v>
      </c>
      <c r="C16" s="604" t="s">
        <v>339</v>
      </c>
      <c r="D16" s="604"/>
      <c r="E16" s="604"/>
      <c r="F16" s="604"/>
      <c r="G16" s="604"/>
      <c r="H16" s="4">
        <v>1</v>
      </c>
      <c r="I16" s="679">
        <f>K232</f>
        <v>26305.499173886594</v>
      </c>
      <c r="J16" s="679"/>
      <c r="K16" s="133">
        <f>I16*H16</f>
        <v>26305.499173886594</v>
      </c>
    </row>
    <row r="17" spans="2:11" x14ac:dyDescent="0.25">
      <c r="B17" s="5" t="s">
        <v>799</v>
      </c>
      <c r="C17" s="604" t="s">
        <v>86</v>
      </c>
      <c r="D17" s="604"/>
      <c r="E17" s="604"/>
      <c r="F17" s="604"/>
      <c r="G17" s="604"/>
      <c r="H17" s="4">
        <v>1</v>
      </c>
      <c r="I17" s="679">
        <f>K233</f>
        <v>8167.4087903269219</v>
      </c>
      <c r="J17" s="679"/>
      <c r="K17" s="133">
        <f>I17*H17</f>
        <v>8167.4087903269219</v>
      </c>
    </row>
    <row r="18" spans="2:11" x14ac:dyDescent="0.25">
      <c r="B18" s="672" t="s">
        <v>341</v>
      </c>
      <c r="C18" s="672"/>
      <c r="D18" s="672"/>
      <c r="E18" s="672"/>
      <c r="F18" s="672"/>
      <c r="G18" s="672"/>
      <c r="H18" s="672"/>
      <c r="I18" s="672"/>
      <c r="J18" s="672"/>
      <c r="K18" s="159">
        <f>K15+K12+K9+K6+K14</f>
        <v>63968.899503995723</v>
      </c>
    </row>
    <row r="19" spans="2:11" x14ac:dyDescent="0.25">
      <c r="B19" s="672" t="s">
        <v>703</v>
      </c>
      <c r="C19" s="672"/>
      <c r="D19" s="672"/>
      <c r="E19" s="672"/>
      <c r="F19" s="672"/>
      <c r="G19" s="672"/>
      <c r="H19" s="672"/>
      <c r="I19" s="672"/>
      <c r="J19" s="672"/>
      <c r="K19" s="159">
        <f>K18*6</f>
        <v>383813.39702397434</v>
      </c>
    </row>
    <row r="20" spans="2:11" x14ac:dyDescent="0.25"/>
    <row r="21" spans="2:11" ht="15" customHeight="1" x14ac:dyDescent="0.25">
      <c r="B21" s="601" t="s">
        <v>800</v>
      </c>
      <c r="C21" s="601"/>
      <c r="D21" s="601"/>
      <c r="E21" s="601"/>
      <c r="F21" s="601"/>
      <c r="G21" s="601"/>
      <c r="H21" s="601"/>
      <c r="I21" s="601"/>
      <c r="J21" s="601"/>
      <c r="K21" s="601"/>
    </row>
    <row r="22" spans="2:11" x14ac:dyDescent="0.25">
      <c r="B22" s="675"/>
      <c r="C22" s="675"/>
      <c r="D22" s="675"/>
      <c r="E22" s="675"/>
      <c r="F22" s="675"/>
      <c r="G22" s="675"/>
      <c r="H22" s="675"/>
      <c r="I22" s="675"/>
      <c r="J22" s="675"/>
      <c r="K22" s="675"/>
    </row>
    <row r="23" spans="2:11" x14ac:dyDescent="0.25">
      <c r="B23" s="663" t="s">
        <v>801</v>
      </c>
      <c r="C23" s="663"/>
      <c r="D23" s="663"/>
      <c r="E23" s="663"/>
      <c r="F23" s="663"/>
      <c r="G23" s="663"/>
      <c r="H23" s="663"/>
      <c r="I23" s="663"/>
      <c r="J23" s="663"/>
      <c r="K23" s="663"/>
    </row>
    <row r="24" spans="2:11" x14ac:dyDescent="0.25">
      <c r="B24" s="3" t="s">
        <v>95</v>
      </c>
      <c r="C24" s="602" t="s">
        <v>96</v>
      </c>
      <c r="D24" s="602"/>
      <c r="E24" s="602"/>
      <c r="F24" s="602"/>
      <c r="G24" s="602"/>
      <c r="H24" s="53" t="s">
        <v>128</v>
      </c>
      <c r="I24" s="61" t="s">
        <v>129</v>
      </c>
      <c r="J24" s="45" t="s">
        <v>115</v>
      </c>
      <c r="K24" s="45" t="s">
        <v>97</v>
      </c>
    </row>
    <row r="25" spans="2:11" x14ac:dyDescent="0.25">
      <c r="B25" s="8" t="s">
        <v>98</v>
      </c>
      <c r="C25" s="622" t="s">
        <v>99</v>
      </c>
      <c r="D25" s="622"/>
      <c r="E25" s="622"/>
      <c r="F25" s="622"/>
      <c r="G25" s="622"/>
      <c r="H25" s="4">
        <v>220</v>
      </c>
      <c r="I25" s="8" t="s">
        <v>130</v>
      </c>
      <c r="J25" s="62">
        <f>K25/H25</f>
        <v>9.4650454545454537</v>
      </c>
      <c r="K25" s="67">
        <f>'6 - DADOS CC MO'!E10</f>
        <v>2082.31</v>
      </c>
    </row>
    <row r="26" spans="2:11" x14ac:dyDescent="0.25">
      <c r="B26" s="8" t="s">
        <v>131</v>
      </c>
      <c r="C26" s="63" t="s">
        <v>132</v>
      </c>
      <c r="D26" s="64"/>
      <c r="E26" s="64"/>
      <c r="F26" s="64"/>
      <c r="G26" s="65"/>
      <c r="H26" s="66">
        <f>7+1/3</f>
        <v>7.333333333333333</v>
      </c>
      <c r="I26" s="8" t="s">
        <v>130</v>
      </c>
      <c r="J26" s="62">
        <f>J25*2</f>
        <v>18.930090909090907</v>
      </c>
      <c r="K26" s="67">
        <f>H26*J26</f>
        <v>138.82066666666665</v>
      </c>
    </row>
    <row r="27" spans="2:11" x14ac:dyDescent="0.25">
      <c r="B27" s="8" t="s">
        <v>133</v>
      </c>
      <c r="C27" s="63" t="s">
        <v>134</v>
      </c>
      <c r="D27" s="64"/>
      <c r="E27" s="64"/>
      <c r="F27" s="64"/>
      <c r="G27" s="65"/>
      <c r="H27" s="66"/>
      <c r="I27" s="8"/>
      <c r="J27" s="62">
        <f>61/304*(SUM(K26))</f>
        <v>27.855462719298245</v>
      </c>
      <c r="K27" s="67">
        <f>J27</f>
        <v>27.855462719298245</v>
      </c>
    </row>
    <row r="28" spans="2:11" x14ac:dyDescent="0.25">
      <c r="B28" s="8" t="s">
        <v>135</v>
      </c>
      <c r="C28" s="622" t="s">
        <v>136</v>
      </c>
      <c r="D28" s="622"/>
      <c r="E28" s="622"/>
      <c r="F28" s="622"/>
      <c r="G28" s="622"/>
      <c r="H28" s="4">
        <v>40</v>
      </c>
      <c r="I28" s="8" t="s">
        <v>89</v>
      </c>
      <c r="J28" s="46"/>
      <c r="K28" s="67">
        <f>K25*40%</f>
        <v>832.92399999999998</v>
      </c>
    </row>
    <row r="29" spans="2:11" x14ac:dyDescent="0.25">
      <c r="B29" s="4"/>
      <c r="C29" s="661" t="s">
        <v>100</v>
      </c>
      <c r="D29" s="661"/>
      <c r="E29" s="661"/>
      <c r="F29" s="661"/>
      <c r="G29" s="661"/>
      <c r="H29" s="661"/>
      <c r="I29" s="661"/>
      <c r="J29" s="48"/>
      <c r="K29" s="210">
        <f>SUM(K25:K28)</f>
        <v>3081.9101293859649</v>
      </c>
    </row>
    <row r="30" spans="2:11" x14ac:dyDescent="0.25">
      <c r="B30" s="45" t="s">
        <v>101</v>
      </c>
      <c r="C30" s="602" t="s">
        <v>102</v>
      </c>
      <c r="D30" s="602"/>
      <c r="E30" s="602"/>
      <c r="F30" s="602"/>
      <c r="G30" s="602"/>
      <c r="H30" s="602"/>
      <c r="I30" s="602"/>
      <c r="J30" s="45" t="s">
        <v>89</v>
      </c>
      <c r="K30" s="45" t="s">
        <v>97</v>
      </c>
    </row>
    <row r="31" spans="2:11" x14ac:dyDescent="0.25">
      <c r="B31" s="8" t="s">
        <v>103</v>
      </c>
      <c r="C31" s="622" t="s">
        <v>104</v>
      </c>
      <c r="D31" s="622"/>
      <c r="E31" s="622"/>
      <c r="F31" s="622"/>
      <c r="G31" s="622"/>
      <c r="H31" s="622"/>
      <c r="I31" s="622"/>
      <c r="J31" s="50">
        <f>'7 - ENCARGOS SOCIAIS'!$D$13</f>
        <v>0.36800000000000005</v>
      </c>
      <c r="K31" s="67">
        <f>J31*$K$29</f>
        <v>1134.1429276140352</v>
      </c>
    </row>
    <row r="32" spans="2:11" x14ac:dyDescent="0.25">
      <c r="B32" s="8" t="s">
        <v>105</v>
      </c>
      <c r="C32" s="622" t="s">
        <v>106</v>
      </c>
      <c r="D32" s="622"/>
      <c r="E32" s="622"/>
      <c r="F32" s="622"/>
      <c r="G32" s="622"/>
      <c r="H32" s="622"/>
      <c r="I32" s="622"/>
      <c r="J32" s="50">
        <f>'7 - ENCARGOS SOCIAIS'!$D$21</f>
        <v>0.15387245147090212</v>
      </c>
      <c r="K32" s="67">
        <f>J32*$K$29</f>
        <v>474.22106682162354</v>
      </c>
    </row>
    <row r="33" spans="2:11" x14ac:dyDescent="0.25">
      <c r="B33" s="8" t="s">
        <v>107</v>
      </c>
      <c r="C33" s="622" t="s">
        <v>108</v>
      </c>
      <c r="D33" s="622"/>
      <c r="E33" s="622"/>
      <c r="F33" s="622"/>
      <c r="G33" s="622"/>
      <c r="H33" s="622"/>
      <c r="I33" s="622"/>
      <c r="J33" s="50">
        <f>'7 - ENCARGOS SOCIAIS'!$D$28</f>
        <v>0.12666581537651095</v>
      </c>
      <c r="K33" s="67">
        <f>J33*$K$29</f>
        <v>390.37265945580157</v>
      </c>
    </row>
    <row r="34" spans="2:11" x14ac:dyDescent="0.25">
      <c r="B34" s="8" t="s">
        <v>109</v>
      </c>
      <c r="C34" s="622" t="s">
        <v>110</v>
      </c>
      <c r="D34" s="622"/>
      <c r="E34" s="622"/>
      <c r="F34" s="622"/>
      <c r="G34" s="622"/>
      <c r="H34" s="622"/>
      <c r="I34" s="622"/>
      <c r="J34" s="50">
        <f>'7 - ENCARGOS SOCIAIS'!$D$32</f>
        <v>5.9231502118822603E-2</v>
      </c>
      <c r="K34" s="67">
        <f>J34*$K$29</f>
        <v>182.54616635874561</v>
      </c>
    </row>
    <row r="35" spans="2:11" x14ac:dyDescent="0.25">
      <c r="B35" s="25"/>
      <c r="C35" s="614" t="s">
        <v>111</v>
      </c>
      <c r="D35" s="614"/>
      <c r="E35" s="614"/>
      <c r="F35" s="614"/>
      <c r="G35" s="614"/>
      <c r="H35" s="614"/>
      <c r="I35" s="614"/>
      <c r="J35" s="51">
        <f>SUM(J31:J34)</f>
        <v>0.70776976896623567</v>
      </c>
      <c r="K35" s="211">
        <f>SUM(K31:K34)</f>
        <v>2181.282820250206</v>
      </c>
    </row>
    <row r="36" spans="2:11" ht="32.450000000000003" customHeight="1" x14ac:dyDescent="0.25">
      <c r="B36" s="45" t="s">
        <v>112</v>
      </c>
      <c r="C36" s="667" t="s">
        <v>113</v>
      </c>
      <c r="D36" s="667"/>
      <c r="E36" s="667"/>
      <c r="F36" s="667"/>
      <c r="G36" s="667"/>
      <c r="H36" s="53" t="s">
        <v>114</v>
      </c>
      <c r="I36" s="45" t="s">
        <v>115</v>
      </c>
      <c r="J36" s="45" t="s">
        <v>116</v>
      </c>
      <c r="K36" s="45" t="s">
        <v>97</v>
      </c>
    </row>
    <row r="37" spans="2:11" ht="15" customHeight="1" x14ac:dyDescent="0.25">
      <c r="B37" s="8" t="s">
        <v>117</v>
      </c>
      <c r="C37" s="670" t="s">
        <v>118</v>
      </c>
      <c r="D37" s="670"/>
      <c r="E37" s="670"/>
      <c r="F37" s="670"/>
      <c r="G37" s="670"/>
      <c r="H37" s="8">
        <v>26</v>
      </c>
      <c r="I37" s="54">
        <v>27.15</v>
      </c>
      <c r="J37" s="69">
        <v>0.19</v>
      </c>
      <c r="K37" s="133">
        <f>(H37*I37)-((H37*I37)*J37)</f>
        <v>571.779</v>
      </c>
    </row>
    <row r="38" spans="2:11" x14ac:dyDescent="0.25">
      <c r="B38" s="8" t="s">
        <v>119</v>
      </c>
      <c r="C38" s="622" t="s">
        <v>151</v>
      </c>
      <c r="D38" s="622"/>
      <c r="E38" s="622"/>
      <c r="F38" s="622"/>
      <c r="G38" s="622"/>
      <c r="H38" s="8">
        <f>H37*4</f>
        <v>104</v>
      </c>
      <c r="I38" s="56">
        <v>6.25</v>
      </c>
      <c r="J38" s="69">
        <v>0.06</v>
      </c>
      <c r="K38" s="133">
        <f>(H38*I38)-(K25*J38)</f>
        <v>525.06140000000005</v>
      </c>
    </row>
    <row r="39" spans="2:11" x14ac:dyDescent="0.25">
      <c r="B39" s="8" t="s">
        <v>121</v>
      </c>
      <c r="C39" s="622" t="s">
        <v>122</v>
      </c>
      <c r="D39" s="622"/>
      <c r="E39" s="622"/>
      <c r="F39" s="622"/>
      <c r="G39" s="622"/>
      <c r="H39" s="4">
        <v>1</v>
      </c>
      <c r="I39" s="54">
        <v>25.52</v>
      </c>
      <c r="J39" s="5"/>
      <c r="K39" s="32">
        <f>I39</f>
        <v>25.52</v>
      </c>
    </row>
    <row r="40" spans="2:11" x14ac:dyDescent="0.25">
      <c r="B40" s="8" t="s">
        <v>152</v>
      </c>
      <c r="C40" s="622" t="s">
        <v>348</v>
      </c>
      <c r="D40" s="622"/>
      <c r="E40" s="622"/>
      <c r="F40" s="622"/>
      <c r="G40" s="622"/>
      <c r="H40" s="4">
        <v>1</v>
      </c>
      <c r="I40" s="54">
        <v>80</v>
      </c>
      <c r="J40" s="5"/>
      <c r="K40" s="32">
        <f>I40</f>
        <v>80</v>
      </c>
    </row>
    <row r="41" spans="2:11" x14ac:dyDescent="0.25">
      <c r="B41" s="5"/>
      <c r="C41" s="661" t="s">
        <v>123</v>
      </c>
      <c r="D41" s="661"/>
      <c r="E41" s="661"/>
      <c r="F41" s="661"/>
      <c r="G41" s="661"/>
      <c r="H41" s="661"/>
      <c r="I41" s="661"/>
      <c r="J41" s="48"/>
      <c r="K41" s="206">
        <f>SUM(K37:K40)</f>
        <v>1202.3604</v>
      </c>
    </row>
    <row r="42" spans="2:11" ht="15" customHeight="1" x14ac:dyDescent="0.25">
      <c r="B42" s="665" t="s">
        <v>349</v>
      </c>
      <c r="C42" s="665"/>
      <c r="D42" s="665"/>
      <c r="E42" s="665"/>
      <c r="F42" s="665"/>
      <c r="G42" s="665"/>
      <c r="H42" s="665"/>
      <c r="I42" s="665"/>
      <c r="J42" s="665"/>
      <c r="K42" s="212">
        <f>K41+K35+K29</f>
        <v>6465.5533496361713</v>
      </c>
    </row>
    <row r="43" spans="2:11" x14ac:dyDescent="0.25">
      <c r="B43" s="666" t="s">
        <v>125</v>
      </c>
      <c r="C43" s="666"/>
      <c r="D43" s="666"/>
      <c r="E43" s="666"/>
      <c r="F43" s="666"/>
      <c r="G43" s="666"/>
      <c r="H43" s="666"/>
      <c r="I43" s="59">
        <v>2</v>
      </c>
      <c r="J43" s="59" t="s">
        <v>126</v>
      </c>
      <c r="K43" s="213">
        <f>K42*I43</f>
        <v>12931.106699272343</v>
      </c>
    </row>
    <row r="44" spans="2:11" x14ac:dyDescent="0.25"/>
    <row r="45" spans="2:11" x14ac:dyDescent="0.25">
      <c r="B45" s="663" t="s">
        <v>802</v>
      </c>
      <c r="C45" s="663"/>
      <c r="D45" s="663"/>
      <c r="E45" s="663"/>
      <c r="F45" s="663"/>
      <c r="G45" s="663"/>
      <c r="H45" s="663"/>
      <c r="I45" s="663"/>
      <c r="J45" s="663"/>
      <c r="K45" s="663"/>
    </row>
    <row r="46" spans="2:11" x14ac:dyDescent="0.25">
      <c r="B46" s="3" t="s">
        <v>95</v>
      </c>
      <c r="C46" s="602" t="s">
        <v>96</v>
      </c>
      <c r="D46" s="602"/>
      <c r="E46" s="602"/>
      <c r="F46" s="602"/>
      <c r="G46" s="602"/>
      <c r="H46" s="53" t="s">
        <v>128</v>
      </c>
      <c r="I46" s="61" t="s">
        <v>129</v>
      </c>
      <c r="J46" s="45" t="s">
        <v>115</v>
      </c>
      <c r="K46" s="45" t="s">
        <v>97</v>
      </c>
    </row>
    <row r="47" spans="2:11" x14ac:dyDescent="0.25">
      <c r="B47" s="8" t="s">
        <v>98</v>
      </c>
      <c r="C47" s="622" t="s">
        <v>99</v>
      </c>
      <c r="D47" s="622"/>
      <c r="E47" s="622"/>
      <c r="F47" s="622"/>
      <c r="G47" s="622"/>
      <c r="H47" s="4">
        <v>220</v>
      </c>
      <c r="I47" s="8" t="s">
        <v>130</v>
      </c>
      <c r="J47" s="62">
        <f>K47/H47</f>
        <v>11.441227272727273</v>
      </c>
      <c r="K47" s="67">
        <f>'6 - DADOS CC MO'!E22</f>
        <v>2517.0700000000002</v>
      </c>
    </row>
    <row r="48" spans="2:11" x14ac:dyDescent="0.25">
      <c r="B48" s="8" t="s">
        <v>131</v>
      </c>
      <c r="C48" s="63" t="s">
        <v>132</v>
      </c>
      <c r="D48" s="64"/>
      <c r="E48" s="64"/>
      <c r="F48" s="64"/>
      <c r="G48" s="65"/>
      <c r="H48" s="66">
        <f>7+1/3</f>
        <v>7.333333333333333</v>
      </c>
      <c r="I48" s="8" t="s">
        <v>130</v>
      </c>
      <c r="J48" s="62">
        <f>J47*2</f>
        <v>22.882454545454546</v>
      </c>
      <c r="K48" s="67">
        <f>H48*J48</f>
        <v>167.80466666666666</v>
      </c>
    </row>
    <row r="49" spans="2:11" x14ac:dyDescent="0.25">
      <c r="B49" s="8" t="s">
        <v>133</v>
      </c>
      <c r="C49" s="63" t="s">
        <v>134</v>
      </c>
      <c r="D49" s="64"/>
      <c r="E49" s="64"/>
      <c r="F49" s="64"/>
      <c r="G49" s="65"/>
      <c r="H49" s="66"/>
      <c r="I49" s="8"/>
      <c r="J49" s="62">
        <f>61/304*(SUM(K48))</f>
        <v>33.67133114035088</v>
      </c>
      <c r="K49" s="67">
        <f>J49</f>
        <v>33.67133114035088</v>
      </c>
    </row>
    <row r="50" spans="2:11" x14ac:dyDescent="0.25">
      <c r="B50" s="8" t="s">
        <v>135</v>
      </c>
      <c r="C50" s="622" t="s">
        <v>136</v>
      </c>
      <c r="D50" s="622"/>
      <c r="E50" s="622"/>
      <c r="F50" s="622"/>
      <c r="G50" s="622"/>
      <c r="H50" s="4">
        <v>40</v>
      </c>
      <c r="I50" s="8" t="s">
        <v>89</v>
      </c>
      <c r="J50" s="46"/>
      <c r="K50" s="67">
        <f>K47*40%</f>
        <v>1006.8280000000001</v>
      </c>
    </row>
    <row r="51" spans="2:11" x14ac:dyDescent="0.25">
      <c r="B51" s="4"/>
      <c r="C51" s="661" t="s">
        <v>100</v>
      </c>
      <c r="D51" s="661"/>
      <c r="E51" s="661"/>
      <c r="F51" s="661"/>
      <c r="G51" s="661"/>
      <c r="H51" s="661"/>
      <c r="I51" s="661"/>
      <c r="J51" s="48"/>
      <c r="K51" s="210">
        <f>SUM(K47:K50)</f>
        <v>3725.3739978070175</v>
      </c>
    </row>
    <row r="52" spans="2:11" x14ac:dyDescent="0.25">
      <c r="B52" s="45" t="s">
        <v>101</v>
      </c>
      <c r="C52" s="602" t="s">
        <v>102</v>
      </c>
      <c r="D52" s="602"/>
      <c r="E52" s="602"/>
      <c r="F52" s="602"/>
      <c r="G52" s="602"/>
      <c r="H52" s="602"/>
      <c r="I52" s="602"/>
      <c r="J52" s="45" t="s">
        <v>89</v>
      </c>
      <c r="K52" s="45" t="s">
        <v>97</v>
      </c>
    </row>
    <row r="53" spans="2:11" x14ac:dyDescent="0.25">
      <c r="B53" s="8" t="s">
        <v>103</v>
      </c>
      <c r="C53" s="622" t="s">
        <v>104</v>
      </c>
      <c r="D53" s="622"/>
      <c r="E53" s="622"/>
      <c r="F53" s="622"/>
      <c r="G53" s="622"/>
      <c r="H53" s="622"/>
      <c r="I53" s="622"/>
      <c r="J53" s="50">
        <f>'7 - ENCARGOS SOCIAIS'!$D$13</f>
        <v>0.36800000000000005</v>
      </c>
      <c r="K53" s="67">
        <f>J53*$K$51</f>
        <v>1370.9376311929827</v>
      </c>
    </row>
    <row r="54" spans="2:11" x14ac:dyDescent="0.25">
      <c r="B54" s="8" t="s">
        <v>105</v>
      </c>
      <c r="C54" s="622" t="s">
        <v>106</v>
      </c>
      <c r="D54" s="622"/>
      <c r="E54" s="622"/>
      <c r="F54" s="622"/>
      <c r="G54" s="622"/>
      <c r="H54" s="622"/>
      <c r="I54" s="622"/>
      <c r="J54" s="50">
        <f>'7 - ENCARGOS SOCIAIS'!$D$21</f>
        <v>0.15387245147090212</v>
      </c>
      <c r="K54" s="67">
        <f>J54*$K$51</f>
        <v>573.23242968852094</v>
      </c>
    </row>
    <row r="55" spans="2:11" x14ac:dyDescent="0.25">
      <c r="B55" s="8" t="s">
        <v>107</v>
      </c>
      <c r="C55" s="622" t="s">
        <v>108</v>
      </c>
      <c r="D55" s="622"/>
      <c r="E55" s="622"/>
      <c r="F55" s="622"/>
      <c r="G55" s="622"/>
      <c r="H55" s="622"/>
      <c r="I55" s="622"/>
      <c r="J55" s="50">
        <f>'7 - ENCARGOS SOCIAIS'!$D$28</f>
        <v>0.12666581537651095</v>
      </c>
      <c r="K55" s="67">
        <f>J55*$K$51</f>
        <v>471.87753501467819</v>
      </c>
    </row>
    <row r="56" spans="2:11" x14ac:dyDescent="0.25">
      <c r="B56" s="8" t="s">
        <v>109</v>
      </c>
      <c r="C56" s="622" t="s">
        <v>110</v>
      </c>
      <c r="D56" s="622"/>
      <c r="E56" s="622"/>
      <c r="F56" s="622"/>
      <c r="G56" s="622"/>
      <c r="H56" s="622"/>
      <c r="I56" s="622"/>
      <c r="J56" s="50">
        <f>'7 - ENCARGOS SOCIAIS'!$D$32</f>
        <v>5.9231502118822603E-2</v>
      </c>
      <c r="K56" s="67">
        <f>J56*$K$51</f>
        <v>220.659497844513</v>
      </c>
    </row>
    <row r="57" spans="2:11" x14ac:dyDescent="0.25">
      <c r="B57" s="25"/>
      <c r="C57" s="614" t="s">
        <v>111</v>
      </c>
      <c r="D57" s="614"/>
      <c r="E57" s="614"/>
      <c r="F57" s="614"/>
      <c r="G57" s="614"/>
      <c r="H57" s="614"/>
      <c r="I57" s="614"/>
      <c r="J57" s="51">
        <f>SUM(J53:J56)</f>
        <v>0.70776976896623567</v>
      </c>
      <c r="K57" s="211">
        <f>SUM(K53:K56)</f>
        <v>2636.7070937406943</v>
      </c>
    </row>
    <row r="58" spans="2:11" ht="22.5" customHeight="1" x14ac:dyDescent="0.25">
      <c r="B58" s="45" t="s">
        <v>112</v>
      </c>
      <c r="C58" s="667" t="s">
        <v>113</v>
      </c>
      <c r="D58" s="667"/>
      <c r="E58" s="667"/>
      <c r="F58" s="667"/>
      <c r="G58" s="667"/>
      <c r="H58" s="53" t="s">
        <v>114</v>
      </c>
      <c r="I58" s="45" t="s">
        <v>115</v>
      </c>
      <c r="J58" s="45" t="s">
        <v>116</v>
      </c>
      <c r="K58" s="45" t="s">
        <v>97</v>
      </c>
    </row>
    <row r="59" spans="2:11" ht="15" customHeight="1" x14ac:dyDescent="0.25">
      <c r="B59" s="8" t="s">
        <v>117</v>
      </c>
      <c r="C59" s="622" t="s">
        <v>156</v>
      </c>
      <c r="D59" s="622"/>
      <c r="E59" s="622"/>
      <c r="F59" s="622"/>
      <c r="G59" s="622"/>
      <c r="H59" s="8">
        <v>26</v>
      </c>
      <c r="I59" s="54">
        <v>27.15</v>
      </c>
      <c r="J59" s="69">
        <v>0.19</v>
      </c>
      <c r="K59" s="133">
        <f>(H59*I59)-((H59*I59)*J59)</f>
        <v>571.779</v>
      </c>
    </row>
    <row r="60" spans="2:11" ht="15" customHeight="1" x14ac:dyDescent="0.25">
      <c r="B60" s="8" t="s">
        <v>119</v>
      </c>
      <c r="C60" s="622" t="s">
        <v>120</v>
      </c>
      <c r="D60" s="622"/>
      <c r="E60" s="622"/>
      <c r="F60" s="622"/>
      <c r="G60" s="622"/>
      <c r="H60" s="8">
        <f>H59*4</f>
        <v>104</v>
      </c>
      <c r="I60" s="56">
        <v>6.25</v>
      </c>
      <c r="J60" s="69">
        <v>0.06</v>
      </c>
      <c r="K60" s="133">
        <f>(H60*I60)-(K47*J60)</f>
        <v>498.97579999999999</v>
      </c>
    </row>
    <row r="61" spans="2:11" ht="15" customHeight="1" x14ac:dyDescent="0.25">
      <c r="B61" s="8" t="s">
        <v>121</v>
      </c>
      <c r="C61" s="622" t="s">
        <v>353</v>
      </c>
      <c r="D61" s="622"/>
      <c r="E61" s="622"/>
      <c r="F61" s="622"/>
      <c r="G61" s="622"/>
      <c r="H61" s="8">
        <v>1</v>
      </c>
      <c r="I61" s="56">
        <v>121.34</v>
      </c>
      <c r="J61" s="69"/>
      <c r="K61" s="133">
        <f>I61</f>
        <v>121.34</v>
      </c>
    </row>
    <row r="62" spans="2:11" ht="15" customHeight="1" x14ac:dyDescent="0.25">
      <c r="B62" s="5"/>
      <c r="C62" s="661" t="s">
        <v>123</v>
      </c>
      <c r="D62" s="661"/>
      <c r="E62" s="661"/>
      <c r="F62" s="661"/>
      <c r="G62" s="661"/>
      <c r="H62" s="661"/>
      <c r="I62" s="661"/>
      <c r="J62" s="48"/>
      <c r="K62" s="206">
        <f>SUM(K59:K61)</f>
        <v>1192.0947999999999</v>
      </c>
    </row>
    <row r="63" spans="2:11" x14ac:dyDescent="0.25">
      <c r="B63" s="665" t="s">
        <v>354</v>
      </c>
      <c r="C63" s="665"/>
      <c r="D63" s="665"/>
      <c r="E63" s="665"/>
      <c r="F63" s="665"/>
      <c r="G63" s="665"/>
      <c r="H63" s="665"/>
      <c r="I63" s="665"/>
      <c r="J63" s="665"/>
      <c r="K63" s="212">
        <f>K62+K57+K51</f>
        <v>7554.1758915477112</v>
      </c>
    </row>
    <row r="64" spans="2:11" ht="15" customHeight="1" x14ac:dyDescent="0.25">
      <c r="B64" s="666" t="s">
        <v>125</v>
      </c>
      <c r="C64" s="666"/>
      <c r="D64" s="666"/>
      <c r="E64" s="666"/>
      <c r="F64" s="666"/>
      <c r="G64" s="666"/>
      <c r="H64" s="666"/>
      <c r="I64" s="59">
        <v>1</v>
      </c>
      <c r="J64" s="59" t="s">
        <v>126</v>
      </c>
      <c r="K64" s="213">
        <f>K63*I64</f>
        <v>7554.1758915477112</v>
      </c>
    </row>
    <row r="65" spans="2:13" x14ac:dyDescent="0.25"/>
    <row r="66" spans="2:13" ht="15" customHeight="1" x14ac:dyDescent="0.25">
      <c r="B66" s="597" t="s">
        <v>358</v>
      </c>
      <c r="C66" s="597"/>
      <c r="D66" s="597"/>
      <c r="E66" s="597"/>
      <c r="F66" s="597"/>
      <c r="G66" s="597"/>
      <c r="H66" s="597"/>
      <c r="I66" s="597"/>
      <c r="J66" s="597"/>
      <c r="K66" s="111">
        <f>K64+K43</f>
        <v>20485.282590820054</v>
      </c>
    </row>
    <row r="67" spans="2:13" x14ac:dyDescent="0.25"/>
    <row r="68" spans="2:13" x14ac:dyDescent="0.25"/>
    <row r="69" spans="2:13" x14ac:dyDescent="0.25">
      <c r="B69" s="601" t="s">
        <v>803</v>
      </c>
      <c r="C69" s="601"/>
      <c r="D69" s="601"/>
      <c r="E69" s="601"/>
      <c r="F69" s="601"/>
      <c r="G69" s="601"/>
      <c r="H69" s="601"/>
      <c r="I69" s="601"/>
      <c r="J69" s="601"/>
      <c r="K69" s="601"/>
    </row>
    <row r="70" spans="2:13" x14ac:dyDescent="0.25"/>
    <row r="71" spans="2:13" x14ac:dyDescent="0.25">
      <c r="B71" s="663" t="s">
        <v>804</v>
      </c>
      <c r="C71" s="663"/>
      <c r="D71" s="663"/>
      <c r="E71" s="663"/>
      <c r="F71" s="663"/>
      <c r="G71" s="663"/>
      <c r="H71" s="663"/>
      <c r="I71" s="663"/>
      <c r="J71" s="663"/>
      <c r="K71" s="663"/>
    </row>
    <row r="72" spans="2:13" ht="30.6" customHeight="1" x14ac:dyDescent="0.25">
      <c r="B72" s="614" t="s">
        <v>174</v>
      </c>
      <c r="C72" s="614"/>
      <c r="D72" s="614"/>
      <c r="E72" s="614"/>
      <c r="F72" s="614"/>
      <c r="G72" s="26" t="s">
        <v>1678</v>
      </c>
      <c r="H72" s="26" t="s">
        <v>176</v>
      </c>
      <c r="I72" s="664" t="s">
        <v>177</v>
      </c>
      <c r="J72" s="664"/>
      <c r="K72" s="25" t="s">
        <v>178</v>
      </c>
      <c r="M72" s="546"/>
    </row>
    <row r="73" spans="2:13" x14ac:dyDescent="0.25">
      <c r="B73" s="594" t="s">
        <v>362</v>
      </c>
      <c r="C73" s="594"/>
      <c r="D73" s="594"/>
      <c r="E73" s="594"/>
      <c r="F73" s="594"/>
      <c r="G73" s="4">
        <v>2</v>
      </c>
      <c r="H73" s="133">
        <f>'10 - CUSTOS UN'!J39</f>
        <v>42.74</v>
      </c>
      <c r="I73" s="645">
        <f>H73/6</f>
        <v>7.123333333333334</v>
      </c>
      <c r="J73" s="645"/>
      <c r="K73" s="133">
        <f t="shared" ref="K73:K84" si="0">I73*G73</f>
        <v>14.246666666666668</v>
      </c>
    </row>
    <row r="74" spans="2:13" x14ac:dyDescent="0.25">
      <c r="B74" s="594" t="s">
        <v>363</v>
      </c>
      <c r="C74" s="594"/>
      <c r="D74" s="594"/>
      <c r="E74" s="594"/>
      <c r="F74" s="594"/>
      <c r="G74" s="4">
        <v>2</v>
      </c>
      <c r="H74" s="133">
        <f>'10 - CUSTOS UN'!J33</f>
        <v>44.47</v>
      </c>
      <c r="I74" s="645">
        <f>H74/6</f>
        <v>7.4116666666666662</v>
      </c>
      <c r="J74" s="645"/>
      <c r="K74" s="133">
        <f t="shared" si="0"/>
        <v>14.823333333333332</v>
      </c>
    </row>
    <row r="75" spans="2:13" x14ac:dyDescent="0.25">
      <c r="B75" s="594" t="s">
        <v>364</v>
      </c>
      <c r="C75" s="594"/>
      <c r="D75" s="594"/>
      <c r="E75" s="594"/>
      <c r="F75" s="594"/>
      <c r="G75" s="4">
        <v>2</v>
      </c>
      <c r="H75" s="133">
        <f>'10 - CUSTOS UN'!J24</f>
        <v>55.079999999999991</v>
      </c>
      <c r="I75" s="645">
        <f>H75/6</f>
        <v>9.1799999999999979</v>
      </c>
      <c r="J75" s="645"/>
      <c r="K75" s="133">
        <f t="shared" si="0"/>
        <v>18.359999999999996</v>
      </c>
    </row>
    <row r="76" spans="2:13" x14ac:dyDescent="0.25">
      <c r="B76" s="594" t="s">
        <v>365</v>
      </c>
      <c r="C76" s="594"/>
      <c r="D76" s="594"/>
      <c r="E76" s="594"/>
      <c r="F76" s="594"/>
      <c r="G76" s="4">
        <v>2</v>
      </c>
      <c r="H76" s="133">
        <f>'10 - CUSTOS UN'!J15</f>
        <v>44.393333333333338</v>
      </c>
      <c r="I76" s="645">
        <f>H76/6</f>
        <v>7.39888888888889</v>
      </c>
      <c r="J76" s="645"/>
      <c r="K76" s="133">
        <f t="shared" si="0"/>
        <v>14.79777777777778</v>
      </c>
    </row>
    <row r="77" spans="2:13" x14ac:dyDescent="0.25">
      <c r="B77" s="594" t="s">
        <v>366</v>
      </c>
      <c r="C77" s="594"/>
      <c r="D77" s="594"/>
      <c r="E77" s="594"/>
      <c r="F77" s="594"/>
      <c r="G77" s="4">
        <v>3</v>
      </c>
      <c r="H77" s="12">
        <f>'10 - CUSTOS UN'!J84</f>
        <v>17.73</v>
      </c>
      <c r="I77" s="645">
        <f>H78/6</f>
        <v>1.5349999999999999</v>
      </c>
      <c r="J77" s="645"/>
      <c r="K77" s="133">
        <f t="shared" si="0"/>
        <v>4.6049999999999995</v>
      </c>
    </row>
    <row r="78" spans="2:13" x14ac:dyDescent="0.25">
      <c r="B78" s="594" t="s">
        <v>367</v>
      </c>
      <c r="C78" s="594"/>
      <c r="D78" s="594"/>
      <c r="E78" s="594"/>
      <c r="F78" s="594"/>
      <c r="G78" s="4">
        <v>1</v>
      </c>
      <c r="H78" s="133">
        <f>'10 - CUSTOS UN'!J21</f>
        <v>9.2099999999999991</v>
      </c>
      <c r="I78" s="645">
        <f t="shared" ref="I78:I84" si="1">H78/6</f>
        <v>1.5349999999999999</v>
      </c>
      <c r="J78" s="645"/>
      <c r="K78" s="133">
        <f t="shared" si="0"/>
        <v>1.5349999999999999</v>
      </c>
    </row>
    <row r="79" spans="2:13" x14ac:dyDescent="0.25">
      <c r="B79" s="594" t="s">
        <v>185</v>
      </c>
      <c r="C79" s="594"/>
      <c r="D79" s="594"/>
      <c r="E79" s="594"/>
      <c r="F79" s="594"/>
      <c r="G79" s="4">
        <v>1</v>
      </c>
      <c r="H79" s="133">
        <f>'10 - CUSTOS UN'!J66</f>
        <v>156.05666666666664</v>
      </c>
      <c r="I79" s="645">
        <f t="shared" si="1"/>
        <v>26.009444444444441</v>
      </c>
      <c r="J79" s="645"/>
      <c r="K79" s="133">
        <f t="shared" si="0"/>
        <v>26.009444444444441</v>
      </c>
    </row>
    <row r="80" spans="2:13" x14ac:dyDescent="0.25">
      <c r="B80" s="594" t="s">
        <v>368</v>
      </c>
      <c r="C80" s="594"/>
      <c r="D80" s="594"/>
      <c r="E80" s="594"/>
      <c r="F80" s="594"/>
      <c r="G80" s="4">
        <v>1</v>
      </c>
      <c r="H80" s="133">
        <f>'10 - CUSTOS UN'!J111</f>
        <v>116.83</v>
      </c>
      <c r="I80" s="645">
        <f t="shared" si="1"/>
        <v>19.471666666666668</v>
      </c>
      <c r="J80" s="645"/>
      <c r="K80" s="133">
        <f t="shared" si="0"/>
        <v>19.471666666666668</v>
      </c>
    </row>
    <row r="81" spans="2:11" ht="15" customHeight="1" x14ac:dyDescent="0.25">
      <c r="B81" s="594" t="s">
        <v>369</v>
      </c>
      <c r="C81" s="594"/>
      <c r="D81" s="594"/>
      <c r="E81" s="594"/>
      <c r="F81" s="594"/>
      <c r="G81" s="219">
        <v>1</v>
      </c>
      <c r="H81" s="220">
        <f>'10 - CUSTOS UN'!$J$87</f>
        <v>4.7966666666666669</v>
      </c>
      <c r="I81" s="645">
        <f t="shared" si="1"/>
        <v>0.79944444444444451</v>
      </c>
      <c r="J81" s="645"/>
      <c r="K81" s="133">
        <f t="shared" si="0"/>
        <v>0.79944444444444451</v>
      </c>
    </row>
    <row r="82" spans="2:11" x14ac:dyDescent="0.25">
      <c r="B82" s="594" t="s">
        <v>188</v>
      </c>
      <c r="C82" s="594"/>
      <c r="D82" s="594"/>
      <c r="E82" s="594"/>
      <c r="F82" s="594"/>
      <c r="G82" s="219">
        <v>1</v>
      </c>
      <c r="H82" s="220">
        <f>'10 - CUSTOS UN'!J51</f>
        <v>212.1933333333333</v>
      </c>
      <c r="I82" s="645">
        <f t="shared" si="1"/>
        <v>35.365555555555552</v>
      </c>
      <c r="J82" s="645"/>
      <c r="K82" s="133">
        <f t="shared" si="0"/>
        <v>35.365555555555552</v>
      </c>
    </row>
    <row r="83" spans="2:11" x14ac:dyDescent="0.25">
      <c r="B83" s="594" t="s">
        <v>187</v>
      </c>
      <c r="C83" s="594"/>
      <c r="D83" s="594"/>
      <c r="E83" s="594"/>
      <c r="F83" s="594"/>
      <c r="G83" s="219">
        <v>24</v>
      </c>
      <c r="H83" s="220">
        <f>'10 - CUSTOS UN'!J72</f>
        <v>8.2700000000000014</v>
      </c>
      <c r="I83" s="645">
        <f t="shared" si="1"/>
        <v>1.3783333333333336</v>
      </c>
      <c r="J83" s="645"/>
      <c r="K83" s="133">
        <f t="shared" si="0"/>
        <v>33.080000000000005</v>
      </c>
    </row>
    <row r="84" spans="2:11" x14ac:dyDescent="0.25">
      <c r="B84" s="648" t="s">
        <v>370</v>
      </c>
      <c r="C84" s="648"/>
      <c r="D84" s="648"/>
      <c r="E84" s="648"/>
      <c r="F84" s="648"/>
      <c r="G84" s="113">
        <v>3</v>
      </c>
      <c r="H84" s="137">
        <f>'10 - CUSTOS UN'!$J$99</f>
        <v>14.9</v>
      </c>
      <c r="I84" s="649">
        <f t="shared" si="1"/>
        <v>2.4833333333333334</v>
      </c>
      <c r="J84" s="649"/>
      <c r="K84" s="137">
        <f t="shared" si="0"/>
        <v>7.45</v>
      </c>
    </row>
    <row r="85" spans="2:11" x14ac:dyDescent="0.25">
      <c r="B85" s="660" t="s">
        <v>371</v>
      </c>
      <c r="C85" s="660"/>
      <c r="D85" s="660"/>
      <c r="E85" s="660"/>
      <c r="F85" s="660"/>
      <c r="G85" s="115"/>
      <c r="H85" s="115"/>
      <c r="I85" s="662"/>
      <c r="J85" s="662"/>
      <c r="K85" s="221">
        <f>SUM(K73:K84)</f>
        <v>190.54388888888889</v>
      </c>
    </row>
    <row r="86" spans="2:11" x14ac:dyDescent="0.25">
      <c r="B86" s="661" t="s">
        <v>182</v>
      </c>
      <c r="C86" s="661"/>
      <c r="D86" s="661"/>
      <c r="E86" s="661"/>
      <c r="F86" s="661"/>
      <c r="G86" s="4">
        <v>2</v>
      </c>
      <c r="H86" s="4" t="s">
        <v>126</v>
      </c>
      <c r="I86" s="645">
        <f>K85</f>
        <v>190.54388888888889</v>
      </c>
      <c r="J86" s="645"/>
      <c r="K86" s="206">
        <f>K85*G86</f>
        <v>381.08777777777777</v>
      </c>
    </row>
    <row r="87" spans="2:11" x14ac:dyDescent="0.25"/>
    <row r="88" spans="2:11" x14ac:dyDescent="0.25">
      <c r="B88" s="663" t="s">
        <v>805</v>
      </c>
      <c r="C88" s="663"/>
      <c r="D88" s="663"/>
      <c r="E88" s="663"/>
      <c r="F88" s="663"/>
      <c r="G88" s="663"/>
      <c r="H88" s="663"/>
      <c r="I88" s="663"/>
      <c r="J88" s="663"/>
      <c r="K88" s="663"/>
    </row>
    <row r="89" spans="2:11" ht="34.9" customHeight="1" x14ac:dyDescent="0.25">
      <c r="B89" s="614" t="s">
        <v>174</v>
      </c>
      <c r="C89" s="614"/>
      <c r="D89" s="614"/>
      <c r="E89" s="614"/>
      <c r="F89" s="614"/>
      <c r="G89" s="26" t="s">
        <v>1678</v>
      </c>
      <c r="H89" s="26" t="s">
        <v>176</v>
      </c>
      <c r="I89" s="664" t="s">
        <v>177</v>
      </c>
      <c r="J89" s="664"/>
      <c r="K89" s="25" t="s">
        <v>178</v>
      </c>
    </row>
    <row r="90" spans="2:11" x14ac:dyDescent="0.25">
      <c r="B90" s="594" t="s">
        <v>179</v>
      </c>
      <c r="C90" s="594"/>
      <c r="D90" s="594"/>
      <c r="E90" s="594"/>
      <c r="F90" s="594"/>
      <c r="G90" s="4">
        <v>2</v>
      </c>
      <c r="H90" s="133">
        <f>'10 - CUSTOS UN'!J36</f>
        <v>21.349999999999998</v>
      </c>
      <c r="I90" s="645">
        <f t="shared" ref="I90:I97" si="2">H90/6</f>
        <v>3.5583333333333331</v>
      </c>
      <c r="J90" s="645"/>
      <c r="K90" s="133">
        <f t="shared" ref="K90:K97" si="3">I90*G90</f>
        <v>7.1166666666666663</v>
      </c>
    </row>
    <row r="91" spans="2:11" x14ac:dyDescent="0.25">
      <c r="B91" s="594" t="s">
        <v>184</v>
      </c>
      <c r="C91" s="594"/>
      <c r="D91" s="594"/>
      <c r="E91" s="594"/>
      <c r="F91" s="594"/>
      <c r="G91" s="4">
        <v>2</v>
      </c>
      <c r="H91" s="133">
        <f>'10 - CUSTOS UN'!J27</f>
        <v>67.736666666666665</v>
      </c>
      <c r="I91" s="645">
        <f t="shared" si="2"/>
        <v>11.289444444444444</v>
      </c>
      <c r="J91" s="645"/>
      <c r="K91" s="133">
        <f t="shared" si="3"/>
        <v>22.578888888888887</v>
      </c>
    </row>
    <row r="92" spans="2:11" x14ac:dyDescent="0.25">
      <c r="B92" s="594" t="s">
        <v>185</v>
      </c>
      <c r="C92" s="594"/>
      <c r="D92" s="594"/>
      <c r="E92" s="594"/>
      <c r="F92" s="594"/>
      <c r="G92" s="4">
        <v>1</v>
      </c>
      <c r="H92" s="133">
        <f>'10 - CUSTOS UN'!J66</f>
        <v>156.05666666666664</v>
      </c>
      <c r="I92" s="645">
        <f t="shared" si="2"/>
        <v>26.009444444444441</v>
      </c>
      <c r="J92" s="645"/>
      <c r="K92" s="133">
        <f t="shared" si="3"/>
        <v>26.009444444444441</v>
      </c>
    </row>
    <row r="93" spans="2:11" x14ac:dyDescent="0.25">
      <c r="B93" s="594" t="s">
        <v>186</v>
      </c>
      <c r="C93" s="594"/>
      <c r="D93" s="594"/>
      <c r="E93" s="594"/>
      <c r="F93" s="594"/>
      <c r="G93" s="4">
        <v>1</v>
      </c>
      <c r="H93" s="133">
        <f>'10 - CUSTOS UN'!J30</f>
        <v>84.38</v>
      </c>
      <c r="I93" s="645">
        <f t="shared" si="2"/>
        <v>14.063333333333333</v>
      </c>
      <c r="J93" s="645"/>
      <c r="K93" s="133">
        <f t="shared" si="3"/>
        <v>14.063333333333333</v>
      </c>
    </row>
    <row r="94" spans="2:11" x14ac:dyDescent="0.25">
      <c r="B94" s="594" t="s">
        <v>369</v>
      </c>
      <c r="C94" s="594"/>
      <c r="D94" s="594"/>
      <c r="E94" s="594"/>
      <c r="F94" s="594"/>
      <c r="G94" s="4">
        <v>1</v>
      </c>
      <c r="H94" s="220">
        <f>'10 - CUSTOS UN'!$J$87</f>
        <v>4.7966666666666669</v>
      </c>
      <c r="I94" s="645">
        <f t="shared" si="2"/>
        <v>0.79944444444444451</v>
      </c>
      <c r="J94" s="645"/>
      <c r="K94" s="133">
        <f t="shared" si="3"/>
        <v>0.79944444444444451</v>
      </c>
    </row>
    <row r="95" spans="2:11" ht="15" customHeight="1" x14ac:dyDescent="0.25">
      <c r="B95" s="657" t="s">
        <v>196</v>
      </c>
      <c r="C95" s="657"/>
      <c r="D95" s="657"/>
      <c r="E95" s="657"/>
      <c r="F95" s="657"/>
      <c r="G95" s="4">
        <v>1</v>
      </c>
      <c r="H95" s="133">
        <f>'10 - CUSTOS UN'!J42</f>
        <v>16.393333333333334</v>
      </c>
      <c r="I95" s="645">
        <f t="shared" si="2"/>
        <v>2.7322222222222226</v>
      </c>
      <c r="J95" s="645"/>
      <c r="K95" s="133">
        <f t="shared" si="3"/>
        <v>2.7322222222222226</v>
      </c>
    </row>
    <row r="96" spans="2:11" ht="15" customHeight="1" x14ac:dyDescent="0.25">
      <c r="B96" s="594" t="s">
        <v>370</v>
      </c>
      <c r="C96" s="594"/>
      <c r="D96" s="594"/>
      <c r="E96" s="594"/>
      <c r="F96" s="594"/>
      <c r="G96" s="4">
        <v>6</v>
      </c>
      <c r="H96" s="133">
        <f>'10 - CUSTOS UN'!$J$99</f>
        <v>14.9</v>
      </c>
      <c r="I96" s="645">
        <f t="shared" si="2"/>
        <v>2.4833333333333334</v>
      </c>
      <c r="J96" s="645"/>
      <c r="K96" s="133">
        <f t="shared" si="3"/>
        <v>14.9</v>
      </c>
    </row>
    <row r="97" spans="2:23" ht="15" customHeight="1" x14ac:dyDescent="0.25">
      <c r="B97" s="658" t="s">
        <v>373</v>
      </c>
      <c r="C97" s="658"/>
      <c r="D97" s="658"/>
      <c r="E97" s="658"/>
      <c r="F97" s="658"/>
      <c r="G97" s="113">
        <v>1</v>
      </c>
      <c r="H97" s="137">
        <f>'10 - CUSTOS UN'!J48</f>
        <v>18.52</v>
      </c>
      <c r="I97" s="659">
        <f t="shared" si="2"/>
        <v>3.0866666666666664</v>
      </c>
      <c r="J97" s="659"/>
      <c r="K97" s="137">
        <f t="shared" si="3"/>
        <v>3.0866666666666664</v>
      </c>
    </row>
    <row r="98" spans="2:23" x14ac:dyDescent="0.25">
      <c r="B98" s="660" t="s">
        <v>371</v>
      </c>
      <c r="C98" s="660"/>
      <c r="D98" s="660"/>
      <c r="E98" s="660"/>
      <c r="F98" s="660"/>
      <c r="G98" s="115"/>
      <c r="H98" s="115"/>
      <c r="I98" s="606"/>
      <c r="J98" s="606"/>
      <c r="K98" s="221">
        <f>SUM(K90:K97)</f>
        <v>91.286666666666676</v>
      </c>
    </row>
    <row r="99" spans="2:23" ht="15" customHeight="1" x14ac:dyDescent="0.25">
      <c r="B99" s="661" t="s">
        <v>182</v>
      </c>
      <c r="C99" s="661"/>
      <c r="D99" s="661"/>
      <c r="E99" s="661"/>
      <c r="F99" s="661"/>
      <c r="G99" s="4">
        <v>1</v>
      </c>
      <c r="H99" s="4" t="s">
        <v>126</v>
      </c>
      <c r="I99" s="645">
        <f>K98</f>
        <v>91.286666666666676</v>
      </c>
      <c r="J99" s="645"/>
      <c r="K99" s="206">
        <f>I99*G99</f>
        <v>91.286666666666676</v>
      </c>
    </row>
    <row r="100" spans="2:23" x14ac:dyDescent="0.25">
      <c r="B100" s="654"/>
      <c r="C100" s="654"/>
      <c r="D100" s="654"/>
      <c r="E100" s="654"/>
      <c r="F100" s="654"/>
      <c r="I100" s="654"/>
      <c r="J100" s="654"/>
      <c r="M100" s="547"/>
      <c r="N100" s="548"/>
      <c r="O100" s="548"/>
      <c r="P100" s="548"/>
      <c r="Q100" s="548"/>
      <c r="R100" s="548"/>
      <c r="S100" s="119"/>
      <c r="T100" s="119"/>
      <c r="U100" s="119"/>
      <c r="V100" s="119"/>
      <c r="W100" s="119"/>
    </row>
    <row r="101" spans="2:23" ht="15" customHeight="1" x14ac:dyDescent="0.25">
      <c r="B101" s="597" t="s">
        <v>375</v>
      </c>
      <c r="C101" s="597"/>
      <c r="D101" s="597"/>
      <c r="E101" s="597"/>
      <c r="F101" s="597"/>
      <c r="G101" s="597"/>
      <c r="H101" s="597"/>
      <c r="I101" s="597"/>
      <c r="J101" s="597"/>
      <c r="K101" s="346">
        <f>K99+K86</f>
        <v>472.37444444444446</v>
      </c>
      <c r="M101" s="547"/>
      <c r="N101" s="548"/>
      <c r="O101" s="548"/>
      <c r="P101" s="548"/>
      <c r="Q101" s="548"/>
      <c r="R101" s="548"/>
      <c r="S101" s="119"/>
      <c r="T101" s="119"/>
      <c r="U101" s="119"/>
      <c r="V101" s="119"/>
      <c r="W101" s="119"/>
    </row>
    <row r="102" spans="2:23" x14ac:dyDescent="0.25">
      <c r="T102" s="121"/>
      <c r="U102" s="121"/>
      <c r="V102" s="12"/>
      <c r="W102" s="12"/>
    </row>
    <row r="103" spans="2:23" x14ac:dyDescent="0.25">
      <c r="N103" s="549"/>
      <c r="O103" s="549"/>
      <c r="P103" s="549"/>
      <c r="Q103" s="549"/>
      <c r="V103" s="12"/>
      <c r="W103" s="12"/>
    </row>
    <row r="104" spans="2:23" ht="15" customHeight="1" x14ac:dyDescent="0.25">
      <c r="B104" s="601" t="s">
        <v>806</v>
      </c>
      <c r="C104" s="601"/>
      <c r="D104" s="601"/>
      <c r="E104" s="601"/>
      <c r="F104" s="601"/>
      <c r="G104" s="601"/>
      <c r="H104" s="601"/>
      <c r="I104" s="601"/>
      <c r="J104" s="601"/>
      <c r="K104" s="601"/>
    </row>
    <row r="105" spans="2:23" x14ac:dyDescent="0.25">
      <c r="B105" s="186"/>
      <c r="C105" s="186"/>
      <c r="D105" s="186"/>
      <c r="E105" s="186"/>
      <c r="F105" s="186"/>
      <c r="G105" s="186"/>
      <c r="H105" s="186"/>
      <c r="I105" s="186"/>
      <c r="J105" s="186"/>
      <c r="K105" s="186"/>
      <c r="M105" s="547"/>
      <c r="N105" s="548"/>
      <c r="O105" s="548"/>
      <c r="P105" s="548"/>
      <c r="Q105" s="548"/>
      <c r="R105" s="548"/>
      <c r="S105" s="119"/>
      <c r="T105" s="119"/>
      <c r="U105" s="119"/>
      <c r="V105" s="119"/>
      <c r="W105" s="119"/>
    </row>
    <row r="106" spans="2:23" x14ac:dyDescent="0.25">
      <c r="B106" s="655" t="s">
        <v>206</v>
      </c>
      <c r="C106" s="655"/>
      <c r="D106" s="655"/>
      <c r="E106" s="655"/>
      <c r="F106" s="655"/>
      <c r="G106" s="655"/>
      <c r="H106" s="655"/>
      <c r="I106" s="655"/>
      <c r="J106" s="655"/>
      <c r="K106" s="655"/>
      <c r="M106" s="547"/>
      <c r="N106" s="548"/>
      <c r="O106" s="548"/>
      <c r="P106" s="548"/>
      <c r="Q106" s="548"/>
      <c r="R106" s="548"/>
      <c r="S106" s="119"/>
      <c r="T106" s="119"/>
      <c r="U106" s="119"/>
      <c r="V106" s="119"/>
      <c r="W106" s="119"/>
    </row>
    <row r="107" spans="2:23" ht="15" customHeight="1" x14ac:dyDescent="0.25">
      <c r="B107" s="38" t="s">
        <v>207</v>
      </c>
      <c r="C107" s="605" t="s">
        <v>174</v>
      </c>
      <c r="D107" s="605"/>
      <c r="E107" s="605"/>
      <c r="F107" s="605"/>
      <c r="G107" s="605"/>
      <c r="H107" s="605"/>
      <c r="I107" s="656" t="s">
        <v>208</v>
      </c>
      <c r="J107" s="656"/>
      <c r="K107" s="138" t="s">
        <v>209</v>
      </c>
      <c r="N107" s="549"/>
      <c r="O107" s="549"/>
      <c r="P107" s="549"/>
      <c r="Q107" s="549"/>
      <c r="R107" s="549"/>
      <c r="S107" s="120"/>
      <c r="T107" s="124"/>
      <c r="U107" s="124"/>
      <c r="V107" s="124"/>
      <c r="W107" s="124"/>
    </row>
    <row r="108" spans="2:23" x14ac:dyDescent="0.25">
      <c r="B108" s="140" t="s">
        <v>794</v>
      </c>
      <c r="C108" s="650" t="s">
        <v>807</v>
      </c>
      <c r="D108" s="650"/>
      <c r="E108" s="650"/>
      <c r="F108" s="650"/>
      <c r="G108" s="650"/>
      <c r="H108" s="650"/>
      <c r="I108" s="651">
        <f>K202</f>
        <v>8350.8266989621479</v>
      </c>
      <c r="J108" s="651"/>
      <c r="K108" s="141">
        <f>K203</f>
        <v>8350.8266989621479</v>
      </c>
    </row>
    <row r="109" spans="2:23" ht="15.75" customHeight="1" x14ac:dyDescent="0.25">
      <c r="B109" s="5" t="s">
        <v>808</v>
      </c>
      <c r="C109" s="594" t="s">
        <v>212</v>
      </c>
      <c r="D109" s="594"/>
      <c r="E109" s="594"/>
      <c r="F109" s="594"/>
      <c r="G109" s="594"/>
      <c r="H109" s="594"/>
      <c r="I109" s="645">
        <f>I134</f>
        <v>3889.04</v>
      </c>
      <c r="J109" s="645"/>
      <c r="K109" s="142">
        <f>K134</f>
        <v>3889.04</v>
      </c>
    </row>
    <row r="110" spans="2:23" x14ac:dyDescent="0.25">
      <c r="B110" s="5" t="s">
        <v>809</v>
      </c>
      <c r="C110" s="594" t="s">
        <v>214</v>
      </c>
      <c r="D110" s="594"/>
      <c r="E110" s="594"/>
      <c r="F110" s="594"/>
      <c r="G110" s="594"/>
      <c r="H110" s="594"/>
      <c r="I110" s="645">
        <f>I149</f>
        <v>778.4287499999997</v>
      </c>
      <c r="J110" s="645"/>
      <c r="K110" s="142">
        <f>K149</f>
        <v>778.4287499999997</v>
      </c>
      <c r="T110" s="12"/>
      <c r="U110" s="12"/>
      <c r="V110" s="12"/>
      <c r="W110" s="12"/>
    </row>
    <row r="111" spans="2:23" x14ac:dyDescent="0.25">
      <c r="B111" s="5" t="s">
        <v>810</v>
      </c>
      <c r="C111" s="594" t="s">
        <v>216</v>
      </c>
      <c r="D111" s="594"/>
      <c r="E111" s="594"/>
      <c r="F111" s="594"/>
      <c r="G111" s="594"/>
      <c r="H111" s="594"/>
      <c r="I111" s="645">
        <f>I161</f>
        <v>517.61305555555555</v>
      </c>
      <c r="J111" s="645"/>
      <c r="K111" s="142">
        <f>K161</f>
        <v>517.61305555555555</v>
      </c>
      <c r="T111" s="12"/>
      <c r="U111" s="12"/>
      <c r="V111" s="124"/>
      <c r="W111" s="124"/>
    </row>
    <row r="112" spans="2:23" x14ac:dyDescent="0.25">
      <c r="B112" s="5" t="s">
        <v>811</v>
      </c>
      <c r="C112" s="594" t="s">
        <v>382</v>
      </c>
      <c r="D112" s="594"/>
      <c r="E112" s="594"/>
      <c r="F112" s="594"/>
      <c r="G112" s="594"/>
      <c r="H112" s="594"/>
      <c r="I112" s="645">
        <f>I169</f>
        <v>1861.714285714286</v>
      </c>
      <c r="J112" s="645"/>
      <c r="K112" s="142">
        <f>K169</f>
        <v>1861.714285714286</v>
      </c>
      <c r="N112" s="549"/>
      <c r="O112" s="549"/>
      <c r="P112" s="549"/>
      <c r="Q112" s="549"/>
      <c r="R112" s="549"/>
      <c r="S112" s="120"/>
      <c r="T112" s="120"/>
      <c r="U112" s="120"/>
      <c r="V112" s="120"/>
      <c r="W112" s="120"/>
    </row>
    <row r="113" spans="2:23" x14ac:dyDescent="0.25">
      <c r="B113" s="5" t="s">
        <v>812</v>
      </c>
      <c r="C113" s="594" t="s">
        <v>384</v>
      </c>
      <c r="D113" s="594"/>
      <c r="E113" s="594"/>
      <c r="F113" s="594"/>
      <c r="G113" s="594"/>
      <c r="H113" s="594"/>
      <c r="I113" s="645">
        <f>I180</f>
        <v>131.10149999999999</v>
      </c>
      <c r="J113" s="645"/>
      <c r="K113" s="142">
        <f>K180</f>
        <v>131.10149999999999</v>
      </c>
    </row>
    <row r="114" spans="2:23" x14ac:dyDescent="0.25">
      <c r="B114" s="5" t="s">
        <v>813</v>
      </c>
      <c r="C114" s="594" t="s">
        <v>220</v>
      </c>
      <c r="D114" s="594"/>
      <c r="E114" s="594"/>
      <c r="F114" s="594"/>
      <c r="G114" s="594"/>
      <c r="H114" s="594"/>
      <c r="I114" s="645">
        <f>I191</f>
        <v>110.92910769230768</v>
      </c>
      <c r="J114" s="645"/>
      <c r="K114" s="142">
        <f>K191</f>
        <v>110.92910769230768</v>
      </c>
      <c r="M114" s="547"/>
      <c r="N114" s="548"/>
      <c r="O114" s="548"/>
      <c r="P114" s="548"/>
      <c r="Q114" s="548"/>
      <c r="R114" s="548"/>
      <c r="S114" s="119"/>
      <c r="T114" s="119"/>
      <c r="U114" s="119"/>
      <c r="V114" s="119"/>
      <c r="W114" s="119"/>
    </row>
    <row r="115" spans="2:23" x14ac:dyDescent="0.25">
      <c r="B115" s="5" t="s">
        <v>814</v>
      </c>
      <c r="C115" s="594" t="s">
        <v>222</v>
      </c>
      <c r="D115" s="594"/>
      <c r="E115" s="594"/>
      <c r="F115" s="594"/>
      <c r="G115" s="594"/>
      <c r="H115" s="594"/>
      <c r="I115" s="645">
        <f>I196</f>
        <v>1062</v>
      </c>
      <c r="J115" s="645"/>
      <c r="K115" s="142">
        <f>K196</f>
        <v>1062</v>
      </c>
      <c r="M115" s="547"/>
      <c r="N115" s="548"/>
      <c r="O115" s="548"/>
      <c r="P115" s="548"/>
      <c r="Q115" s="548"/>
      <c r="R115" s="548"/>
      <c r="S115" s="119"/>
      <c r="T115" s="119"/>
      <c r="U115" s="119"/>
      <c r="V115" s="119"/>
      <c r="W115" s="119"/>
    </row>
    <row r="116" spans="2:23" x14ac:dyDescent="0.25">
      <c r="B116" s="143"/>
      <c r="C116" s="646" t="s">
        <v>223</v>
      </c>
      <c r="D116" s="646"/>
      <c r="E116" s="646"/>
      <c r="F116" s="646"/>
      <c r="G116" s="646"/>
      <c r="H116" s="646"/>
      <c r="I116" s="646"/>
      <c r="J116" s="646"/>
      <c r="K116" s="144">
        <f>SUM(K109:K115)</f>
        <v>8350.8266989621479</v>
      </c>
      <c r="N116" s="549"/>
      <c r="O116" s="549"/>
      <c r="P116" s="549"/>
      <c r="Q116" s="549"/>
      <c r="R116" s="549"/>
      <c r="S116" s="120"/>
      <c r="T116" s="124"/>
      <c r="U116" s="120"/>
      <c r="V116" s="124"/>
      <c r="W116" s="120"/>
    </row>
    <row r="117" spans="2:23" x14ac:dyDescent="0.25">
      <c r="B117" s="120"/>
      <c r="C117" s="129"/>
      <c r="D117" s="129"/>
      <c r="E117" s="129"/>
      <c r="F117" s="129"/>
      <c r="G117" s="129"/>
      <c r="H117" s="129"/>
      <c r="I117" s="129"/>
      <c r="J117" s="129"/>
      <c r="K117" s="128"/>
      <c r="T117" s="12"/>
    </row>
    <row r="118" spans="2:23" x14ac:dyDescent="0.25">
      <c r="S118" s="18"/>
    </row>
    <row r="119" spans="2:23" x14ac:dyDescent="0.25">
      <c r="B119" s="626" t="s">
        <v>815</v>
      </c>
      <c r="C119" s="626"/>
      <c r="D119" s="626"/>
      <c r="E119" s="626"/>
      <c r="F119" s="626"/>
      <c r="G119" s="626"/>
      <c r="H119" s="626"/>
      <c r="I119" s="626"/>
      <c r="J119" s="626"/>
      <c r="K119" s="626"/>
      <c r="T119" s="12"/>
    </row>
    <row r="120" spans="2:23" x14ac:dyDescent="0.25">
      <c r="T120" s="12"/>
      <c r="V120" s="12"/>
    </row>
    <row r="121" spans="2:23" x14ac:dyDescent="0.25">
      <c r="B121" s="609" t="s">
        <v>816</v>
      </c>
      <c r="C121" s="609"/>
      <c r="D121" s="609"/>
      <c r="E121" s="609"/>
      <c r="F121" s="609"/>
      <c r="G121" s="609"/>
      <c r="H121" s="609"/>
      <c r="I121" s="609"/>
      <c r="J121" s="609"/>
      <c r="K121" s="609"/>
      <c r="N121" s="549"/>
      <c r="O121" s="549"/>
      <c r="P121" s="549"/>
      <c r="Q121" s="549"/>
      <c r="R121" s="549"/>
      <c r="S121" s="120"/>
      <c r="T121" s="120"/>
      <c r="U121" s="120"/>
      <c r="V121" s="120"/>
      <c r="W121" s="120"/>
    </row>
    <row r="122" spans="2:23" x14ac:dyDescent="0.25">
      <c r="B122" s="603" t="s">
        <v>174</v>
      </c>
      <c r="C122" s="603"/>
      <c r="D122" s="603"/>
      <c r="E122" s="603"/>
      <c r="F122" s="603"/>
      <c r="G122" s="223" t="s">
        <v>128</v>
      </c>
      <c r="H122" s="138" t="s">
        <v>129</v>
      </c>
      <c r="I122" s="605" t="s">
        <v>226</v>
      </c>
      <c r="J122" s="605"/>
      <c r="K122" s="138" t="s">
        <v>227</v>
      </c>
      <c r="N122" s="549"/>
      <c r="O122" s="549"/>
      <c r="P122" s="549"/>
      <c r="Q122" s="549"/>
      <c r="R122" s="549"/>
      <c r="S122" s="120"/>
      <c r="T122" s="120"/>
      <c r="U122" s="120"/>
      <c r="V122" s="120"/>
      <c r="W122" s="120"/>
    </row>
    <row r="123" spans="2:23" ht="15" customHeight="1" x14ac:dyDescent="0.25">
      <c r="B123" s="620" t="s">
        <v>228</v>
      </c>
      <c r="C123" s="620"/>
      <c r="D123" s="620"/>
      <c r="E123" s="620"/>
      <c r="F123" s="620"/>
      <c r="G123" s="555">
        <v>1</v>
      </c>
      <c r="H123" s="125" t="s">
        <v>129</v>
      </c>
      <c r="I123" s="638">
        <v>271678</v>
      </c>
      <c r="J123" s="638"/>
      <c r="K123" s="224">
        <f>I123*G123</f>
        <v>271678</v>
      </c>
    </row>
    <row r="124" spans="2:23" x14ac:dyDescent="0.25">
      <c r="B124" s="622" t="s">
        <v>230</v>
      </c>
      <c r="C124" s="622"/>
      <c r="D124" s="622"/>
      <c r="E124" s="622"/>
      <c r="F124" s="622"/>
      <c r="G124" s="8">
        <v>5</v>
      </c>
      <c r="H124" s="8" t="s">
        <v>231</v>
      </c>
      <c r="I124" s="616"/>
      <c r="J124" s="616"/>
      <c r="K124" s="158"/>
      <c r="M124" s="547"/>
      <c r="N124" s="548"/>
      <c r="O124" s="548"/>
      <c r="P124" s="548"/>
      <c r="Q124" s="548"/>
      <c r="R124" s="548"/>
      <c r="S124" s="119"/>
      <c r="T124" s="119"/>
      <c r="U124" s="119"/>
      <c r="V124" s="119"/>
      <c r="W124" s="119"/>
    </row>
    <row r="125" spans="2:23" x14ac:dyDescent="0.25">
      <c r="B125" s="622" t="s">
        <v>232</v>
      </c>
      <c r="C125" s="622"/>
      <c r="D125" s="622"/>
      <c r="E125" s="622"/>
      <c r="F125" s="622"/>
      <c r="G125" s="8">
        <v>5</v>
      </c>
      <c r="H125" s="8" t="s">
        <v>231</v>
      </c>
      <c r="I125" s="616"/>
      <c r="J125" s="616"/>
      <c r="K125" s="158"/>
      <c r="M125" s="547"/>
      <c r="N125" s="548"/>
      <c r="O125" s="548"/>
      <c r="P125" s="548"/>
      <c r="Q125" s="548"/>
      <c r="R125" s="548"/>
      <c r="S125" s="119"/>
      <c r="T125" s="119"/>
      <c r="U125" s="119"/>
      <c r="V125" s="119"/>
      <c r="W125" s="119"/>
    </row>
    <row r="126" spans="2:23" ht="15" customHeight="1" x14ac:dyDescent="0.25">
      <c r="B126" s="615" t="s">
        <v>233</v>
      </c>
      <c r="C126" s="615"/>
      <c r="D126" s="615"/>
      <c r="E126" s="615"/>
      <c r="F126" s="615"/>
      <c r="G126" s="225">
        <v>80</v>
      </c>
      <c r="H126" s="8" t="s">
        <v>89</v>
      </c>
      <c r="I126" s="617">
        <f>I123</f>
        <v>271678</v>
      </c>
      <c r="J126" s="617"/>
      <c r="K126" s="30">
        <f>I126*G126/100</f>
        <v>217342.4</v>
      </c>
      <c r="M126" s="547"/>
      <c r="N126" s="548"/>
      <c r="O126" s="548"/>
      <c r="P126" s="548"/>
      <c r="Q126" s="548"/>
      <c r="R126" s="548"/>
      <c r="S126" s="119"/>
      <c r="T126" s="119"/>
      <c r="U126" s="119"/>
      <c r="V126" s="119"/>
      <c r="W126" s="119"/>
    </row>
    <row r="127" spans="2:23" ht="15" customHeight="1" x14ac:dyDescent="0.25">
      <c r="B127" s="618" t="s">
        <v>817</v>
      </c>
      <c r="C127" s="618"/>
      <c r="D127" s="618"/>
      <c r="E127" s="618"/>
      <c r="F127" s="618"/>
      <c r="G127" s="226">
        <v>60</v>
      </c>
      <c r="H127" s="226" t="s">
        <v>235</v>
      </c>
      <c r="I127" s="619">
        <f>K126</f>
        <v>217342.4</v>
      </c>
      <c r="J127" s="619"/>
      <c r="K127" s="148">
        <f>I127/G127</f>
        <v>3622.3733333333334</v>
      </c>
      <c r="M127" s="547"/>
      <c r="N127" s="548"/>
      <c r="O127" s="548"/>
      <c r="P127" s="548"/>
      <c r="Q127" s="548"/>
      <c r="R127" s="548"/>
      <c r="S127" s="119"/>
      <c r="T127" s="119"/>
      <c r="U127" s="119"/>
      <c r="V127" s="119"/>
      <c r="W127" s="119"/>
    </row>
    <row r="128" spans="2:23" ht="28.9" customHeight="1" x14ac:dyDescent="0.25">
      <c r="B128" s="871" t="s">
        <v>818</v>
      </c>
      <c r="C128" s="871"/>
      <c r="D128" s="871"/>
      <c r="E128" s="871"/>
      <c r="F128" s="871"/>
      <c r="G128" s="125">
        <f>G123</f>
        <v>1</v>
      </c>
      <c r="H128" s="125" t="s">
        <v>129</v>
      </c>
      <c r="I128" s="621">
        <v>20000</v>
      </c>
      <c r="J128" s="621"/>
      <c r="K128" s="224">
        <f>I128*G128</f>
        <v>20000</v>
      </c>
      <c r="M128" s="547"/>
      <c r="N128" s="548"/>
      <c r="O128" s="548"/>
      <c r="P128" s="548"/>
      <c r="Q128" s="548"/>
      <c r="R128" s="548"/>
      <c r="S128" s="119"/>
      <c r="T128" s="119"/>
      <c r="U128" s="119"/>
      <c r="V128" s="119"/>
      <c r="W128" s="119"/>
    </row>
    <row r="129" spans="2:23" ht="28.15" customHeight="1" x14ac:dyDescent="0.25">
      <c r="B129" s="670" t="s">
        <v>819</v>
      </c>
      <c r="C129" s="670"/>
      <c r="D129" s="670"/>
      <c r="E129" s="670"/>
      <c r="F129" s="670"/>
      <c r="G129" s="8">
        <v>5</v>
      </c>
      <c r="H129" s="8" t="s">
        <v>231</v>
      </c>
      <c r="I129" s="616"/>
      <c r="J129" s="616"/>
      <c r="K129" s="158"/>
      <c r="M129" s="547"/>
      <c r="N129" s="548"/>
      <c r="O129" s="548"/>
      <c r="P129" s="548"/>
      <c r="Q129" s="548"/>
      <c r="R129" s="548"/>
      <c r="S129" s="119"/>
      <c r="T129" s="119"/>
      <c r="U129" s="119"/>
      <c r="V129" s="119"/>
      <c r="W129" s="119"/>
    </row>
    <row r="130" spans="2:23" ht="15" customHeight="1" x14ac:dyDescent="0.25">
      <c r="B130" s="622" t="s">
        <v>820</v>
      </c>
      <c r="C130" s="622"/>
      <c r="D130" s="622"/>
      <c r="E130" s="622"/>
      <c r="F130" s="622"/>
      <c r="G130" s="8">
        <v>0</v>
      </c>
      <c r="H130" s="8" t="s">
        <v>231</v>
      </c>
      <c r="I130" s="616"/>
      <c r="J130" s="616"/>
      <c r="K130" s="158"/>
      <c r="M130" s="547"/>
      <c r="N130" s="548"/>
      <c r="O130" s="548"/>
      <c r="P130" s="548"/>
      <c r="Q130" s="548"/>
      <c r="R130" s="548"/>
      <c r="S130" s="119"/>
      <c r="T130" s="119"/>
      <c r="U130" s="119"/>
      <c r="V130" s="119"/>
      <c r="W130" s="119"/>
    </row>
    <row r="131" spans="2:23" ht="28.15" customHeight="1" x14ac:dyDescent="0.25">
      <c r="B131" s="873" t="s">
        <v>821</v>
      </c>
      <c r="C131" s="873"/>
      <c r="D131" s="873"/>
      <c r="E131" s="873"/>
      <c r="F131" s="873"/>
      <c r="G131" s="225">
        <v>80</v>
      </c>
      <c r="H131" s="8" t="s">
        <v>89</v>
      </c>
      <c r="I131" s="617">
        <f>I128</f>
        <v>20000</v>
      </c>
      <c r="J131" s="617"/>
      <c r="K131" s="30">
        <f>I131*G131/100</f>
        <v>16000</v>
      </c>
      <c r="M131" s="547"/>
      <c r="N131" s="548"/>
      <c r="O131" s="548"/>
      <c r="P131" s="548"/>
      <c r="Q131" s="548"/>
      <c r="R131" s="548"/>
      <c r="S131" s="119"/>
      <c r="T131" s="119"/>
      <c r="U131" s="119"/>
      <c r="V131" s="119"/>
      <c r="W131" s="119"/>
    </row>
    <row r="132" spans="2:23" ht="31.9" customHeight="1" x14ac:dyDescent="0.25">
      <c r="B132" s="869" t="s">
        <v>822</v>
      </c>
      <c r="C132" s="869"/>
      <c r="D132" s="869"/>
      <c r="E132" s="869"/>
      <c r="F132" s="869"/>
      <c r="G132" s="226">
        <f>G129*12</f>
        <v>60</v>
      </c>
      <c r="H132" s="226" t="s">
        <v>235</v>
      </c>
      <c r="I132" s="619">
        <f>K131</f>
        <v>16000</v>
      </c>
      <c r="J132" s="619"/>
      <c r="K132" s="148">
        <f>I132/G132</f>
        <v>266.66666666666669</v>
      </c>
    </row>
    <row r="133" spans="2:23" x14ac:dyDescent="0.25">
      <c r="B133" s="635" t="s">
        <v>414</v>
      </c>
      <c r="C133" s="635"/>
      <c r="D133" s="635"/>
      <c r="E133" s="635"/>
      <c r="F133" s="635"/>
      <c r="G133" s="180"/>
      <c r="H133" s="180"/>
      <c r="I133" s="636"/>
      <c r="J133" s="636"/>
      <c r="K133" s="227">
        <f>SUM(K127+K132)</f>
        <v>3889.04</v>
      </c>
      <c r="M133" s="547"/>
      <c r="N133" s="548"/>
      <c r="O133" s="548"/>
      <c r="P133" s="548"/>
      <c r="Q133" s="548"/>
      <c r="R133" s="548"/>
      <c r="S133" s="119"/>
      <c r="T133" s="119"/>
      <c r="U133" s="119"/>
      <c r="V133" s="119"/>
      <c r="W133" s="119"/>
    </row>
    <row r="134" spans="2:23" x14ac:dyDescent="0.25">
      <c r="B134" s="612" t="s">
        <v>415</v>
      </c>
      <c r="C134" s="612"/>
      <c r="D134" s="612"/>
      <c r="E134" s="612"/>
      <c r="F134" s="612"/>
      <c r="G134" s="45">
        <v>1</v>
      </c>
      <c r="H134" s="45" t="s">
        <v>229</v>
      </c>
      <c r="I134" s="613">
        <f>K133</f>
        <v>3889.04</v>
      </c>
      <c r="J134" s="613"/>
      <c r="K134" s="159">
        <f>I134*G134</f>
        <v>3889.04</v>
      </c>
      <c r="M134" s="547"/>
      <c r="N134" s="548"/>
      <c r="O134" s="548"/>
      <c r="P134" s="548"/>
      <c r="Q134" s="548"/>
      <c r="R134" s="548"/>
      <c r="S134" s="119"/>
      <c r="T134" s="119"/>
      <c r="U134" s="119"/>
      <c r="V134" s="119"/>
      <c r="W134" s="119"/>
    </row>
    <row r="135" spans="2:23" x14ac:dyDescent="0.25">
      <c r="B135" s="1"/>
      <c r="M135" s="547"/>
      <c r="N135" s="550"/>
      <c r="O135" s="550"/>
      <c r="P135" s="550"/>
      <c r="Q135" s="550"/>
      <c r="R135" s="548"/>
      <c r="S135" s="119"/>
      <c r="T135" s="119"/>
      <c r="U135" s="119"/>
      <c r="V135" s="119"/>
      <c r="W135" s="119"/>
    </row>
    <row r="136" spans="2:23" x14ac:dyDescent="0.25">
      <c r="B136" s="609" t="s">
        <v>823</v>
      </c>
      <c r="C136" s="609"/>
      <c r="D136" s="609"/>
      <c r="E136" s="609"/>
      <c r="F136" s="609"/>
      <c r="G136" s="609"/>
      <c r="H136" s="609"/>
      <c r="I136" s="609"/>
      <c r="J136" s="609"/>
      <c r="K136" s="609"/>
      <c r="N136" s="549"/>
      <c r="O136" s="549"/>
      <c r="P136" s="549"/>
      <c r="Q136" s="549"/>
      <c r="R136" s="549"/>
      <c r="S136" s="120"/>
      <c r="T136" s="120"/>
      <c r="U136" s="120"/>
      <c r="V136" s="120"/>
      <c r="W136" s="120"/>
    </row>
    <row r="137" spans="2:23" x14ac:dyDescent="0.25">
      <c r="B137" s="605" t="s">
        <v>174</v>
      </c>
      <c r="C137" s="605"/>
      <c r="D137" s="605"/>
      <c r="E137" s="605"/>
      <c r="F137" s="605"/>
      <c r="G137" s="357" t="s">
        <v>128</v>
      </c>
      <c r="H137" s="337" t="s">
        <v>129</v>
      </c>
      <c r="I137" s="605" t="s">
        <v>226</v>
      </c>
      <c r="J137" s="605"/>
      <c r="K137" s="138" t="s">
        <v>227</v>
      </c>
    </row>
    <row r="138" spans="2:23" x14ac:dyDescent="0.25">
      <c r="B138" s="615" t="s">
        <v>238</v>
      </c>
      <c r="C138" s="615"/>
      <c r="D138" s="615"/>
      <c r="E138" s="615"/>
      <c r="F138" s="615"/>
      <c r="G138" s="8">
        <v>1</v>
      </c>
      <c r="H138" s="8" t="s">
        <v>229</v>
      </c>
      <c r="I138" s="617">
        <f>I123</f>
        <v>271678</v>
      </c>
      <c r="J138" s="617"/>
      <c r="K138" s="30">
        <f>I138*G138</f>
        <v>271678</v>
      </c>
      <c r="T138" s="120"/>
      <c r="U138" s="120"/>
      <c r="V138" s="120"/>
      <c r="W138" s="120"/>
    </row>
    <row r="139" spans="2:23" x14ac:dyDescent="0.25">
      <c r="B139" s="615" t="s">
        <v>239</v>
      </c>
      <c r="C139" s="615"/>
      <c r="D139" s="615"/>
      <c r="E139" s="615"/>
      <c r="F139" s="615"/>
      <c r="G139" s="556">
        <v>13.75</v>
      </c>
      <c r="H139" s="8" t="s">
        <v>89</v>
      </c>
      <c r="I139" s="616"/>
      <c r="J139" s="616"/>
      <c r="K139" s="30"/>
    </row>
    <row r="140" spans="2:23" ht="18" x14ac:dyDescent="0.25">
      <c r="B140" s="615" t="s">
        <v>240</v>
      </c>
      <c r="C140" s="615"/>
      <c r="D140" s="615"/>
      <c r="E140" s="615"/>
      <c r="F140" s="615"/>
      <c r="G140" s="8"/>
      <c r="H140" s="8"/>
      <c r="I140" s="617">
        <f>IFERROR(IF(G125&lt;=G124,I123-(G126/(100*G124)*G125)*I123,I123-K126),0)</f>
        <v>54335.599999999977</v>
      </c>
      <c r="J140" s="617"/>
      <c r="K140" s="30"/>
      <c r="N140" s="549"/>
      <c r="O140" s="549"/>
      <c r="P140" s="549"/>
      <c r="Q140" s="549"/>
      <c r="R140" s="549"/>
      <c r="S140" s="120"/>
      <c r="T140" s="120"/>
      <c r="U140" s="120"/>
      <c r="V140" s="120"/>
      <c r="W140" s="120"/>
    </row>
    <row r="141" spans="2:23" x14ac:dyDescent="0.25">
      <c r="B141" s="615" t="s">
        <v>241</v>
      </c>
      <c r="C141" s="615"/>
      <c r="D141" s="615"/>
      <c r="E141" s="615"/>
      <c r="F141" s="615"/>
      <c r="G141" s="8"/>
      <c r="H141" s="8"/>
      <c r="I141" s="617">
        <f>IFERROR(IF(G125&gt;=G124,I140,((((I140)-(I123-K126))*(((G124-G125)+1)/(2*(G124-G125))))+(I123-K126))),0)</f>
        <v>54335.599999999977</v>
      </c>
      <c r="J141" s="617"/>
      <c r="K141" s="30"/>
      <c r="N141" s="549"/>
      <c r="O141" s="549"/>
      <c r="P141" s="549"/>
      <c r="Q141" s="549"/>
      <c r="R141" s="549"/>
      <c r="S141" s="120"/>
      <c r="T141" s="120"/>
      <c r="U141" s="120"/>
      <c r="V141" s="120"/>
      <c r="W141" s="120"/>
    </row>
    <row r="142" spans="2:23" x14ac:dyDescent="0.25">
      <c r="B142" s="618" t="s">
        <v>242</v>
      </c>
      <c r="C142" s="618"/>
      <c r="D142" s="618"/>
      <c r="E142" s="618"/>
      <c r="F142" s="618"/>
      <c r="G142" s="147"/>
      <c r="H142" s="147"/>
      <c r="I142" s="619">
        <f>G139*I141/12/100</f>
        <v>622.59541666666632</v>
      </c>
      <c r="J142" s="619"/>
      <c r="K142" s="148">
        <f>I142</f>
        <v>622.59541666666632</v>
      </c>
      <c r="N142" s="549"/>
      <c r="O142" s="549"/>
      <c r="P142" s="549"/>
      <c r="Q142" s="549"/>
      <c r="R142" s="549"/>
      <c r="S142" s="120"/>
      <c r="T142" s="120"/>
      <c r="U142" s="120"/>
      <c r="V142" s="120"/>
      <c r="W142" s="120"/>
    </row>
    <row r="143" spans="2:23" x14ac:dyDescent="0.25">
      <c r="B143" s="637" t="s">
        <v>824</v>
      </c>
      <c r="C143" s="637"/>
      <c r="D143" s="637"/>
      <c r="E143" s="637"/>
      <c r="F143" s="637"/>
      <c r="G143" s="125">
        <f>G138</f>
        <v>1</v>
      </c>
      <c r="H143" s="125" t="s">
        <v>229</v>
      </c>
      <c r="I143" s="621">
        <f>I128</f>
        <v>20000</v>
      </c>
      <c r="J143" s="621"/>
      <c r="K143" s="224">
        <f>I143*G143</f>
        <v>20000</v>
      </c>
      <c r="N143" s="549"/>
      <c r="O143" s="549"/>
      <c r="P143" s="549"/>
      <c r="Q143" s="549"/>
      <c r="R143" s="549"/>
      <c r="S143" s="120"/>
      <c r="T143" s="120"/>
      <c r="U143" s="120"/>
      <c r="V143" s="120"/>
      <c r="W143" s="120"/>
    </row>
    <row r="144" spans="2:23" x14ac:dyDescent="0.25">
      <c r="B144" s="615" t="s">
        <v>239</v>
      </c>
      <c r="C144" s="615"/>
      <c r="D144" s="615"/>
      <c r="E144" s="615"/>
      <c r="F144" s="615"/>
      <c r="G144" s="556">
        <v>13.75</v>
      </c>
      <c r="H144" s="8" t="s">
        <v>89</v>
      </c>
      <c r="I144" s="616"/>
      <c r="J144" s="616"/>
      <c r="K144" s="30"/>
      <c r="M144" s="547"/>
      <c r="N144" s="548"/>
      <c r="O144" s="548"/>
      <c r="P144" s="548"/>
      <c r="Q144" s="548"/>
      <c r="R144" s="548"/>
      <c r="S144" s="119"/>
      <c r="T144" s="119"/>
      <c r="U144" s="119"/>
      <c r="V144" s="119"/>
      <c r="W144" s="119"/>
    </row>
    <row r="145" spans="2:30" ht="15" customHeight="1" x14ac:dyDescent="0.25">
      <c r="B145" s="873" t="s">
        <v>825</v>
      </c>
      <c r="C145" s="873"/>
      <c r="D145" s="873"/>
      <c r="E145" s="873"/>
      <c r="F145" s="873"/>
      <c r="G145" s="8"/>
      <c r="H145" s="8"/>
      <c r="I145" s="617">
        <f>IFERROR(IF(G130&lt;=G129,I128-(G131/(100*G129)*G130)*I128,I128-K131),0)</f>
        <v>20000</v>
      </c>
      <c r="J145" s="617"/>
      <c r="K145" s="30"/>
      <c r="M145" s="547"/>
      <c r="N145" s="550"/>
      <c r="O145" s="550"/>
      <c r="P145" s="550"/>
      <c r="Q145" s="550"/>
      <c r="R145" s="548"/>
      <c r="S145" s="119"/>
      <c r="T145" s="119"/>
      <c r="U145" s="119"/>
      <c r="V145" s="119"/>
      <c r="W145" s="119"/>
    </row>
    <row r="146" spans="2:30" ht="33.75" customHeight="1" x14ac:dyDescent="0.25">
      <c r="B146" s="873" t="s">
        <v>826</v>
      </c>
      <c r="C146" s="873"/>
      <c r="D146" s="873"/>
      <c r="E146" s="873"/>
      <c r="F146" s="873"/>
      <c r="G146" s="8"/>
      <c r="H146" s="8"/>
      <c r="I146" s="617">
        <f>IFERROR(IF(G130&gt;=G129,I145,((((I145)-(I128-K131))*(((G129-G130)+1)/(2*(G129-G130))))+(I128-K131))),0)</f>
        <v>13600</v>
      </c>
      <c r="J146" s="617"/>
      <c r="K146" s="30"/>
      <c r="N146" s="549"/>
      <c r="O146" s="549"/>
      <c r="P146" s="549"/>
      <c r="Q146" s="549"/>
      <c r="R146" s="549"/>
      <c r="S146" s="120"/>
      <c r="T146" s="120"/>
      <c r="U146" s="120"/>
      <c r="V146" s="120"/>
      <c r="W146" s="120"/>
    </row>
    <row r="147" spans="2:30" ht="44.45" customHeight="1" x14ac:dyDescent="0.25">
      <c r="B147" s="869" t="s">
        <v>827</v>
      </c>
      <c r="C147" s="869"/>
      <c r="D147" s="869"/>
      <c r="E147" s="869"/>
      <c r="F147" s="869"/>
      <c r="G147" s="147"/>
      <c r="H147" s="147"/>
      <c r="I147" s="619">
        <f>G144*I146/12/100</f>
        <v>155.83333333333334</v>
      </c>
      <c r="J147" s="619"/>
      <c r="K147" s="148">
        <f>I147</f>
        <v>155.83333333333334</v>
      </c>
    </row>
    <row r="148" spans="2:30" x14ac:dyDescent="0.25">
      <c r="B148" s="635" t="s">
        <v>423</v>
      </c>
      <c r="C148" s="635"/>
      <c r="D148" s="635"/>
      <c r="E148" s="635"/>
      <c r="F148" s="635"/>
      <c r="G148" s="180"/>
      <c r="H148" s="180"/>
      <c r="I148" s="636"/>
      <c r="J148" s="636"/>
      <c r="K148" s="227">
        <f>SUM(K142+K147)</f>
        <v>778.4287499999997</v>
      </c>
      <c r="N148" s="549"/>
      <c r="O148" s="549"/>
      <c r="P148" s="549"/>
      <c r="Q148" s="549"/>
      <c r="R148" s="549"/>
      <c r="S148" s="120"/>
      <c r="T148" s="120"/>
      <c r="U148" s="120"/>
      <c r="V148" s="120"/>
      <c r="W148" s="120"/>
    </row>
    <row r="149" spans="2:30" x14ac:dyDescent="0.25">
      <c r="B149" s="612" t="s">
        <v>243</v>
      </c>
      <c r="C149" s="612"/>
      <c r="D149" s="612"/>
      <c r="E149" s="612"/>
      <c r="F149" s="612"/>
      <c r="G149" s="45">
        <v>1</v>
      </c>
      <c r="H149" s="45" t="s">
        <v>229</v>
      </c>
      <c r="I149" s="613">
        <f>K148</f>
        <v>778.4287499999997</v>
      </c>
      <c r="J149" s="613"/>
      <c r="K149" s="159">
        <f>I149*G149</f>
        <v>778.4287499999997</v>
      </c>
    </row>
    <row r="150" spans="2:30" ht="15" customHeight="1" x14ac:dyDescent="0.25">
      <c r="B150" s="870" t="s">
        <v>244</v>
      </c>
      <c r="C150" s="870"/>
      <c r="D150" s="870"/>
      <c r="E150" s="870"/>
      <c r="F150" s="870"/>
      <c r="G150" s="870"/>
      <c r="H150" s="870"/>
      <c r="I150" s="870"/>
      <c r="J150" s="870"/>
      <c r="K150" s="870"/>
      <c r="N150" s="549"/>
      <c r="O150" s="549"/>
      <c r="P150" s="549"/>
      <c r="Q150" s="549"/>
      <c r="R150" s="549"/>
      <c r="S150" s="120"/>
      <c r="T150" s="120"/>
      <c r="U150" s="120"/>
      <c r="V150" s="120"/>
      <c r="W150" s="120"/>
    </row>
    <row r="151" spans="2:30" x14ac:dyDescent="0.25">
      <c r="B151" s="870"/>
      <c r="C151" s="870"/>
      <c r="D151" s="870"/>
      <c r="E151" s="870"/>
      <c r="F151" s="870"/>
      <c r="G151" s="870"/>
      <c r="H151" s="870"/>
      <c r="I151" s="870"/>
      <c r="J151" s="870"/>
      <c r="K151" s="870"/>
    </row>
    <row r="152" spans="2:30" x14ac:dyDescent="0.25">
      <c r="B152" s="870"/>
      <c r="C152" s="870"/>
      <c r="D152" s="870"/>
      <c r="E152" s="870"/>
      <c r="F152" s="870"/>
      <c r="G152" s="870"/>
      <c r="H152" s="870"/>
      <c r="I152" s="870"/>
      <c r="J152" s="870"/>
      <c r="K152" s="870"/>
      <c r="N152" s="549"/>
      <c r="O152" s="549"/>
      <c r="P152" s="549"/>
      <c r="Q152" s="549"/>
      <c r="S152" s="120"/>
    </row>
    <row r="153" spans="2:30" x14ac:dyDescent="0.25">
      <c r="N153" s="549"/>
      <c r="O153" s="549"/>
      <c r="P153" s="549"/>
      <c r="Q153" s="549"/>
      <c r="R153" s="549"/>
      <c r="S153" s="120"/>
      <c r="T153" s="120"/>
      <c r="U153" s="120"/>
      <c r="V153" s="120"/>
      <c r="W153" s="120"/>
    </row>
    <row r="154" spans="2:30" x14ac:dyDescent="0.25">
      <c r="B154" s="609" t="s">
        <v>828</v>
      </c>
      <c r="C154" s="609"/>
      <c r="D154" s="609"/>
      <c r="E154" s="609"/>
      <c r="F154" s="609"/>
      <c r="G154" s="609"/>
      <c r="H154" s="609"/>
      <c r="I154" s="609"/>
      <c r="J154" s="609"/>
      <c r="K154" s="609"/>
      <c r="M154" s="858"/>
      <c r="N154" s="548"/>
      <c r="O154" s="548"/>
      <c r="P154" s="548"/>
      <c r="Q154" s="548"/>
      <c r="R154" s="548"/>
      <c r="S154" s="119"/>
      <c r="T154" s="119"/>
      <c r="U154" s="119"/>
      <c r="V154" s="119"/>
      <c r="W154" s="119"/>
    </row>
    <row r="155" spans="2:30" x14ac:dyDescent="0.25">
      <c r="B155" s="605" t="s">
        <v>174</v>
      </c>
      <c r="C155" s="605"/>
      <c r="D155" s="605"/>
      <c r="E155" s="605"/>
      <c r="F155" s="605"/>
      <c r="G155" s="357" t="s">
        <v>128</v>
      </c>
      <c r="H155" s="138" t="s">
        <v>129</v>
      </c>
      <c r="I155" s="605" t="s">
        <v>226</v>
      </c>
      <c r="J155" s="605"/>
      <c r="K155" s="138" t="s">
        <v>209</v>
      </c>
      <c r="M155" s="858"/>
      <c r="N155" s="548"/>
      <c r="O155" s="548"/>
      <c r="P155" s="548"/>
      <c r="Q155" s="548"/>
      <c r="R155" s="548"/>
      <c r="S155" s="119"/>
      <c r="T155" s="119"/>
      <c r="U155" s="119"/>
      <c r="V155" s="119"/>
      <c r="W155" s="119"/>
    </row>
    <row r="156" spans="2:30" ht="15" customHeight="1" x14ac:dyDescent="0.25">
      <c r="B156" s="871" t="s">
        <v>426</v>
      </c>
      <c r="C156" s="871"/>
      <c r="D156" s="871"/>
      <c r="E156" s="871"/>
      <c r="F156" s="871"/>
      <c r="G156" s="103">
        <v>1</v>
      </c>
      <c r="H156" s="103" t="s">
        <v>281</v>
      </c>
      <c r="I156" s="617">
        <f>I123*0.01</f>
        <v>2716.78</v>
      </c>
      <c r="J156" s="617"/>
      <c r="K156" s="30">
        <f>(I156*G156)/12</f>
        <v>226.39833333333334</v>
      </c>
      <c r="M156" s="858"/>
      <c r="N156" s="549"/>
      <c r="O156" s="549"/>
      <c r="P156" s="549"/>
      <c r="Q156" s="549"/>
      <c r="R156" s="549"/>
      <c r="S156" s="120"/>
      <c r="T156" s="120"/>
      <c r="U156" s="120"/>
      <c r="V156" s="120"/>
      <c r="W156" s="120"/>
    </row>
    <row r="157" spans="2:30" ht="15" customHeight="1" x14ac:dyDescent="0.25">
      <c r="B157" s="670" t="s">
        <v>427</v>
      </c>
      <c r="C157" s="670"/>
      <c r="D157" s="670"/>
      <c r="E157" s="670"/>
      <c r="F157" s="670"/>
      <c r="G157" s="103">
        <v>1</v>
      </c>
      <c r="H157" s="103" t="s">
        <v>281</v>
      </c>
      <c r="I157" s="743">
        <v>109.27</v>
      </c>
      <c r="J157" s="743"/>
      <c r="K157" s="358">
        <f>I157/12</f>
        <v>9.105833333333333</v>
      </c>
      <c r="M157" s="858"/>
    </row>
    <row r="158" spans="2:30" ht="15" customHeight="1" x14ac:dyDescent="0.25">
      <c r="B158" s="670" t="s">
        <v>829</v>
      </c>
      <c r="C158" s="670"/>
      <c r="D158" s="670"/>
      <c r="E158" s="670"/>
      <c r="F158" s="670"/>
      <c r="G158" s="103">
        <v>1</v>
      </c>
      <c r="H158" s="103" t="s">
        <v>281</v>
      </c>
      <c r="I158" s="743">
        <v>0</v>
      </c>
      <c r="J158" s="743"/>
      <c r="K158" s="358">
        <f>I158/60</f>
        <v>0</v>
      </c>
      <c r="M158" s="858"/>
      <c r="N158" s="549"/>
      <c r="O158" s="549"/>
      <c r="P158" s="549"/>
      <c r="Q158" s="549"/>
      <c r="R158" s="549"/>
      <c r="S158" s="120"/>
      <c r="T158" s="120"/>
      <c r="U158" s="120"/>
      <c r="V158" s="120"/>
      <c r="W158" s="120"/>
      <c r="AD158" s="14"/>
    </row>
    <row r="159" spans="2:30" ht="15" customHeight="1" x14ac:dyDescent="0.25">
      <c r="B159" s="670" t="s">
        <v>428</v>
      </c>
      <c r="C159" s="670"/>
      <c r="D159" s="670"/>
      <c r="E159" s="670"/>
      <c r="F159" s="670"/>
      <c r="G159" s="103">
        <v>1</v>
      </c>
      <c r="H159" s="103" t="s">
        <v>281</v>
      </c>
      <c r="I159" s="743">
        <f>'10 - CUSTOS UN'!J255</f>
        <v>2750.0266666666666</v>
      </c>
      <c r="J159" s="743"/>
      <c r="K159" s="118">
        <f>I159/12</f>
        <v>229.16888888888889</v>
      </c>
      <c r="M159" s="858"/>
      <c r="AD159" s="14"/>
    </row>
    <row r="160" spans="2:30" ht="15" customHeight="1" x14ac:dyDescent="0.25">
      <c r="B160" s="872" t="s">
        <v>429</v>
      </c>
      <c r="C160" s="872"/>
      <c r="D160" s="872"/>
      <c r="E160" s="872"/>
      <c r="F160" s="872"/>
      <c r="G160" s="359">
        <v>1</v>
      </c>
      <c r="H160" s="359" t="s">
        <v>281</v>
      </c>
      <c r="I160" s="744">
        <f>'10 - CUSTOS UN'!J233</f>
        <v>57.093333333333334</v>
      </c>
      <c r="J160" s="744"/>
      <c r="K160" s="123">
        <v>52.94</v>
      </c>
      <c r="M160" s="858"/>
      <c r="N160" s="549"/>
      <c r="O160" s="549"/>
      <c r="P160" s="549"/>
      <c r="Q160" s="549"/>
      <c r="R160" s="549"/>
      <c r="S160" s="120"/>
      <c r="T160" s="120"/>
      <c r="U160" s="120"/>
      <c r="V160" s="120"/>
      <c r="W160" s="120"/>
      <c r="AD160" s="14"/>
    </row>
    <row r="161" spans="2:30" x14ac:dyDescent="0.25">
      <c r="B161" s="624" t="s">
        <v>249</v>
      </c>
      <c r="C161" s="624"/>
      <c r="D161" s="624"/>
      <c r="E161" s="624"/>
      <c r="F161" s="624"/>
      <c r="G161" s="161">
        <v>1</v>
      </c>
      <c r="H161" s="161" t="s">
        <v>129</v>
      </c>
      <c r="I161" s="625">
        <f>SUM(K156:K160)/G161</f>
        <v>517.61305555555555</v>
      </c>
      <c r="J161" s="625"/>
      <c r="K161" s="150">
        <f>I161*G161</f>
        <v>517.61305555555555</v>
      </c>
      <c r="M161" s="858"/>
      <c r="AD161" s="14"/>
    </row>
    <row r="162" spans="2:30" x14ac:dyDescent="0.25"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N162" s="549"/>
      <c r="O162" s="549"/>
      <c r="P162" s="549"/>
      <c r="Q162" s="549"/>
      <c r="R162" s="549"/>
      <c r="S162" s="120"/>
      <c r="T162" s="120"/>
      <c r="U162" s="120"/>
      <c r="V162" s="120"/>
      <c r="W162" s="120"/>
      <c r="AD162" s="14"/>
    </row>
    <row r="163" spans="2:30" x14ac:dyDescent="0.25">
      <c r="B163" s="609" t="s">
        <v>830</v>
      </c>
      <c r="C163" s="609"/>
      <c r="D163" s="609"/>
      <c r="E163" s="609"/>
      <c r="F163" s="609"/>
      <c r="G163" s="609"/>
      <c r="H163" s="609"/>
      <c r="I163" s="609"/>
      <c r="J163" s="609"/>
      <c r="K163" s="609"/>
      <c r="R163" s="549"/>
      <c r="T163" s="120"/>
      <c r="U163" s="120"/>
      <c r="V163" s="120"/>
      <c r="W163" s="120"/>
      <c r="AD163" s="14"/>
    </row>
    <row r="164" spans="2:30" x14ac:dyDescent="0.25">
      <c r="B164" s="605" t="s">
        <v>174</v>
      </c>
      <c r="C164" s="605"/>
      <c r="D164" s="605"/>
      <c r="E164" s="605"/>
      <c r="F164" s="605"/>
      <c r="G164" s="223" t="s">
        <v>128</v>
      </c>
      <c r="H164" s="138" t="s">
        <v>129</v>
      </c>
      <c r="I164" s="605" t="s">
        <v>226</v>
      </c>
      <c r="J164" s="605"/>
      <c r="K164" s="138" t="s">
        <v>209</v>
      </c>
      <c r="N164" s="549"/>
      <c r="O164" s="549"/>
      <c r="P164" s="549"/>
      <c r="Q164" s="549"/>
      <c r="R164" s="549"/>
      <c r="S164" s="120"/>
      <c r="T164" s="120"/>
      <c r="U164" s="120"/>
      <c r="V164" s="120"/>
      <c r="W164" s="120"/>
    </row>
    <row r="165" spans="2:30" ht="15" customHeight="1" x14ac:dyDescent="0.25">
      <c r="B165" s="620" t="s">
        <v>252</v>
      </c>
      <c r="C165" s="620"/>
      <c r="D165" s="620"/>
      <c r="E165" s="620"/>
      <c r="F165" s="620"/>
      <c r="G165" s="557">
        <v>900</v>
      </c>
      <c r="H165" s="8" t="s">
        <v>253</v>
      </c>
      <c r="I165" s="617"/>
      <c r="J165" s="617"/>
      <c r="K165" s="30"/>
    </row>
    <row r="166" spans="2:30" x14ac:dyDescent="0.25">
      <c r="B166" s="622" t="s">
        <v>431</v>
      </c>
      <c r="C166" s="622"/>
      <c r="D166" s="622"/>
      <c r="E166" s="622"/>
      <c r="F166" s="622"/>
      <c r="G166" s="225">
        <v>3.5</v>
      </c>
      <c r="H166" s="8" t="s">
        <v>432</v>
      </c>
      <c r="I166" s="631"/>
      <c r="J166" s="631"/>
      <c r="K166" s="127"/>
      <c r="M166" s="547"/>
      <c r="N166" s="548"/>
      <c r="O166" s="548"/>
      <c r="P166" s="548"/>
      <c r="Q166" s="548"/>
      <c r="R166" s="548"/>
      <c r="S166" s="119"/>
      <c r="T166" s="119"/>
      <c r="U166" s="119"/>
      <c r="V166" s="119"/>
      <c r="W166" s="119"/>
    </row>
    <row r="167" spans="2:30" ht="17.25" x14ac:dyDescent="0.25">
      <c r="B167" s="622" t="s">
        <v>615</v>
      </c>
      <c r="C167" s="622"/>
      <c r="D167" s="622"/>
      <c r="E167" s="622"/>
      <c r="F167" s="622"/>
      <c r="G167" s="8">
        <v>1</v>
      </c>
      <c r="H167" s="8" t="s">
        <v>258</v>
      </c>
      <c r="I167" s="633">
        <v>7.24</v>
      </c>
      <c r="J167" s="633"/>
      <c r="K167" s="30"/>
      <c r="M167" s="547"/>
      <c r="N167" s="548"/>
      <c r="O167" s="548"/>
      <c r="P167" s="548"/>
      <c r="Q167" s="548"/>
      <c r="R167" s="548"/>
      <c r="S167" s="119"/>
      <c r="T167" s="119"/>
      <c r="U167" s="119"/>
      <c r="V167" s="119"/>
      <c r="W167" s="119"/>
    </row>
    <row r="168" spans="2:30" x14ac:dyDescent="0.25">
      <c r="B168" s="627" t="s">
        <v>434</v>
      </c>
      <c r="C168" s="627"/>
      <c r="D168" s="627"/>
      <c r="E168" s="627"/>
      <c r="F168" s="627"/>
      <c r="G168" s="228">
        <f>G165/G166</f>
        <v>257.14285714285717</v>
      </c>
      <c r="H168" s="226" t="s">
        <v>435</v>
      </c>
      <c r="I168" s="619">
        <f>I167</f>
        <v>7.24</v>
      </c>
      <c r="J168" s="619"/>
      <c r="K168" s="148">
        <f>I168*G168</f>
        <v>1861.714285714286</v>
      </c>
      <c r="T168" s="237"/>
      <c r="U168" s="237"/>
    </row>
    <row r="169" spans="2:30" x14ac:dyDescent="0.25">
      <c r="B169" s="624" t="s">
        <v>436</v>
      </c>
      <c r="C169" s="624"/>
      <c r="D169" s="624"/>
      <c r="E169" s="624"/>
      <c r="F169" s="624"/>
      <c r="G169" s="161">
        <v>1</v>
      </c>
      <c r="H169" s="161" t="s">
        <v>129</v>
      </c>
      <c r="I169" s="625">
        <f>K168</f>
        <v>1861.714285714286</v>
      </c>
      <c r="J169" s="625"/>
      <c r="K169" s="150">
        <f>I169*G169</f>
        <v>1861.714285714286</v>
      </c>
      <c r="N169" s="549"/>
      <c r="O169" s="549"/>
      <c r="P169" s="549"/>
      <c r="Q169" s="549"/>
      <c r="R169" s="549"/>
      <c r="S169" s="120"/>
      <c r="T169" s="120"/>
      <c r="U169" s="120"/>
      <c r="V169" s="120"/>
      <c r="W169" s="120"/>
    </row>
    <row r="170" spans="2:30" ht="15" customHeight="1" x14ac:dyDescent="0.25">
      <c r="B170" s="764" t="s">
        <v>437</v>
      </c>
      <c r="C170" s="764"/>
      <c r="D170" s="764"/>
      <c r="E170" s="764"/>
      <c r="F170" s="764"/>
      <c r="G170" s="764"/>
      <c r="H170" s="764"/>
      <c r="I170" s="764"/>
      <c r="J170" s="764"/>
      <c r="K170" s="764"/>
    </row>
    <row r="171" spans="2:30" x14ac:dyDescent="0.25">
      <c r="B171" s="120"/>
      <c r="C171" s="120"/>
      <c r="D171" s="120"/>
      <c r="E171" s="120"/>
      <c r="F171" s="120"/>
      <c r="G171" s="120"/>
      <c r="H171" s="120"/>
      <c r="I171" s="120"/>
      <c r="J171" s="120"/>
      <c r="K171" s="120"/>
    </row>
    <row r="172" spans="2:30" x14ac:dyDescent="0.25">
      <c r="B172" s="609" t="s">
        <v>831</v>
      </c>
      <c r="C172" s="609"/>
      <c r="D172" s="609"/>
      <c r="E172" s="609"/>
      <c r="F172" s="609"/>
      <c r="G172" s="609"/>
      <c r="H172" s="609"/>
      <c r="I172" s="609"/>
      <c r="J172" s="609"/>
      <c r="K172" s="609"/>
      <c r="N172" s="549"/>
      <c r="O172" s="549"/>
      <c r="P172" s="549"/>
      <c r="Q172" s="549"/>
      <c r="R172" s="549"/>
      <c r="S172" s="120"/>
      <c r="T172" s="120"/>
      <c r="U172" s="120"/>
      <c r="V172" s="120"/>
      <c r="W172" s="120"/>
    </row>
    <row r="173" spans="2:30" x14ac:dyDescent="0.25">
      <c r="B173" s="605" t="s">
        <v>174</v>
      </c>
      <c r="C173" s="605"/>
      <c r="D173" s="605"/>
      <c r="E173" s="605"/>
      <c r="F173" s="605"/>
      <c r="G173" s="223" t="s">
        <v>128</v>
      </c>
      <c r="H173" s="138" t="s">
        <v>129</v>
      </c>
      <c r="I173" s="605" t="s">
        <v>226</v>
      </c>
      <c r="J173" s="605"/>
      <c r="K173" s="138" t="s">
        <v>227</v>
      </c>
      <c r="N173" s="549"/>
      <c r="O173" s="549"/>
      <c r="P173" s="549"/>
      <c r="Q173" s="549"/>
      <c r="R173" s="549"/>
      <c r="S173" s="120"/>
      <c r="T173" s="120"/>
      <c r="U173" s="120"/>
      <c r="V173" s="120"/>
      <c r="W173" s="120"/>
    </row>
    <row r="174" spans="2:30" x14ac:dyDescent="0.25">
      <c r="B174" s="620" t="s">
        <v>439</v>
      </c>
      <c r="C174" s="620"/>
      <c r="D174" s="620"/>
      <c r="E174" s="620"/>
      <c r="F174" s="620"/>
      <c r="G174" s="558">
        <v>2</v>
      </c>
      <c r="H174" s="8" t="s">
        <v>440</v>
      </c>
      <c r="I174" s="617">
        <f>'10 - CUSTOS UN'!J216</f>
        <v>20.973333333333333</v>
      </c>
      <c r="J174" s="617"/>
      <c r="K174" s="30">
        <f>I174*G174</f>
        <v>41.946666666666665</v>
      </c>
      <c r="L174" s="551"/>
      <c r="M174" s="552"/>
      <c r="N174" s="553"/>
      <c r="O174" s="554"/>
      <c r="P174" s="549"/>
      <c r="Q174" s="549"/>
      <c r="R174" s="549"/>
      <c r="S174" s="120"/>
      <c r="T174" s="120"/>
      <c r="U174" s="120"/>
      <c r="V174" s="120"/>
      <c r="W174" s="120"/>
    </row>
    <row r="175" spans="2:30" x14ac:dyDescent="0.25">
      <c r="B175" s="630" t="s">
        <v>441</v>
      </c>
      <c r="C175" s="630"/>
      <c r="D175" s="630"/>
      <c r="E175" s="630"/>
      <c r="F175" s="630"/>
      <c r="G175" s="10">
        <f>G165</f>
        <v>900</v>
      </c>
      <c r="H175" s="25" t="s">
        <v>253</v>
      </c>
      <c r="I175" s="631">
        <f>K174/1000</f>
        <v>4.1946666666666667E-2</v>
      </c>
      <c r="J175" s="631"/>
      <c r="K175" s="127">
        <f>I175*G175</f>
        <v>37.752000000000002</v>
      </c>
      <c r="N175" s="549"/>
      <c r="O175" s="549"/>
      <c r="P175" s="549"/>
      <c r="Q175" s="549"/>
      <c r="R175" s="549"/>
      <c r="S175" s="120"/>
      <c r="T175" s="120"/>
      <c r="U175" s="120"/>
      <c r="V175" s="120"/>
      <c r="W175" s="120"/>
    </row>
    <row r="176" spans="2:30" x14ac:dyDescent="0.25">
      <c r="B176" s="622" t="s">
        <v>442</v>
      </c>
      <c r="C176" s="622"/>
      <c r="D176" s="622"/>
      <c r="E176" s="622"/>
      <c r="F176" s="622"/>
      <c r="G176" s="125">
        <v>0.5</v>
      </c>
      <c r="H176" s="8" t="s">
        <v>440</v>
      </c>
      <c r="I176" s="617">
        <f>'10 - CUSTOS UN'!J219</f>
        <v>34.336666666666666</v>
      </c>
      <c r="J176" s="617"/>
      <c r="K176" s="30">
        <f>G176*I176</f>
        <v>17.168333333333333</v>
      </c>
      <c r="N176" s="549"/>
      <c r="O176" s="549"/>
      <c r="P176" s="549"/>
      <c r="Q176" s="549"/>
      <c r="R176" s="549"/>
      <c r="S176" s="120"/>
      <c r="T176" s="120"/>
      <c r="U176" s="120"/>
      <c r="V176" s="120"/>
      <c r="W176" s="120"/>
    </row>
    <row r="177" spans="2:23" x14ac:dyDescent="0.25">
      <c r="B177" s="630" t="s">
        <v>443</v>
      </c>
      <c r="C177" s="630"/>
      <c r="D177" s="630"/>
      <c r="E177" s="630"/>
      <c r="F177" s="630"/>
      <c r="G177" s="10">
        <f>G165</f>
        <v>900</v>
      </c>
      <c r="H177" s="25" t="s">
        <v>253</v>
      </c>
      <c r="I177" s="631">
        <f>K176/1000</f>
        <v>1.7168333333333334E-2</v>
      </c>
      <c r="J177" s="631"/>
      <c r="K177" s="127">
        <f>I177*G177</f>
        <v>15.451500000000001</v>
      </c>
      <c r="N177" s="549"/>
      <c r="O177" s="549"/>
      <c r="P177" s="549"/>
      <c r="Q177" s="549"/>
      <c r="R177" s="549"/>
      <c r="S177" s="120"/>
      <c r="T177" s="120"/>
      <c r="U177" s="120"/>
      <c r="V177" s="120"/>
      <c r="W177" s="120"/>
    </row>
    <row r="178" spans="2:23" x14ac:dyDescent="0.25">
      <c r="B178" s="622" t="s">
        <v>446</v>
      </c>
      <c r="C178" s="622"/>
      <c r="D178" s="622"/>
      <c r="E178" s="622"/>
      <c r="F178" s="622"/>
      <c r="G178" s="8">
        <v>2</v>
      </c>
      <c r="H178" s="8" t="s">
        <v>447</v>
      </c>
      <c r="I178" s="617">
        <f>'10 - CUSTOS UN'!J228</f>
        <v>43.276666666666664</v>
      </c>
      <c r="J178" s="617"/>
      <c r="K178" s="30">
        <f>I178*G178</f>
        <v>86.553333333333327</v>
      </c>
      <c r="N178" s="549"/>
      <c r="O178" s="549"/>
      <c r="P178" s="549"/>
      <c r="Q178" s="549"/>
      <c r="R178" s="549"/>
      <c r="S178" s="120"/>
      <c r="T178" s="120"/>
      <c r="U178" s="120"/>
      <c r="V178" s="120"/>
      <c r="W178" s="120"/>
    </row>
    <row r="179" spans="2:23" x14ac:dyDescent="0.25">
      <c r="B179" s="627" t="s">
        <v>448</v>
      </c>
      <c r="C179" s="627"/>
      <c r="D179" s="627"/>
      <c r="E179" s="627"/>
      <c r="F179" s="627"/>
      <c r="G179" s="360">
        <f>G165</f>
        <v>900</v>
      </c>
      <c r="H179" s="226" t="s">
        <v>253</v>
      </c>
      <c r="I179" s="619">
        <f>K178/1000</f>
        <v>8.6553333333333329E-2</v>
      </c>
      <c r="J179" s="619"/>
      <c r="K179" s="148">
        <f>I179*G179</f>
        <v>77.897999999999996</v>
      </c>
      <c r="R179" s="549"/>
      <c r="T179" s="120"/>
      <c r="U179" s="120"/>
      <c r="V179" s="120"/>
      <c r="W179" s="120"/>
    </row>
    <row r="180" spans="2:23" x14ac:dyDescent="0.25">
      <c r="B180" s="624" t="s">
        <v>449</v>
      </c>
      <c r="C180" s="624"/>
      <c r="D180" s="624"/>
      <c r="E180" s="624"/>
      <c r="F180" s="624"/>
      <c r="G180" s="231">
        <v>1</v>
      </c>
      <c r="H180" s="161" t="s">
        <v>129</v>
      </c>
      <c r="I180" s="625">
        <f>SUM(K175,K177,K179)</f>
        <v>131.10149999999999</v>
      </c>
      <c r="J180" s="625"/>
      <c r="K180" s="150">
        <f>I180*G180</f>
        <v>131.10149999999999</v>
      </c>
      <c r="N180" s="549"/>
      <c r="O180" s="549"/>
      <c r="P180" s="549"/>
      <c r="Q180" s="549"/>
      <c r="S180" s="120"/>
    </row>
    <row r="181" spans="2:23" x14ac:dyDescent="0.25">
      <c r="B181" s="120"/>
      <c r="C181" s="120"/>
      <c r="D181" s="120"/>
      <c r="E181" s="120"/>
      <c r="F181" s="120"/>
      <c r="G181" s="120"/>
      <c r="H181" s="120"/>
      <c r="I181" s="120"/>
      <c r="J181" s="120"/>
      <c r="K181" s="120"/>
      <c r="N181" s="549"/>
      <c r="O181" s="549"/>
      <c r="P181" s="549"/>
      <c r="Q181" s="549"/>
      <c r="R181" s="549"/>
      <c r="S181" s="120"/>
      <c r="T181" s="120"/>
      <c r="U181" s="120"/>
      <c r="V181" s="120"/>
      <c r="W181" s="120"/>
    </row>
    <row r="182" spans="2:23" x14ac:dyDescent="0.25">
      <c r="B182" s="609" t="s">
        <v>832</v>
      </c>
      <c r="C182" s="609"/>
      <c r="D182" s="609"/>
      <c r="E182" s="609"/>
      <c r="F182" s="609"/>
      <c r="G182" s="609"/>
      <c r="H182" s="609"/>
      <c r="I182" s="609"/>
      <c r="J182" s="609"/>
      <c r="K182" s="609"/>
    </row>
    <row r="183" spans="2:23" ht="15" customHeight="1" x14ac:dyDescent="0.25">
      <c r="B183" s="605" t="s">
        <v>174</v>
      </c>
      <c r="C183" s="605"/>
      <c r="D183" s="605"/>
      <c r="E183" s="605"/>
      <c r="F183" s="605"/>
      <c r="G183" s="223" t="s">
        <v>128</v>
      </c>
      <c r="H183" s="138" t="s">
        <v>129</v>
      </c>
      <c r="I183" s="605" t="s">
        <v>226</v>
      </c>
      <c r="J183" s="605"/>
      <c r="K183" s="138" t="s">
        <v>227</v>
      </c>
    </row>
    <row r="184" spans="2:23" x14ac:dyDescent="0.25">
      <c r="B184" s="620" t="s">
        <v>833</v>
      </c>
      <c r="C184" s="620"/>
      <c r="D184" s="620"/>
      <c r="E184" s="620"/>
      <c r="F184" s="620"/>
      <c r="G184" s="8">
        <v>6</v>
      </c>
      <c r="H184" s="8" t="s">
        <v>229</v>
      </c>
      <c r="I184" s="868">
        <f>'10 - CUSTOS UN'!J201</f>
        <v>720.73666666666668</v>
      </c>
      <c r="J184" s="868"/>
      <c r="K184" s="47">
        <f>I184*G184</f>
        <v>4324.42</v>
      </c>
    </row>
    <row r="185" spans="2:23" x14ac:dyDescent="0.25">
      <c r="B185" s="622" t="s">
        <v>452</v>
      </c>
      <c r="C185" s="622"/>
      <c r="D185" s="622"/>
      <c r="E185" s="622"/>
      <c r="F185" s="622"/>
      <c r="G185" s="8">
        <v>3</v>
      </c>
      <c r="H185" s="8" t="s">
        <v>229</v>
      </c>
      <c r="I185" s="616"/>
      <c r="J185" s="616"/>
      <c r="K185" s="158"/>
    </row>
    <row r="186" spans="2:23" x14ac:dyDescent="0.25">
      <c r="B186" s="622" t="s">
        <v>453</v>
      </c>
      <c r="C186" s="622"/>
      <c r="D186" s="622"/>
      <c r="E186" s="622"/>
      <c r="F186" s="622"/>
      <c r="G186" s="8">
        <f>G185*G184</f>
        <v>18</v>
      </c>
      <c r="H186" s="8" t="s">
        <v>229</v>
      </c>
      <c r="I186" s="634">
        <f>'10 - CUSTOS UN'!J265</f>
        <v>427.38333333333338</v>
      </c>
      <c r="J186" s="634"/>
      <c r="K186" s="30">
        <f>I186*G186</f>
        <v>7692.9000000000005</v>
      </c>
    </row>
    <row r="187" spans="2:23" x14ac:dyDescent="0.25">
      <c r="B187" s="622" t="s">
        <v>272</v>
      </c>
      <c r="C187" s="622"/>
      <c r="D187" s="622"/>
      <c r="E187" s="622"/>
      <c r="F187" s="622"/>
      <c r="G187" s="10">
        <v>30000</v>
      </c>
      <c r="H187" s="8" t="s">
        <v>260</v>
      </c>
      <c r="I187" s="616"/>
      <c r="J187" s="616"/>
      <c r="K187" s="158"/>
    </row>
    <row r="188" spans="2:23" x14ac:dyDescent="0.25">
      <c r="B188" s="622" t="s">
        <v>454</v>
      </c>
      <c r="C188" s="622"/>
      <c r="D188" s="622"/>
      <c r="E188" s="622"/>
      <c r="F188" s="622"/>
      <c r="G188" s="10">
        <f>15/20*G187</f>
        <v>22500</v>
      </c>
      <c r="H188" s="8" t="s">
        <v>260</v>
      </c>
      <c r="I188" s="616"/>
      <c r="J188" s="616"/>
      <c r="K188" s="158"/>
    </row>
    <row r="189" spans="2:23" x14ac:dyDescent="0.25">
      <c r="B189" s="622" t="s">
        <v>455</v>
      </c>
      <c r="C189" s="622"/>
      <c r="D189" s="622"/>
      <c r="E189" s="622"/>
      <c r="F189" s="622"/>
      <c r="G189" s="10">
        <f>G187+G188*G185</f>
        <v>97500</v>
      </c>
      <c r="H189" s="8" t="s">
        <v>274</v>
      </c>
      <c r="I189" s="617">
        <f>K186+K184</f>
        <v>12017.32</v>
      </c>
      <c r="J189" s="617"/>
      <c r="K189" s="30">
        <f>I189/G189</f>
        <v>0.12325456410256409</v>
      </c>
    </row>
    <row r="190" spans="2:23" x14ac:dyDescent="0.25">
      <c r="B190" s="627" t="s">
        <v>275</v>
      </c>
      <c r="C190" s="627"/>
      <c r="D190" s="627"/>
      <c r="E190" s="627"/>
      <c r="F190" s="627"/>
      <c r="G190" s="228">
        <f>G165</f>
        <v>900</v>
      </c>
      <c r="H190" s="226" t="s">
        <v>260</v>
      </c>
      <c r="I190" s="619">
        <f>K189</f>
        <v>0.12325456410256409</v>
      </c>
      <c r="J190" s="619"/>
      <c r="K190" s="148">
        <f>I190*G190</f>
        <v>110.92910769230768</v>
      </c>
    </row>
    <row r="191" spans="2:23" x14ac:dyDescent="0.25">
      <c r="B191" s="624" t="s">
        <v>276</v>
      </c>
      <c r="C191" s="624"/>
      <c r="D191" s="624"/>
      <c r="E191" s="624"/>
      <c r="F191" s="624"/>
      <c r="G191" s="161">
        <v>1</v>
      </c>
      <c r="H191" s="161" t="s">
        <v>129</v>
      </c>
      <c r="I191" s="625">
        <f>K190</f>
        <v>110.92910769230768</v>
      </c>
      <c r="J191" s="625"/>
      <c r="K191" s="150">
        <f>I191*G191</f>
        <v>110.92910769230768</v>
      </c>
    </row>
    <row r="192" spans="2:23" x14ac:dyDescent="0.25"/>
    <row r="193" spans="2:11" x14ac:dyDescent="0.25">
      <c r="B193" s="609" t="s">
        <v>834</v>
      </c>
      <c r="C193" s="609"/>
      <c r="D193" s="609"/>
      <c r="E193" s="609"/>
      <c r="F193" s="609"/>
      <c r="G193" s="609"/>
      <c r="H193" s="609"/>
      <c r="I193" s="609"/>
      <c r="J193" s="609"/>
      <c r="K193" s="609"/>
    </row>
    <row r="194" spans="2:11" x14ac:dyDescent="0.25">
      <c r="B194" s="605" t="s">
        <v>174</v>
      </c>
      <c r="C194" s="605"/>
      <c r="D194" s="605"/>
      <c r="E194" s="605"/>
      <c r="F194" s="605"/>
      <c r="G194" s="223" t="s">
        <v>128</v>
      </c>
      <c r="H194" s="138" t="s">
        <v>129</v>
      </c>
      <c r="I194" s="605" t="s">
        <v>226</v>
      </c>
      <c r="J194" s="605"/>
      <c r="K194" s="138" t="s">
        <v>227</v>
      </c>
    </row>
    <row r="195" spans="2:11" x14ac:dyDescent="0.25">
      <c r="B195" s="610" t="s">
        <v>835</v>
      </c>
      <c r="C195" s="610"/>
      <c r="D195" s="610"/>
      <c r="E195" s="610"/>
      <c r="F195" s="610"/>
      <c r="G195" s="232">
        <f>G165</f>
        <v>900</v>
      </c>
      <c r="H195" s="233" t="s">
        <v>253</v>
      </c>
      <c r="I195" s="623">
        <v>1.18</v>
      </c>
      <c r="J195" s="623"/>
      <c r="K195" s="361">
        <f>I195*G195</f>
        <v>1062</v>
      </c>
    </row>
    <row r="196" spans="2:11" x14ac:dyDescent="0.25">
      <c r="B196" s="624" t="s">
        <v>458</v>
      </c>
      <c r="C196" s="624"/>
      <c r="D196" s="624"/>
      <c r="E196" s="624"/>
      <c r="F196" s="624"/>
      <c r="G196" s="161">
        <v>1</v>
      </c>
      <c r="H196" s="161" t="s">
        <v>229</v>
      </c>
      <c r="I196" s="625">
        <f>K195</f>
        <v>1062</v>
      </c>
      <c r="J196" s="625"/>
      <c r="K196" s="150">
        <f>I196*G196</f>
        <v>1062</v>
      </c>
    </row>
    <row r="197" spans="2:11" ht="15" customHeight="1" x14ac:dyDescent="0.25">
      <c r="B197" s="764" t="s">
        <v>459</v>
      </c>
      <c r="C197" s="764"/>
      <c r="D197" s="764"/>
      <c r="E197" s="764"/>
      <c r="F197" s="764"/>
      <c r="G197" s="764"/>
      <c r="H197" s="764"/>
      <c r="I197" s="764"/>
      <c r="J197" s="764"/>
      <c r="K197" s="764"/>
    </row>
    <row r="198" spans="2:11" x14ac:dyDescent="0.25">
      <c r="B198" s="764"/>
      <c r="C198" s="764"/>
      <c r="D198" s="764"/>
      <c r="E198" s="764"/>
      <c r="F198" s="764"/>
      <c r="G198" s="764"/>
      <c r="H198" s="764"/>
      <c r="I198" s="764"/>
      <c r="J198" s="764"/>
      <c r="K198" s="764"/>
    </row>
    <row r="199" spans="2:11" x14ac:dyDescent="0.25">
      <c r="B199" s="764"/>
      <c r="C199" s="764"/>
      <c r="D199" s="764"/>
      <c r="E199" s="764"/>
      <c r="F199" s="764"/>
      <c r="G199" s="764"/>
      <c r="H199" s="764"/>
      <c r="I199" s="764"/>
      <c r="J199" s="764"/>
      <c r="K199" s="764"/>
    </row>
    <row r="200" spans="2:11" x14ac:dyDescent="0.25">
      <c r="B200" s="764"/>
      <c r="C200" s="764"/>
      <c r="D200" s="764"/>
      <c r="E200" s="764"/>
      <c r="F200" s="764"/>
      <c r="G200" s="764"/>
      <c r="H200" s="764"/>
      <c r="I200" s="764"/>
      <c r="J200" s="764"/>
      <c r="K200" s="764"/>
    </row>
    <row r="201" spans="2:11" x14ac:dyDescent="0.25">
      <c r="G201" s="203"/>
      <c r="H201" s="1"/>
      <c r="I201" s="12"/>
      <c r="J201" s="12"/>
      <c r="K201" s="128"/>
    </row>
    <row r="202" spans="2:11" x14ac:dyDescent="0.25">
      <c r="B202" s="614" t="s">
        <v>836</v>
      </c>
      <c r="C202" s="614"/>
      <c r="D202" s="614"/>
      <c r="E202" s="614"/>
      <c r="F202" s="614"/>
      <c r="G202" s="614"/>
      <c r="H202" s="614"/>
      <c r="I202" s="614"/>
      <c r="J202" s="614"/>
      <c r="K202" s="182">
        <f>SUM(I196,I191,I180,I169,I161,I149,I134)</f>
        <v>8350.8266989621479</v>
      </c>
    </row>
    <row r="203" spans="2:11" x14ac:dyDescent="0.25">
      <c r="B203" s="614" t="s">
        <v>289</v>
      </c>
      <c r="C203" s="614"/>
      <c r="D203" s="614"/>
      <c r="E203" s="614"/>
      <c r="F203" s="614"/>
      <c r="G203" s="614"/>
      <c r="H203" s="614"/>
      <c r="I203" s="614"/>
      <c r="J203" s="614"/>
      <c r="K203" s="182">
        <f>SUM(K196,K191,K180,K169,K161,K149,K134)</f>
        <v>8350.8266989621479</v>
      </c>
    </row>
    <row r="204" spans="2:11" ht="15" customHeight="1" x14ac:dyDescent="0.25">
      <c r="B204" s="131"/>
      <c r="C204" s="131"/>
      <c r="D204" s="131"/>
      <c r="E204" s="131"/>
      <c r="F204" s="131"/>
      <c r="G204" s="18"/>
      <c r="H204" s="18"/>
      <c r="I204" s="130"/>
      <c r="J204" s="130"/>
      <c r="K204" s="130"/>
    </row>
    <row r="205" spans="2:11" ht="15" customHeight="1" x14ac:dyDescent="0.25">
      <c r="B205" s="597" t="s">
        <v>837</v>
      </c>
      <c r="C205" s="597"/>
      <c r="D205" s="597"/>
      <c r="E205" s="597"/>
      <c r="F205" s="597"/>
      <c r="G205" s="597"/>
      <c r="H205" s="597"/>
      <c r="I205" s="597"/>
      <c r="J205" s="597"/>
      <c r="K205" s="241">
        <f>K203</f>
        <v>8350.8266989621479</v>
      </c>
    </row>
    <row r="206" spans="2:11" x14ac:dyDescent="0.25">
      <c r="B206" s="108"/>
      <c r="C206" s="108"/>
      <c r="D206" s="108"/>
      <c r="E206" s="108"/>
      <c r="F206" s="108"/>
      <c r="G206" s="108"/>
      <c r="H206" s="108"/>
      <c r="I206" s="108"/>
      <c r="J206" s="108"/>
      <c r="K206" s="242"/>
    </row>
    <row r="207" spans="2:11" x14ac:dyDescent="0.25">
      <c r="B207" s="108"/>
      <c r="C207" s="108"/>
      <c r="D207" s="108"/>
      <c r="E207" s="108"/>
      <c r="F207" s="108"/>
      <c r="G207" s="108"/>
      <c r="H207" s="108"/>
      <c r="I207" s="108"/>
      <c r="J207" s="108"/>
      <c r="K207" s="242"/>
    </row>
    <row r="208" spans="2:11" x14ac:dyDescent="0.25">
      <c r="B208" s="601" t="s">
        <v>838</v>
      </c>
      <c r="C208" s="601"/>
      <c r="D208" s="601"/>
      <c r="E208" s="601"/>
      <c r="F208" s="601"/>
      <c r="G208" s="601"/>
      <c r="H208" s="601"/>
      <c r="I208" s="601"/>
      <c r="J208" s="601"/>
      <c r="K208" s="601"/>
    </row>
    <row r="209" spans="2:11" x14ac:dyDescent="0.25">
      <c r="B209" s="108"/>
      <c r="C209" s="108"/>
      <c r="D209" s="108"/>
      <c r="E209" s="108"/>
      <c r="F209" s="108"/>
      <c r="G209" s="108"/>
      <c r="H209" s="108"/>
      <c r="I209" s="108"/>
      <c r="J209" s="108"/>
      <c r="K209" s="242"/>
    </row>
    <row r="210" spans="2:11" ht="30" x14ac:dyDescent="0.25">
      <c r="B210" s="138" t="s">
        <v>207</v>
      </c>
      <c r="C210" s="605" t="s">
        <v>174</v>
      </c>
      <c r="D210" s="605"/>
      <c r="E210" s="605"/>
      <c r="F210" s="605"/>
      <c r="G210" s="223" t="s">
        <v>128</v>
      </c>
      <c r="H210" s="139" t="s">
        <v>488</v>
      </c>
      <c r="I210" s="605" t="s">
        <v>226</v>
      </c>
      <c r="J210" s="605"/>
      <c r="K210" s="138" t="s">
        <v>246</v>
      </c>
    </row>
    <row r="211" spans="2:11" x14ac:dyDescent="0.25">
      <c r="B211" s="115" t="s">
        <v>839</v>
      </c>
      <c r="C211" s="606" t="s">
        <v>490</v>
      </c>
      <c r="D211" s="606"/>
      <c r="E211" s="606"/>
      <c r="F211" s="606"/>
      <c r="G211" s="243">
        <v>3</v>
      </c>
      <c r="H211" s="166">
        <v>24</v>
      </c>
      <c r="I211" s="607">
        <f>'10 - CUSTOS UN'!$J$117</f>
        <v>53.346666666666664</v>
      </c>
      <c r="J211" s="607"/>
      <c r="K211" s="227">
        <f>(I211*G211)/H211</f>
        <v>6.668333333333333</v>
      </c>
    </row>
    <row r="212" spans="2:11" x14ac:dyDescent="0.25">
      <c r="B212" s="5" t="s">
        <v>840</v>
      </c>
      <c r="C212" s="594" t="s">
        <v>841</v>
      </c>
      <c r="D212" s="594"/>
      <c r="E212" s="594"/>
      <c r="F212" s="594"/>
      <c r="G212" s="170">
        <v>1</v>
      </c>
      <c r="H212" s="166">
        <v>60</v>
      </c>
      <c r="I212" s="599">
        <f>'10 - CUSTOS UN'!$J$243</f>
        <v>1727.96</v>
      </c>
      <c r="J212" s="599"/>
      <c r="K212" s="31">
        <f>I212/H212</f>
        <v>28.799333333333333</v>
      </c>
    </row>
    <row r="213" spans="2:11" x14ac:dyDescent="0.25">
      <c r="B213" s="115" t="s">
        <v>842</v>
      </c>
      <c r="C213" s="594" t="s">
        <v>496</v>
      </c>
      <c r="D213" s="594"/>
      <c r="E213" s="594"/>
      <c r="F213" s="594"/>
      <c r="G213" s="246">
        <v>1</v>
      </c>
      <c r="H213" s="4">
        <v>12</v>
      </c>
      <c r="I213" s="599">
        <f>'10 - CUSTOS UN'!$J$18</f>
        <v>83.660000000000011</v>
      </c>
      <c r="J213" s="599"/>
      <c r="K213" s="247">
        <f>(G213*I213)/H213</f>
        <v>6.9716666666666676</v>
      </c>
    </row>
    <row r="214" spans="2:11" x14ac:dyDescent="0.25">
      <c r="B214" s="5" t="s">
        <v>843</v>
      </c>
      <c r="C214" s="604" t="s">
        <v>498</v>
      </c>
      <c r="D214" s="604"/>
      <c r="E214" s="604"/>
      <c r="F214" s="604"/>
      <c r="G214" s="246">
        <v>2</v>
      </c>
      <c r="H214" s="4">
        <v>12</v>
      </c>
      <c r="I214" s="599">
        <f>'10 - CUSTOS UN'!$J$60</f>
        <v>4.1399999999999997</v>
      </c>
      <c r="J214" s="599"/>
      <c r="K214" s="247">
        <f>(I214*G214)/H214</f>
        <v>0.69</v>
      </c>
    </row>
    <row r="215" spans="2:11" ht="15" customHeight="1" x14ac:dyDescent="0.25">
      <c r="B215" s="115" t="s">
        <v>844</v>
      </c>
      <c r="C215" s="594" t="s">
        <v>500</v>
      </c>
      <c r="D215" s="594"/>
      <c r="E215" s="594"/>
      <c r="F215" s="594"/>
      <c r="G215" s="246">
        <v>1</v>
      </c>
      <c r="H215" s="4">
        <v>1</v>
      </c>
      <c r="I215" s="599">
        <f>'10 - CUSTOS UN'!$J$105</f>
        <v>22.343333333333334</v>
      </c>
      <c r="J215" s="599"/>
      <c r="K215" s="247">
        <f>(I215*G215)/H215</f>
        <v>22.343333333333334</v>
      </c>
    </row>
    <row r="216" spans="2:11" x14ac:dyDescent="0.25">
      <c r="B216" s="5" t="s">
        <v>845</v>
      </c>
      <c r="C216" s="594" t="s">
        <v>502</v>
      </c>
      <c r="D216" s="594"/>
      <c r="E216" s="594"/>
      <c r="F216" s="594"/>
      <c r="G216" s="246">
        <v>1</v>
      </c>
      <c r="H216" s="4">
        <v>1</v>
      </c>
      <c r="I216" s="599">
        <f>'10 - CUSTOS UN'!$J$96</f>
        <v>13.38</v>
      </c>
      <c r="J216" s="599"/>
      <c r="K216" s="247">
        <f>G216*I216/H216</f>
        <v>13.38</v>
      </c>
    </row>
    <row r="217" spans="2:11" x14ac:dyDescent="0.25">
      <c r="B217" s="115" t="s">
        <v>846</v>
      </c>
      <c r="C217" s="594" t="s">
        <v>504</v>
      </c>
      <c r="D217" s="594"/>
      <c r="E217" s="594"/>
      <c r="F217" s="594"/>
      <c r="G217" s="170">
        <v>1</v>
      </c>
      <c r="H217" s="4">
        <v>1</v>
      </c>
      <c r="I217" s="599">
        <f>'10 - CUSTOS UN'!$J$6</f>
        <v>34.836666666666666</v>
      </c>
      <c r="J217" s="599"/>
      <c r="K217" s="31">
        <f>G217*I217/H217</f>
        <v>34.836666666666666</v>
      </c>
    </row>
    <row r="218" spans="2:11" x14ac:dyDescent="0.25">
      <c r="B218" s="5" t="s">
        <v>847</v>
      </c>
      <c r="C218" s="594" t="s">
        <v>848</v>
      </c>
      <c r="D218" s="594"/>
      <c r="E218" s="594"/>
      <c r="F218" s="594"/>
      <c r="G218" s="170">
        <v>1</v>
      </c>
      <c r="H218" s="4">
        <v>24</v>
      </c>
      <c r="I218" s="599">
        <f>'10 - CUSTOS UN'!J45</f>
        <v>416.23</v>
      </c>
      <c r="J218" s="599"/>
      <c r="K218" s="31">
        <f>(I218*G218)/H218</f>
        <v>17.342916666666667</v>
      </c>
    </row>
    <row r="219" spans="2:11" x14ac:dyDescent="0.25">
      <c r="B219" s="115" t="s">
        <v>849</v>
      </c>
      <c r="C219" s="604" t="s">
        <v>850</v>
      </c>
      <c r="D219" s="604"/>
      <c r="E219" s="604"/>
      <c r="F219" s="604"/>
      <c r="G219" s="243">
        <v>4</v>
      </c>
      <c r="H219" s="166">
        <v>1</v>
      </c>
      <c r="I219" s="599">
        <f>'10 - CUSTOS UN'!J57</f>
        <v>8.4466666666666672</v>
      </c>
      <c r="J219" s="599"/>
      <c r="K219" s="227">
        <f>I219*G219</f>
        <v>33.786666666666669</v>
      </c>
    </row>
    <row r="220" spans="2:11" x14ac:dyDescent="0.25">
      <c r="B220" s="5" t="s">
        <v>851</v>
      </c>
      <c r="C220" s="604" t="s">
        <v>852</v>
      </c>
      <c r="D220" s="604"/>
      <c r="E220" s="604"/>
      <c r="F220" s="604"/>
      <c r="G220" s="243">
        <v>1</v>
      </c>
      <c r="H220" s="166">
        <v>3</v>
      </c>
      <c r="I220" s="599">
        <f>'10 - CUSTOS UN'!J120</f>
        <v>11.75</v>
      </c>
      <c r="J220" s="599"/>
      <c r="K220" s="227">
        <f>(I220/H220)*G220</f>
        <v>3.9166666666666665</v>
      </c>
    </row>
    <row r="221" spans="2:11" x14ac:dyDescent="0.25">
      <c r="B221" s="115" t="s">
        <v>853</v>
      </c>
      <c r="C221" s="604" t="s">
        <v>854</v>
      </c>
      <c r="D221" s="604"/>
      <c r="E221" s="604"/>
      <c r="F221" s="604"/>
      <c r="G221" s="243">
        <v>1</v>
      </c>
      <c r="H221" s="166">
        <v>3</v>
      </c>
      <c r="I221" s="599">
        <f>'10 - CUSTOS UN'!J93</f>
        <v>9.4666666666666668</v>
      </c>
      <c r="J221" s="599"/>
      <c r="K221" s="227">
        <f>(I221/H221)*G221</f>
        <v>3.1555555555555554</v>
      </c>
    </row>
    <row r="222" spans="2:11" ht="15" customHeight="1" x14ac:dyDescent="0.25">
      <c r="B222" s="5" t="s">
        <v>855</v>
      </c>
      <c r="C222" s="604" t="s">
        <v>856</v>
      </c>
      <c r="D222" s="604"/>
      <c r="E222" s="604"/>
      <c r="F222" s="604"/>
      <c r="G222" s="243">
        <v>5</v>
      </c>
      <c r="H222" s="166">
        <v>1</v>
      </c>
      <c r="I222" s="599">
        <f>'10 - CUSTOS UN'!J114</f>
        <v>3.1233333333333335</v>
      </c>
      <c r="J222" s="599"/>
      <c r="K222" s="227">
        <f>I222*G222</f>
        <v>15.616666666666667</v>
      </c>
    </row>
    <row r="223" spans="2:11" ht="15" customHeight="1" x14ac:dyDescent="0.25">
      <c r="B223" s="600" t="s">
        <v>505</v>
      </c>
      <c r="C223" s="600"/>
      <c r="D223" s="600"/>
      <c r="E223" s="600"/>
      <c r="F223" s="600"/>
      <c r="G223" s="600"/>
      <c r="H223" s="600"/>
      <c r="I223" s="600"/>
      <c r="J223" s="600"/>
      <c r="K223" s="150">
        <f>SUM(K211:K222)</f>
        <v>187.50780555555556</v>
      </c>
    </row>
    <row r="224" spans="2:11" ht="15" customHeight="1" x14ac:dyDescent="0.25">
      <c r="B224" s="108"/>
      <c r="C224" s="108"/>
      <c r="D224" s="108"/>
      <c r="E224" s="108"/>
      <c r="F224" s="108"/>
      <c r="G224" s="108"/>
      <c r="H224" s="108"/>
      <c r="I224" s="108"/>
      <c r="J224" s="108"/>
      <c r="K224" s="242"/>
    </row>
    <row r="225" spans="1:11" ht="15" customHeight="1" x14ac:dyDescent="0.25">
      <c r="B225" s="108"/>
      <c r="C225" s="108"/>
      <c r="D225" s="108"/>
      <c r="E225" s="108"/>
      <c r="F225" s="108"/>
      <c r="G225" s="108"/>
      <c r="H225" s="108"/>
      <c r="I225" s="108"/>
      <c r="J225" s="108"/>
      <c r="K225" s="242"/>
    </row>
    <row r="226" spans="1:11" ht="15" customHeight="1" x14ac:dyDescent="0.25">
      <c r="B226" s="597" t="s">
        <v>675</v>
      </c>
      <c r="C226" s="597"/>
      <c r="D226" s="597"/>
      <c r="E226" s="597"/>
      <c r="F226" s="597"/>
      <c r="G226" s="597"/>
      <c r="H226" s="597"/>
      <c r="I226" s="597"/>
      <c r="J226" s="597"/>
      <c r="K226" s="241">
        <f>SUM(K223,K205,K101,K66)</f>
        <v>29495.991539782201</v>
      </c>
    </row>
    <row r="227" spans="1:11" ht="15" customHeight="1" x14ac:dyDescent="0.25">
      <c r="B227" s="108"/>
      <c r="C227" s="108"/>
      <c r="D227" s="108"/>
      <c r="E227" s="108"/>
      <c r="F227" s="108"/>
      <c r="G227" s="108"/>
      <c r="H227" s="108"/>
      <c r="I227" s="108"/>
      <c r="J227" s="108"/>
      <c r="K227" s="242"/>
    </row>
    <row r="228" spans="1:11" ht="15" customHeight="1" x14ac:dyDescent="0.25">
      <c r="B228" s="108"/>
      <c r="C228" s="108"/>
      <c r="D228" s="108"/>
      <c r="E228" s="108"/>
      <c r="F228" s="108"/>
      <c r="G228" s="108"/>
      <c r="H228" s="108"/>
      <c r="I228" s="108"/>
      <c r="J228" s="108"/>
      <c r="K228" s="242"/>
    </row>
    <row r="229" spans="1:11" ht="15" customHeight="1" x14ac:dyDescent="0.25">
      <c r="B229" s="601" t="s">
        <v>857</v>
      </c>
      <c r="C229" s="601"/>
      <c r="D229" s="601"/>
      <c r="E229" s="601"/>
      <c r="F229" s="601"/>
      <c r="G229" s="601"/>
      <c r="H229" s="601"/>
      <c r="I229" s="601"/>
      <c r="J229" s="601"/>
      <c r="K229" s="601"/>
    </row>
    <row r="230" spans="1:11" ht="15" customHeight="1" x14ac:dyDescent="0.25">
      <c r="K230" s="12"/>
    </row>
    <row r="231" spans="1:11" ht="15" customHeight="1" x14ac:dyDescent="0.25">
      <c r="B231" s="341" t="s">
        <v>207</v>
      </c>
      <c r="C231" s="602" t="s">
        <v>174</v>
      </c>
      <c r="D231" s="602"/>
      <c r="E231" s="602"/>
      <c r="F231" s="602"/>
      <c r="G231" s="602"/>
      <c r="H231" s="342" t="s">
        <v>89</v>
      </c>
      <c r="I231" s="603" t="s">
        <v>507</v>
      </c>
      <c r="J231" s="603"/>
      <c r="K231" s="341" t="s">
        <v>301</v>
      </c>
    </row>
    <row r="232" spans="1:11" ht="15" customHeight="1" x14ac:dyDescent="0.25">
      <c r="B232" s="5" t="s">
        <v>798</v>
      </c>
      <c r="C232" s="594" t="s">
        <v>509</v>
      </c>
      <c r="D232" s="594"/>
      <c r="E232" s="594"/>
      <c r="F232" s="594"/>
      <c r="G232" s="594"/>
      <c r="H232" s="5"/>
      <c r="I232" s="595">
        <f>'OK 5 - ADM LOCAL - ÓLEOS'!K73</f>
        <v>26305.499173886594</v>
      </c>
      <c r="J232" s="595"/>
      <c r="K232" s="133">
        <f>I232</f>
        <v>26305.499173886594</v>
      </c>
    </row>
    <row r="233" spans="1:11" ht="15" customHeight="1" x14ac:dyDescent="0.25">
      <c r="B233" s="5" t="s">
        <v>799</v>
      </c>
      <c r="C233" s="594" t="s">
        <v>86</v>
      </c>
      <c r="D233" s="594"/>
      <c r="E233" s="594"/>
      <c r="F233" s="594"/>
      <c r="G233" s="594"/>
      <c r="H233" s="249">
        <f>'9 - BDI'!D15</f>
        <v>0.27689893995634196</v>
      </c>
      <c r="I233" s="595">
        <f>K226</f>
        <v>29495.991539782201</v>
      </c>
      <c r="J233" s="595"/>
      <c r="K233" s="133">
        <f>I233*H233</f>
        <v>8167.4087903269219</v>
      </c>
    </row>
    <row r="234" spans="1:11" ht="15" customHeight="1" x14ac:dyDescent="0.25">
      <c r="B234" s="596" t="s">
        <v>297</v>
      </c>
      <c r="C234" s="596"/>
      <c r="D234" s="596"/>
      <c r="E234" s="596"/>
      <c r="F234" s="596"/>
      <c r="G234" s="596"/>
      <c r="H234" s="596"/>
      <c r="I234" s="596"/>
      <c r="J234" s="596"/>
      <c r="K234" s="250">
        <f>SUM(K232:K233)</f>
        <v>34472.907964213518</v>
      </c>
    </row>
    <row r="235" spans="1:11" ht="15" customHeight="1" x14ac:dyDescent="0.25">
      <c r="B235" s="186"/>
      <c r="C235" s="186"/>
      <c r="D235" s="186"/>
      <c r="E235" s="186"/>
      <c r="F235" s="186"/>
      <c r="I235" s="1"/>
      <c r="J235" s="1"/>
      <c r="K235" s="109"/>
    </row>
    <row r="236" spans="1:11" ht="15" customHeight="1" x14ac:dyDescent="0.25">
      <c r="B236" s="186"/>
      <c r="C236" s="186"/>
      <c r="D236" s="186"/>
      <c r="E236" s="186"/>
      <c r="F236" s="186"/>
      <c r="I236" s="1"/>
      <c r="J236" s="1"/>
      <c r="K236" s="109"/>
    </row>
    <row r="237" spans="1:11" ht="15" customHeight="1" x14ac:dyDescent="0.25">
      <c r="B237" s="597" t="s">
        <v>858</v>
      </c>
      <c r="C237" s="597"/>
      <c r="D237" s="597"/>
      <c r="E237" s="597"/>
      <c r="F237" s="597"/>
      <c r="G237" s="597"/>
      <c r="H237" s="597"/>
      <c r="I237" s="597"/>
      <c r="J237" s="597"/>
      <c r="K237" s="241">
        <f>K226+K234</f>
        <v>63968.899503995723</v>
      </c>
    </row>
    <row r="238" spans="1:11" ht="15" customHeight="1" x14ac:dyDescent="0.25">
      <c r="B238" s="119"/>
      <c r="C238" s="119"/>
      <c r="D238" s="119"/>
      <c r="E238" s="119"/>
      <c r="F238" s="119"/>
      <c r="G238" s="160"/>
      <c r="H238" s="160"/>
      <c r="I238" s="119"/>
      <c r="J238" s="119"/>
      <c r="K238" s="160"/>
    </row>
    <row r="239" spans="1:11" ht="15" customHeight="1" x14ac:dyDescent="0.25">
      <c r="A239" s="1"/>
      <c r="B239" s="198"/>
      <c r="C239" s="1"/>
      <c r="D239" s="1"/>
      <c r="E239" s="1"/>
      <c r="F239" s="1"/>
      <c r="G239" s="1"/>
      <c r="H239" s="1"/>
      <c r="I239" s="1"/>
      <c r="J239" s="1"/>
      <c r="K239" s="199"/>
    </row>
    <row r="240" spans="1:11" ht="15" customHeight="1" x14ac:dyDescent="0.25">
      <c r="A240" s="1"/>
      <c r="B240" s="198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34.5" customHeight="1" x14ac:dyDescent="0.25">
      <c r="A241" s="1"/>
      <c r="B241" s="598"/>
      <c r="C241" s="598"/>
      <c r="D241" s="598"/>
      <c r="E241" s="598"/>
      <c r="F241" s="598"/>
      <c r="G241" s="598"/>
      <c r="H241" s="598"/>
      <c r="I241" s="598"/>
      <c r="J241" s="598"/>
      <c r="K241" s="200"/>
    </row>
    <row r="242" spans="1:11" ht="15" customHeight="1" x14ac:dyDescent="0.25">
      <c r="A242" s="1"/>
      <c r="B242" s="1"/>
      <c r="C242" s="1"/>
      <c r="D242" s="1"/>
      <c r="E242" s="1"/>
      <c r="F242" s="1"/>
      <c r="G242" s="12"/>
      <c r="H242" s="12"/>
      <c r="I242" s="190"/>
      <c r="J242" s="190"/>
      <c r="K242" s="12"/>
    </row>
    <row r="243" spans="1:11" ht="15" customHeight="1" x14ac:dyDescent="0.25">
      <c r="A243" s="1"/>
      <c r="B243" s="1"/>
      <c r="C243" s="1"/>
      <c r="D243" s="1"/>
      <c r="E243" s="1"/>
      <c r="F243" s="1"/>
      <c r="G243" s="12"/>
      <c r="H243" s="1"/>
      <c r="I243" s="190"/>
      <c r="J243" s="1"/>
      <c r="K243" s="124"/>
    </row>
    <row r="1048574" ht="12.75" customHeight="1" x14ac:dyDescent="0.25"/>
    <row r="1048575" ht="12.75" customHeight="1" x14ac:dyDescent="0.25"/>
    <row r="1048576" ht="12.75" customHeight="1" x14ac:dyDescent="0.25"/>
  </sheetData>
  <mergeCells count="322">
    <mergeCell ref="B2:K2"/>
    <mergeCell ref="B4:K4"/>
    <mergeCell ref="B5:G5"/>
    <mergeCell ref="I5:J5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1:G11"/>
    <mergeCell ref="I11:J11"/>
    <mergeCell ref="C12:G12"/>
    <mergeCell ref="I12:J12"/>
    <mergeCell ref="C13:G13"/>
    <mergeCell ref="I13:J13"/>
    <mergeCell ref="C14:G14"/>
    <mergeCell ref="I14:J14"/>
    <mergeCell ref="C15:G15"/>
    <mergeCell ref="I15:J15"/>
    <mergeCell ref="C16:G16"/>
    <mergeCell ref="I16:J16"/>
    <mergeCell ref="C17:G17"/>
    <mergeCell ref="I17:J17"/>
    <mergeCell ref="B18:J18"/>
    <mergeCell ref="B19:J19"/>
    <mergeCell ref="B21:K21"/>
    <mergeCell ref="B22:K22"/>
    <mergeCell ref="B23:K23"/>
    <mergeCell ref="C24:G24"/>
    <mergeCell ref="C25:G25"/>
    <mergeCell ref="C28:G28"/>
    <mergeCell ref="C29:I29"/>
    <mergeCell ref="C30:I30"/>
    <mergeCell ref="C31:I31"/>
    <mergeCell ref="C32:I32"/>
    <mergeCell ref="C33:I33"/>
    <mergeCell ref="C34:I34"/>
    <mergeCell ref="C35:I35"/>
    <mergeCell ref="C36:G36"/>
    <mergeCell ref="C37:G37"/>
    <mergeCell ref="C38:G38"/>
    <mergeCell ref="C39:G39"/>
    <mergeCell ref="C40:G40"/>
    <mergeCell ref="C41:I41"/>
    <mergeCell ref="B42:J42"/>
    <mergeCell ref="B43:H43"/>
    <mergeCell ref="B45:K45"/>
    <mergeCell ref="C46:G46"/>
    <mergeCell ref="C47:G47"/>
    <mergeCell ref="C50:G50"/>
    <mergeCell ref="C51:I51"/>
    <mergeCell ref="C52:I52"/>
    <mergeCell ref="C53:I53"/>
    <mergeCell ref="C54:I54"/>
    <mergeCell ref="C55:I55"/>
    <mergeCell ref="C56:I56"/>
    <mergeCell ref="C57:I57"/>
    <mergeCell ref="C58:G58"/>
    <mergeCell ref="C59:G59"/>
    <mergeCell ref="C60:G60"/>
    <mergeCell ref="C61:G61"/>
    <mergeCell ref="C62:I62"/>
    <mergeCell ref="B63:J63"/>
    <mergeCell ref="B64:H64"/>
    <mergeCell ref="B66:J66"/>
    <mergeCell ref="B69:K69"/>
    <mergeCell ref="B71:K71"/>
    <mergeCell ref="B72:F72"/>
    <mergeCell ref="I72:J72"/>
    <mergeCell ref="B73:F73"/>
    <mergeCell ref="I73:J73"/>
    <mergeCell ref="B74:F74"/>
    <mergeCell ref="I74:J74"/>
    <mergeCell ref="B75:F75"/>
    <mergeCell ref="I75:J75"/>
    <mergeCell ref="B76:F76"/>
    <mergeCell ref="I76:J76"/>
    <mergeCell ref="B77:F77"/>
    <mergeCell ref="I77:J77"/>
    <mergeCell ref="B78:F78"/>
    <mergeCell ref="I78:J78"/>
    <mergeCell ref="B79:F79"/>
    <mergeCell ref="I79:J79"/>
    <mergeCell ref="B80:F80"/>
    <mergeCell ref="I80:J80"/>
    <mergeCell ref="B81:F81"/>
    <mergeCell ref="I81:J81"/>
    <mergeCell ref="B82:F82"/>
    <mergeCell ref="I82:J82"/>
    <mergeCell ref="B83:F83"/>
    <mergeCell ref="I83:J83"/>
    <mergeCell ref="B84:F84"/>
    <mergeCell ref="I84:J84"/>
    <mergeCell ref="B85:F85"/>
    <mergeCell ref="I85:J85"/>
    <mergeCell ref="B86:F86"/>
    <mergeCell ref="I86:J86"/>
    <mergeCell ref="B88:K88"/>
    <mergeCell ref="B89:F89"/>
    <mergeCell ref="I89:J89"/>
    <mergeCell ref="B90:F90"/>
    <mergeCell ref="I90:J90"/>
    <mergeCell ref="B91:F91"/>
    <mergeCell ref="I91:J91"/>
    <mergeCell ref="B92:F92"/>
    <mergeCell ref="I92:J92"/>
    <mergeCell ref="B93:F93"/>
    <mergeCell ref="I93:J93"/>
    <mergeCell ref="B94:F94"/>
    <mergeCell ref="I94:J94"/>
    <mergeCell ref="B95:F95"/>
    <mergeCell ref="I95:J95"/>
    <mergeCell ref="B96:F96"/>
    <mergeCell ref="I96:J96"/>
    <mergeCell ref="B97:F97"/>
    <mergeCell ref="I97:J97"/>
    <mergeCell ref="B98:F98"/>
    <mergeCell ref="I98:J98"/>
    <mergeCell ref="B99:F99"/>
    <mergeCell ref="I99:J99"/>
    <mergeCell ref="B100:F100"/>
    <mergeCell ref="I100:J100"/>
    <mergeCell ref="B101:J101"/>
    <mergeCell ref="B104:K104"/>
    <mergeCell ref="B106:K106"/>
    <mergeCell ref="C107:H107"/>
    <mergeCell ref="I107:J107"/>
    <mergeCell ref="C108:H108"/>
    <mergeCell ref="I108:J108"/>
    <mergeCell ref="C109:H109"/>
    <mergeCell ref="I109:J109"/>
    <mergeCell ref="C110:H110"/>
    <mergeCell ref="I110:J110"/>
    <mergeCell ref="C111:H111"/>
    <mergeCell ref="I111:J111"/>
    <mergeCell ref="C112:H112"/>
    <mergeCell ref="I112:J112"/>
    <mergeCell ref="C113:H113"/>
    <mergeCell ref="I113:J113"/>
    <mergeCell ref="C114:H114"/>
    <mergeCell ref="I114:J114"/>
    <mergeCell ref="C115:H115"/>
    <mergeCell ref="I115:J115"/>
    <mergeCell ref="C116:H116"/>
    <mergeCell ref="I116:J116"/>
    <mergeCell ref="B119:K119"/>
    <mergeCell ref="B121:K121"/>
    <mergeCell ref="B122:F122"/>
    <mergeCell ref="I122:J122"/>
    <mergeCell ref="B123:F123"/>
    <mergeCell ref="I123:J123"/>
    <mergeCell ref="B124:F124"/>
    <mergeCell ref="I124:J124"/>
    <mergeCell ref="B125:F125"/>
    <mergeCell ref="I125:J125"/>
    <mergeCell ref="B126:F126"/>
    <mergeCell ref="I126:J126"/>
    <mergeCell ref="B127:F127"/>
    <mergeCell ref="I127:J127"/>
    <mergeCell ref="B128:F128"/>
    <mergeCell ref="I128:J128"/>
    <mergeCell ref="B129:F129"/>
    <mergeCell ref="I129:J129"/>
    <mergeCell ref="B130:F130"/>
    <mergeCell ref="I130:J130"/>
    <mergeCell ref="B131:F131"/>
    <mergeCell ref="I131:J131"/>
    <mergeCell ref="B132:F132"/>
    <mergeCell ref="I132:J132"/>
    <mergeCell ref="B133:F133"/>
    <mergeCell ref="I133:J133"/>
    <mergeCell ref="B134:F134"/>
    <mergeCell ref="I134:J134"/>
    <mergeCell ref="B136:K136"/>
    <mergeCell ref="B137:F137"/>
    <mergeCell ref="I137:J137"/>
    <mergeCell ref="B138:F138"/>
    <mergeCell ref="I138:J138"/>
    <mergeCell ref="B139:F139"/>
    <mergeCell ref="I139:J139"/>
    <mergeCell ref="B140:F140"/>
    <mergeCell ref="I140:J140"/>
    <mergeCell ref="B141:F141"/>
    <mergeCell ref="I141:J141"/>
    <mergeCell ref="B142:F142"/>
    <mergeCell ref="I142:J142"/>
    <mergeCell ref="B143:F143"/>
    <mergeCell ref="I143:J143"/>
    <mergeCell ref="B144:F144"/>
    <mergeCell ref="I144:J144"/>
    <mergeCell ref="B145:F145"/>
    <mergeCell ref="I145:J145"/>
    <mergeCell ref="B146:F146"/>
    <mergeCell ref="I146:J146"/>
    <mergeCell ref="B147:F147"/>
    <mergeCell ref="I147:J147"/>
    <mergeCell ref="B148:F148"/>
    <mergeCell ref="I148:J148"/>
    <mergeCell ref="B149:F149"/>
    <mergeCell ref="I149:J149"/>
    <mergeCell ref="B150:K152"/>
    <mergeCell ref="B154:K154"/>
    <mergeCell ref="M154:M161"/>
    <mergeCell ref="B155:F155"/>
    <mergeCell ref="I155:J155"/>
    <mergeCell ref="B156:F156"/>
    <mergeCell ref="I156:J156"/>
    <mergeCell ref="B157:F157"/>
    <mergeCell ref="I157:J157"/>
    <mergeCell ref="B158:F158"/>
    <mergeCell ref="I158:J158"/>
    <mergeCell ref="B159:F159"/>
    <mergeCell ref="I159:J159"/>
    <mergeCell ref="B160:F160"/>
    <mergeCell ref="I160:J160"/>
    <mergeCell ref="B161:F161"/>
    <mergeCell ref="I161:J161"/>
    <mergeCell ref="B163:K163"/>
    <mergeCell ref="B164:F164"/>
    <mergeCell ref="I164:J164"/>
    <mergeCell ref="B165:F165"/>
    <mergeCell ref="I165:J165"/>
    <mergeCell ref="B166:F166"/>
    <mergeCell ref="I166:J166"/>
    <mergeCell ref="B167:F167"/>
    <mergeCell ref="I167:J167"/>
    <mergeCell ref="B168:F168"/>
    <mergeCell ref="I168:J168"/>
    <mergeCell ref="B169:F169"/>
    <mergeCell ref="I169:J169"/>
    <mergeCell ref="B170:K170"/>
    <mergeCell ref="B172:K172"/>
    <mergeCell ref="B173:F173"/>
    <mergeCell ref="I173:J173"/>
    <mergeCell ref="B174:F174"/>
    <mergeCell ref="I174:J174"/>
    <mergeCell ref="B175:F175"/>
    <mergeCell ref="I175:J175"/>
    <mergeCell ref="B176:F176"/>
    <mergeCell ref="I176:J176"/>
    <mergeCell ref="B177:F177"/>
    <mergeCell ref="I177:J177"/>
    <mergeCell ref="B178:F178"/>
    <mergeCell ref="I178:J178"/>
    <mergeCell ref="B179:F179"/>
    <mergeCell ref="I179:J179"/>
    <mergeCell ref="B180:F180"/>
    <mergeCell ref="I180:J180"/>
    <mergeCell ref="B182:K182"/>
    <mergeCell ref="B183:F183"/>
    <mergeCell ref="I183:J183"/>
    <mergeCell ref="B184:F184"/>
    <mergeCell ref="I184:J184"/>
    <mergeCell ref="B185:F185"/>
    <mergeCell ref="I185:J185"/>
    <mergeCell ref="B186:F186"/>
    <mergeCell ref="I186:J186"/>
    <mergeCell ref="B187:F187"/>
    <mergeCell ref="I187:J187"/>
    <mergeCell ref="B188:F188"/>
    <mergeCell ref="I188:J188"/>
    <mergeCell ref="B189:F189"/>
    <mergeCell ref="I189:J189"/>
    <mergeCell ref="B190:F190"/>
    <mergeCell ref="I190:J190"/>
    <mergeCell ref="B191:F191"/>
    <mergeCell ref="I191:J191"/>
    <mergeCell ref="B193:K193"/>
    <mergeCell ref="B194:F194"/>
    <mergeCell ref="I194:J194"/>
    <mergeCell ref="B195:F195"/>
    <mergeCell ref="I195:J195"/>
    <mergeCell ref="B196:F196"/>
    <mergeCell ref="I196:J196"/>
    <mergeCell ref="B197:K200"/>
    <mergeCell ref="B202:J202"/>
    <mergeCell ref="B203:J203"/>
    <mergeCell ref="B205:J205"/>
    <mergeCell ref="B208:K208"/>
    <mergeCell ref="C210:F210"/>
    <mergeCell ref="I210:J210"/>
    <mergeCell ref="C211:F211"/>
    <mergeCell ref="I211:J211"/>
    <mergeCell ref="C212:F212"/>
    <mergeCell ref="I212:J212"/>
    <mergeCell ref="C213:F213"/>
    <mergeCell ref="I213:J213"/>
    <mergeCell ref="C214:F214"/>
    <mergeCell ref="I214:J214"/>
    <mergeCell ref="C215:F215"/>
    <mergeCell ref="I215:J215"/>
    <mergeCell ref="C216:F216"/>
    <mergeCell ref="I216:J216"/>
    <mergeCell ref="C217:F217"/>
    <mergeCell ref="I217:J217"/>
    <mergeCell ref="C218:F218"/>
    <mergeCell ref="I218:J218"/>
    <mergeCell ref="C219:F219"/>
    <mergeCell ref="I219:J219"/>
    <mergeCell ref="C220:F220"/>
    <mergeCell ref="I220:J220"/>
    <mergeCell ref="C221:F221"/>
    <mergeCell ref="I221:J221"/>
    <mergeCell ref="C233:G233"/>
    <mergeCell ref="I233:J233"/>
    <mergeCell ref="B234:J234"/>
    <mergeCell ref="B237:J237"/>
    <mergeCell ref="B241:J241"/>
    <mergeCell ref="C222:F222"/>
    <mergeCell ref="I222:J222"/>
    <mergeCell ref="B223:J223"/>
    <mergeCell ref="B226:J226"/>
    <mergeCell ref="B229:K229"/>
    <mergeCell ref="C231:G231"/>
    <mergeCell ref="I231:J231"/>
    <mergeCell ref="C232:G232"/>
    <mergeCell ref="I232:J232"/>
  </mergeCells>
  <pageMargins left="0.51180555555555596" right="0.51180555555555596" top="0.78749999999999998" bottom="0.78749999999999998" header="0.511811023622047" footer="0.31527777777777799"/>
  <pageSetup paperSize="9" firstPageNumber="30" fitToHeight="0" orientation="portrait" useFirstPageNumber="1" horizontalDpi="300" verticalDpi="300"/>
  <headerFooter>
    <oddFooter>&amp;R&amp;P de 45</oddFooter>
  </headerFooter>
  <rowBreaks count="2" manualBreakCount="2">
    <brk id="113" max="16383" man="1"/>
    <brk id="165" max="16383" man="1"/>
  </rowBreaks>
  <ignoredErrors>
    <ignoredError sqref="K98 K158 K17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1048576"/>
  <sheetViews>
    <sheetView showGridLines="0" topLeftCell="B121" zoomScale="110" zoomScaleNormal="110" workbookViewId="0">
      <selection activeCell="C118" sqref="C118:E118"/>
    </sheetView>
  </sheetViews>
  <sheetFormatPr defaultColWidth="8.7109375" defaultRowHeight="15" customHeight="1" x14ac:dyDescent="0.25"/>
  <cols>
    <col min="1" max="2" width="11.5703125" customWidth="1"/>
    <col min="3" max="3" width="10.140625" customWidth="1"/>
    <col min="4" max="4" width="75.5703125" customWidth="1"/>
    <col min="5" max="5" width="18.7109375" customWidth="1"/>
    <col min="6" max="6" width="16.5703125" style="23" customWidth="1"/>
    <col min="7" max="7" width="11.5703125" style="120" customWidth="1"/>
    <col min="9" max="9" width="11.5703125" customWidth="1"/>
    <col min="10" max="10" width="14.5703125" customWidth="1"/>
    <col min="13" max="13" width="11.5703125" customWidth="1"/>
  </cols>
  <sheetData>
    <row r="1" spans="1:14" ht="15" customHeight="1" x14ac:dyDescent="0.25">
      <c r="A1" s="86"/>
      <c r="B1" s="86"/>
      <c r="C1" s="86"/>
      <c r="D1" s="86"/>
      <c r="E1" s="86"/>
      <c r="F1" s="278"/>
    </row>
    <row r="2" spans="1:14" ht="15.75" x14ac:dyDescent="0.25">
      <c r="A2" s="86"/>
      <c r="B2" s="86"/>
      <c r="C2" s="877" t="s">
        <v>859</v>
      </c>
      <c r="D2" s="877"/>
      <c r="E2" s="877"/>
      <c r="F2" s="278"/>
      <c r="H2" s="876"/>
      <c r="I2" s="876"/>
      <c r="J2" s="876"/>
    </row>
    <row r="3" spans="1:14" x14ac:dyDescent="0.25">
      <c r="A3" s="86"/>
      <c r="B3" s="86"/>
      <c r="C3" s="297"/>
      <c r="D3" s="297"/>
      <c r="E3" s="297"/>
      <c r="F3" s="278"/>
      <c r="H3" s="120"/>
      <c r="I3" s="120"/>
      <c r="J3" s="120"/>
    </row>
    <row r="4" spans="1:14" x14ac:dyDescent="0.25">
      <c r="A4" s="86"/>
      <c r="B4" s="86"/>
      <c r="C4" s="72" t="s">
        <v>6</v>
      </c>
      <c r="D4" s="362" t="s">
        <v>860</v>
      </c>
      <c r="E4" s="72"/>
      <c r="H4" s="23"/>
      <c r="I4" s="120"/>
      <c r="J4" s="120"/>
    </row>
    <row r="5" spans="1:14" x14ac:dyDescent="0.25">
      <c r="A5" s="86"/>
      <c r="B5" s="86"/>
      <c r="C5" s="76">
        <v>1</v>
      </c>
      <c r="D5" s="363" t="s">
        <v>861</v>
      </c>
      <c r="E5" s="77" t="s">
        <v>862</v>
      </c>
      <c r="F5" s="278"/>
      <c r="H5" s="18"/>
      <c r="J5" s="1"/>
    </row>
    <row r="6" spans="1:14" x14ac:dyDescent="0.25">
      <c r="A6" s="86"/>
      <c r="B6" s="86"/>
      <c r="C6" s="76">
        <v>2</v>
      </c>
      <c r="D6" s="363" t="s">
        <v>863</v>
      </c>
      <c r="E6" s="77" t="s">
        <v>864</v>
      </c>
      <c r="F6" s="278"/>
      <c r="H6" s="18"/>
      <c r="J6" s="1"/>
    </row>
    <row r="7" spans="1:14" x14ac:dyDescent="0.25">
      <c r="A7" s="86"/>
      <c r="B7" s="86"/>
      <c r="C7" s="76">
        <v>3</v>
      </c>
      <c r="D7" s="363" t="s">
        <v>865</v>
      </c>
      <c r="E7" s="77">
        <v>2026</v>
      </c>
      <c r="F7" s="278"/>
      <c r="H7" s="18"/>
      <c r="J7" s="1"/>
      <c r="L7" s="14"/>
    </row>
    <row r="8" spans="1:14" x14ac:dyDescent="0.25">
      <c r="A8" s="86"/>
      <c r="B8" s="86"/>
      <c r="C8" s="76">
        <v>4</v>
      </c>
      <c r="D8" s="363" t="s">
        <v>866</v>
      </c>
      <c r="E8" s="364" t="s">
        <v>867</v>
      </c>
      <c r="F8" s="278"/>
      <c r="H8" s="18"/>
      <c r="L8" s="14"/>
    </row>
    <row r="9" spans="1:14" x14ac:dyDescent="0.25">
      <c r="A9" s="86"/>
      <c r="B9" s="86"/>
      <c r="C9" s="76">
        <v>5</v>
      </c>
      <c r="D9" s="363" t="s">
        <v>868</v>
      </c>
      <c r="E9" s="365">
        <v>46023</v>
      </c>
      <c r="F9" s="278"/>
      <c r="H9" s="18"/>
      <c r="J9" s="366"/>
      <c r="L9" s="14"/>
    </row>
    <row r="10" spans="1:14" x14ac:dyDescent="0.25">
      <c r="A10" s="86"/>
      <c r="B10" s="86"/>
      <c r="C10" s="76">
        <v>6</v>
      </c>
      <c r="D10" s="363" t="s">
        <v>869</v>
      </c>
      <c r="E10" s="92">
        <v>2082.31</v>
      </c>
      <c r="F10" s="278"/>
      <c r="H10" s="18"/>
      <c r="J10" s="367"/>
      <c r="L10" s="14"/>
    </row>
    <row r="11" spans="1:14" x14ac:dyDescent="0.25">
      <c r="A11" s="86"/>
      <c r="B11" s="86"/>
      <c r="C11" s="76">
        <v>7</v>
      </c>
      <c r="D11" s="363" t="s">
        <v>870</v>
      </c>
      <c r="E11" s="368">
        <v>0.4</v>
      </c>
      <c r="F11" s="278"/>
      <c r="H11" s="18"/>
      <c r="J11" s="369"/>
      <c r="L11" s="14"/>
    </row>
    <row r="12" spans="1:14" x14ac:dyDescent="0.25">
      <c r="A12" s="86"/>
      <c r="B12" s="86"/>
      <c r="C12" s="76">
        <v>8</v>
      </c>
      <c r="D12" s="363" t="s">
        <v>871</v>
      </c>
      <c r="E12" s="92">
        <v>27.15</v>
      </c>
      <c r="F12" s="278"/>
      <c r="H12" s="18"/>
      <c r="J12" s="367"/>
      <c r="L12" s="14"/>
    </row>
    <row r="13" spans="1:14" x14ac:dyDescent="0.25">
      <c r="A13" s="86"/>
      <c r="B13" s="86"/>
      <c r="C13" s="76">
        <v>9</v>
      </c>
      <c r="D13" s="363" t="s">
        <v>122</v>
      </c>
      <c r="E13" s="92">
        <v>25.52</v>
      </c>
      <c r="F13" s="278"/>
      <c r="H13" s="18"/>
      <c r="J13" s="367"/>
      <c r="L13" s="14"/>
    </row>
    <row r="14" spans="1:14" x14ac:dyDescent="0.25">
      <c r="A14" s="86"/>
      <c r="B14" s="86"/>
      <c r="C14" s="76">
        <v>10</v>
      </c>
      <c r="D14" s="71" t="s">
        <v>153</v>
      </c>
      <c r="E14" s="92">
        <v>80</v>
      </c>
      <c r="F14" s="370"/>
      <c r="H14" s="18"/>
      <c r="J14" s="367"/>
      <c r="L14" s="14"/>
      <c r="N14" s="14"/>
    </row>
    <row r="15" spans="1:14" x14ac:dyDescent="0.25">
      <c r="A15" s="86"/>
      <c r="B15" s="86"/>
      <c r="C15" s="86"/>
      <c r="D15" s="86"/>
      <c r="E15" s="252"/>
      <c r="F15" s="278"/>
      <c r="N15" s="14"/>
    </row>
    <row r="16" spans="1:14" x14ac:dyDescent="0.25">
      <c r="A16" s="86"/>
      <c r="B16" s="86"/>
      <c r="C16" s="72" t="s">
        <v>9</v>
      </c>
      <c r="D16" s="362" t="s">
        <v>872</v>
      </c>
      <c r="E16" s="72"/>
      <c r="F16" s="278"/>
      <c r="J16" s="120"/>
    </row>
    <row r="17" spans="1:10" x14ac:dyDescent="0.25">
      <c r="A17" s="86"/>
      <c r="B17" s="86"/>
      <c r="C17" s="77">
        <v>1</v>
      </c>
      <c r="D17" s="96" t="s">
        <v>861</v>
      </c>
      <c r="E17" s="77" t="s">
        <v>873</v>
      </c>
      <c r="F17" s="1"/>
      <c r="H17" s="1"/>
      <c r="J17" s="1"/>
    </row>
    <row r="18" spans="1:10" x14ac:dyDescent="0.25">
      <c r="A18" s="86"/>
      <c r="B18" s="86"/>
      <c r="C18" s="77">
        <v>2</v>
      </c>
      <c r="D18" s="96" t="s">
        <v>863</v>
      </c>
      <c r="E18" s="77" t="s">
        <v>874</v>
      </c>
      <c r="F18" s="278"/>
      <c r="H18" s="1"/>
      <c r="J18" s="1"/>
    </row>
    <row r="19" spans="1:10" x14ac:dyDescent="0.25">
      <c r="A19" s="86"/>
      <c r="B19" s="86"/>
      <c r="C19" s="77">
        <v>3</v>
      </c>
      <c r="D19" s="96" t="s">
        <v>865</v>
      </c>
      <c r="E19" s="77">
        <v>2025</v>
      </c>
      <c r="F19" s="278"/>
      <c r="H19" s="1"/>
      <c r="J19" s="1"/>
    </row>
    <row r="20" spans="1:10" x14ac:dyDescent="0.25">
      <c r="A20" s="86"/>
      <c r="B20" s="86"/>
      <c r="C20" s="77">
        <v>4</v>
      </c>
      <c r="D20" s="96" t="s">
        <v>866</v>
      </c>
      <c r="E20" s="4" t="s">
        <v>875</v>
      </c>
      <c r="F20" s="278"/>
      <c r="H20" s="1"/>
    </row>
    <row r="21" spans="1:10" x14ac:dyDescent="0.25">
      <c r="A21" s="86"/>
      <c r="B21" s="86"/>
      <c r="C21" s="77">
        <v>5</v>
      </c>
      <c r="D21" s="96" t="s">
        <v>868</v>
      </c>
      <c r="E21" s="365">
        <v>46143</v>
      </c>
      <c r="F21" s="278"/>
      <c r="H21" s="1"/>
      <c r="J21" s="371"/>
    </row>
    <row r="22" spans="1:10" x14ac:dyDescent="0.25">
      <c r="A22" s="86"/>
      <c r="B22" s="86"/>
      <c r="C22" s="77">
        <v>6</v>
      </c>
      <c r="D22" s="96" t="s">
        <v>869</v>
      </c>
      <c r="E22" s="92">
        <v>2517.0700000000002</v>
      </c>
      <c r="F22" s="1"/>
      <c r="H22" s="23"/>
      <c r="I22" s="120"/>
      <c r="J22" s="367"/>
    </row>
    <row r="23" spans="1:10" x14ac:dyDescent="0.25">
      <c r="A23" s="86"/>
      <c r="B23" s="86"/>
      <c r="C23" s="77">
        <v>7</v>
      </c>
      <c r="D23" s="96" t="s">
        <v>876</v>
      </c>
      <c r="E23" s="368">
        <v>0.4</v>
      </c>
      <c r="F23" s="278"/>
      <c r="H23" s="1"/>
      <c r="J23" s="369"/>
    </row>
    <row r="24" spans="1:10" ht="15" customHeight="1" x14ac:dyDescent="0.25">
      <c r="A24" s="86"/>
      <c r="B24" s="86"/>
      <c r="C24" s="77">
        <v>8</v>
      </c>
      <c r="D24" s="96" t="s">
        <v>877</v>
      </c>
      <c r="E24" s="368">
        <v>0.4</v>
      </c>
      <c r="F24" s="278"/>
      <c r="H24" s="1"/>
      <c r="J24" s="367"/>
    </row>
    <row r="25" spans="1:10" ht="17.25" x14ac:dyDescent="0.25">
      <c r="A25" s="86"/>
      <c r="B25" s="86"/>
      <c r="C25" s="77">
        <v>9</v>
      </c>
      <c r="D25" s="96" t="s">
        <v>878</v>
      </c>
      <c r="E25" s="92">
        <v>27.15</v>
      </c>
      <c r="F25" s="278"/>
      <c r="H25" s="1"/>
      <c r="J25" s="367"/>
    </row>
    <row r="26" spans="1:10" x14ac:dyDescent="0.25">
      <c r="A26" s="86"/>
      <c r="B26" s="86"/>
      <c r="C26" s="77">
        <v>10</v>
      </c>
      <c r="D26" s="5" t="s">
        <v>879</v>
      </c>
      <c r="E26" s="267">
        <v>121.34</v>
      </c>
      <c r="F26" s="370"/>
    </row>
    <row r="27" spans="1:10" x14ac:dyDescent="0.25">
      <c r="A27" s="86"/>
      <c r="B27" s="86"/>
      <c r="C27" s="86"/>
      <c r="D27" s="86"/>
      <c r="E27" s="252"/>
      <c r="F27" s="278"/>
      <c r="H27" s="23"/>
      <c r="I27" s="120"/>
      <c r="J27" s="120"/>
    </row>
    <row r="28" spans="1:10" x14ac:dyDescent="0.25">
      <c r="A28" s="86"/>
      <c r="B28" s="86"/>
      <c r="C28" s="72" t="s">
        <v>12</v>
      </c>
      <c r="D28" s="362" t="s">
        <v>880</v>
      </c>
      <c r="E28" s="72"/>
      <c r="F28" s="278"/>
      <c r="H28" s="1"/>
      <c r="J28" s="1"/>
    </row>
    <row r="29" spans="1:10" x14ac:dyDescent="0.25">
      <c r="A29" s="86"/>
      <c r="B29" s="86"/>
      <c r="C29" s="77">
        <v>1</v>
      </c>
      <c r="D29" s="96" t="s">
        <v>861</v>
      </c>
      <c r="E29" s="77" t="s">
        <v>881</v>
      </c>
      <c r="F29" s="278"/>
      <c r="H29" s="1"/>
      <c r="J29" s="1"/>
    </row>
    <row r="30" spans="1:10" x14ac:dyDescent="0.25">
      <c r="A30" s="86"/>
      <c r="B30" s="86"/>
      <c r="C30" s="77">
        <v>2</v>
      </c>
      <c r="D30" s="96" t="s">
        <v>863</v>
      </c>
      <c r="E30" s="77" t="s">
        <v>882</v>
      </c>
      <c r="F30" s="278"/>
      <c r="H30" s="1"/>
      <c r="J30" s="1"/>
    </row>
    <row r="31" spans="1:10" x14ac:dyDescent="0.25">
      <c r="A31" s="86"/>
      <c r="B31" s="86"/>
      <c r="C31" s="77">
        <v>3</v>
      </c>
      <c r="D31" s="96" t="s">
        <v>865</v>
      </c>
      <c r="E31" s="77">
        <v>2025</v>
      </c>
      <c r="F31" s="278"/>
      <c r="H31" s="1"/>
    </row>
    <row r="32" spans="1:10" x14ac:dyDescent="0.25">
      <c r="A32" s="86"/>
      <c r="B32" s="86"/>
      <c r="C32" s="77">
        <v>4</v>
      </c>
      <c r="D32" s="96" t="s">
        <v>866</v>
      </c>
      <c r="E32" s="77" t="s">
        <v>883</v>
      </c>
      <c r="F32" s="278"/>
      <c r="H32" s="1"/>
      <c r="J32" s="366"/>
    </row>
    <row r="33" spans="1:10" x14ac:dyDescent="0.25">
      <c r="A33" s="86"/>
      <c r="B33" s="86"/>
      <c r="C33" s="77">
        <v>5</v>
      </c>
      <c r="D33" s="96" t="s">
        <v>868</v>
      </c>
      <c r="E33" s="365">
        <v>45778</v>
      </c>
      <c r="F33" s="278"/>
      <c r="H33" s="1"/>
      <c r="J33" s="367"/>
    </row>
    <row r="34" spans="1:10" ht="15" customHeight="1" x14ac:dyDescent="0.25">
      <c r="A34" s="86"/>
      <c r="B34" s="86"/>
      <c r="C34" s="77">
        <v>6</v>
      </c>
      <c r="D34" s="96" t="s">
        <v>884</v>
      </c>
      <c r="E34" s="92">
        <v>2127.1999999999998</v>
      </c>
      <c r="F34" s="278"/>
      <c r="H34" s="1"/>
      <c r="J34" s="369"/>
    </row>
    <row r="35" spans="1:10" x14ac:dyDescent="0.25">
      <c r="A35" s="86"/>
      <c r="B35" s="86"/>
      <c r="C35" s="77">
        <v>7</v>
      </c>
      <c r="D35" s="96" t="s">
        <v>885</v>
      </c>
      <c r="E35" s="368">
        <v>0.4</v>
      </c>
      <c r="F35" s="278"/>
      <c r="H35" s="18"/>
      <c r="J35" s="367"/>
    </row>
    <row r="36" spans="1:10" ht="17.25" x14ac:dyDescent="0.25">
      <c r="A36" s="86"/>
      <c r="B36" s="86"/>
      <c r="C36" s="77">
        <v>8</v>
      </c>
      <c r="D36" s="96" t="s">
        <v>878</v>
      </c>
      <c r="E36" s="92">
        <v>27.15</v>
      </c>
      <c r="F36" s="278"/>
      <c r="H36" s="18"/>
      <c r="J36" s="367"/>
    </row>
    <row r="37" spans="1:10" x14ac:dyDescent="0.25">
      <c r="A37" s="86"/>
      <c r="B37" s="86"/>
      <c r="C37" s="77">
        <v>9</v>
      </c>
      <c r="D37" s="71" t="s">
        <v>122</v>
      </c>
      <c r="E37" s="92">
        <v>25.52</v>
      </c>
      <c r="F37" s="370"/>
      <c r="H37" s="18"/>
      <c r="J37" s="367"/>
    </row>
    <row r="38" spans="1:10" x14ac:dyDescent="0.25">
      <c r="A38" s="86"/>
      <c r="B38" s="86"/>
      <c r="C38" s="86"/>
      <c r="D38" s="86"/>
      <c r="E38" s="252"/>
      <c r="F38" s="278"/>
    </row>
    <row r="39" spans="1:10" x14ac:dyDescent="0.25">
      <c r="A39" s="86"/>
      <c r="B39" s="86"/>
      <c r="C39" s="72" t="s">
        <v>15</v>
      </c>
      <c r="D39" s="362" t="s">
        <v>886</v>
      </c>
      <c r="E39" s="72"/>
      <c r="F39" s="278"/>
      <c r="H39" s="23"/>
      <c r="I39" s="120"/>
      <c r="J39" s="120"/>
    </row>
    <row r="40" spans="1:10" x14ac:dyDescent="0.25">
      <c r="A40" s="86"/>
      <c r="B40" s="86"/>
      <c r="C40" s="77">
        <v>1</v>
      </c>
      <c r="D40" s="96" t="s">
        <v>861</v>
      </c>
      <c r="E40" s="77" t="s">
        <v>881</v>
      </c>
      <c r="F40" s="278"/>
      <c r="H40" s="1"/>
      <c r="J40" s="1"/>
    </row>
    <row r="41" spans="1:10" x14ac:dyDescent="0.25">
      <c r="A41" s="86"/>
      <c r="B41" s="86"/>
      <c r="C41" s="77">
        <v>2</v>
      </c>
      <c r="D41" s="96" t="s">
        <v>863</v>
      </c>
      <c r="E41" s="77" t="s">
        <v>882</v>
      </c>
      <c r="F41" s="278"/>
      <c r="H41" s="1"/>
      <c r="J41" s="1"/>
    </row>
    <row r="42" spans="1:10" x14ac:dyDescent="0.25">
      <c r="A42" s="86"/>
      <c r="B42" s="86"/>
      <c r="C42" s="77">
        <v>3</v>
      </c>
      <c r="D42" s="96" t="s">
        <v>865</v>
      </c>
      <c r="E42" s="77">
        <v>2025</v>
      </c>
      <c r="F42" s="278"/>
      <c r="H42" s="1"/>
      <c r="J42" s="1"/>
    </row>
    <row r="43" spans="1:10" x14ac:dyDescent="0.25">
      <c r="A43" s="86"/>
      <c r="B43" s="86"/>
      <c r="C43" s="77">
        <v>4</v>
      </c>
      <c r="D43" s="96" t="s">
        <v>866</v>
      </c>
      <c r="E43" s="77" t="s">
        <v>883</v>
      </c>
      <c r="F43" s="278"/>
      <c r="H43" s="1"/>
    </row>
    <row r="44" spans="1:10" ht="15" customHeight="1" x14ac:dyDescent="0.25">
      <c r="A44" s="86"/>
      <c r="B44" s="86"/>
      <c r="C44" s="77">
        <v>5</v>
      </c>
      <c r="D44" s="96" t="s">
        <v>868</v>
      </c>
      <c r="E44" s="365">
        <v>45778</v>
      </c>
      <c r="F44" s="278"/>
      <c r="H44" s="1"/>
      <c r="J44" s="366"/>
    </row>
    <row r="45" spans="1:10" x14ac:dyDescent="0.25">
      <c r="A45" s="86"/>
      <c r="B45" s="86"/>
      <c r="C45" s="77">
        <v>6</v>
      </c>
      <c r="D45" s="96" t="s">
        <v>884</v>
      </c>
      <c r="E45" s="92">
        <v>1896.36</v>
      </c>
      <c r="F45" s="278"/>
      <c r="H45" s="1"/>
      <c r="J45" s="367"/>
    </row>
    <row r="46" spans="1:10" x14ac:dyDescent="0.25">
      <c r="A46" s="86"/>
      <c r="B46" s="86"/>
      <c r="C46" s="77">
        <v>7</v>
      </c>
      <c r="D46" s="96" t="s">
        <v>885</v>
      </c>
      <c r="E46" s="368">
        <v>0.4</v>
      </c>
      <c r="F46" s="278"/>
      <c r="H46" s="1"/>
      <c r="J46" s="369"/>
    </row>
    <row r="47" spans="1:10" ht="17.25" x14ac:dyDescent="0.25">
      <c r="A47" s="86"/>
      <c r="B47" s="86"/>
      <c r="C47" s="77">
        <v>8</v>
      </c>
      <c r="D47" s="96" t="s">
        <v>878</v>
      </c>
      <c r="E47" s="92">
        <v>27.15</v>
      </c>
      <c r="F47" s="278"/>
      <c r="H47" s="18"/>
      <c r="J47" s="367"/>
    </row>
    <row r="48" spans="1:10" x14ac:dyDescent="0.25">
      <c r="A48" s="86"/>
      <c r="B48" s="86"/>
      <c r="C48" s="77">
        <v>9</v>
      </c>
      <c r="D48" s="71" t="s">
        <v>122</v>
      </c>
      <c r="E48" s="92">
        <v>25.52</v>
      </c>
      <c r="F48" s="278"/>
      <c r="H48" s="18"/>
      <c r="J48" s="367"/>
    </row>
    <row r="49" spans="1:10" x14ac:dyDescent="0.25">
      <c r="A49" s="86"/>
      <c r="B49" s="86"/>
      <c r="C49" s="86"/>
      <c r="D49" s="86"/>
      <c r="E49" s="252"/>
      <c r="F49" s="278"/>
      <c r="H49" s="18"/>
      <c r="J49" s="367"/>
    </row>
    <row r="50" spans="1:10" x14ac:dyDescent="0.25">
      <c r="A50" s="86"/>
      <c r="B50" s="86"/>
      <c r="C50" s="72" t="s">
        <v>17</v>
      </c>
      <c r="D50" s="362" t="s">
        <v>887</v>
      </c>
      <c r="E50" s="72"/>
      <c r="F50" s="278"/>
    </row>
    <row r="51" spans="1:10" x14ac:dyDescent="0.25">
      <c r="A51" s="86"/>
      <c r="B51" s="86"/>
      <c r="C51" s="77">
        <v>1</v>
      </c>
      <c r="D51" s="96" t="s">
        <v>861</v>
      </c>
      <c r="E51" s="77" t="s">
        <v>888</v>
      </c>
      <c r="F51" s="278"/>
      <c r="H51" s="23"/>
      <c r="I51" s="120"/>
      <c r="J51" s="120"/>
    </row>
    <row r="52" spans="1:10" x14ac:dyDescent="0.25">
      <c r="A52" s="86"/>
      <c r="B52" s="86"/>
      <c r="C52" s="77">
        <v>2</v>
      </c>
      <c r="D52" s="96" t="s">
        <v>863</v>
      </c>
      <c r="E52" s="77" t="s">
        <v>864</v>
      </c>
      <c r="F52" s="278"/>
      <c r="H52" s="1"/>
      <c r="J52" s="1"/>
    </row>
    <row r="53" spans="1:10" x14ac:dyDescent="0.25">
      <c r="A53" s="86"/>
      <c r="B53" s="86"/>
      <c r="C53" s="77">
        <v>3</v>
      </c>
      <c r="D53" s="96" t="s">
        <v>865</v>
      </c>
      <c r="E53" s="77">
        <v>2026</v>
      </c>
      <c r="F53" s="278"/>
      <c r="H53" s="1"/>
      <c r="J53" s="1"/>
    </row>
    <row r="54" spans="1:10" ht="15" customHeight="1" x14ac:dyDescent="0.25">
      <c r="A54" s="86"/>
      <c r="B54" s="86"/>
      <c r="C54" s="77">
        <v>4</v>
      </c>
      <c r="D54" s="96" t="s">
        <v>866</v>
      </c>
      <c r="E54" s="364" t="s">
        <v>867</v>
      </c>
      <c r="F54" s="278"/>
      <c r="H54" s="1"/>
      <c r="J54" s="1"/>
    </row>
    <row r="55" spans="1:10" x14ac:dyDescent="0.25">
      <c r="A55" s="86"/>
      <c r="B55" s="86"/>
      <c r="C55" s="77">
        <v>5</v>
      </c>
      <c r="D55" s="96" t="s">
        <v>868</v>
      </c>
      <c r="E55" s="365">
        <v>46023</v>
      </c>
      <c r="F55" s="278"/>
      <c r="H55" s="1"/>
    </row>
    <row r="56" spans="1:10" x14ac:dyDescent="0.25">
      <c r="A56" s="86"/>
      <c r="B56" s="86"/>
      <c r="C56" s="77">
        <v>6</v>
      </c>
      <c r="D56" s="96" t="s">
        <v>869</v>
      </c>
      <c r="E56" s="92">
        <v>2307.83</v>
      </c>
      <c r="F56" s="278"/>
      <c r="H56" s="1"/>
      <c r="J56" s="366"/>
    </row>
    <row r="57" spans="1:10" x14ac:dyDescent="0.25">
      <c r="A57" s="86"/>
      <c r="B57" s="86"/>
      <c r="C57" s="77">
        <v>7</v>
      </c>
      <c r="D57" s="96" t="s">
        <v>889</v>
      </c>
      <c r="E57" s="92">
        <v>27.15</v>
      </c>
      <c r="F57" s="278"/>
      <c r="H57" s="1"/>
      <c r="J57" s="367"/>
    </row>
    <row r="58" spans="1:10" x14ac:dyDescent="0.25">
      <c r="A58" s="86"/>
      <c r="B58" s="86"/>
      <c r="C58" s="77">
        <v>8</v>
      </c>
      <c r="D58" s="363" t="s">
        <v>122</v>
      </c>
      <c r="E58" s="92">
        <v>25.52</v>
      </c>
      <c r="F58" s="278"/>
      <c r="H58" s="1"/>
      <c r="J58" s="367"/>
    </row>
    <row r="59" spans="1:10" x14ac:dyDescent="0.25">
      <c r="A59" s="86"/>
      <c r="B59" s="86"/>
      <c r="C59" s="76">
        <v>9</v>
      </c>
      <c r="D59" s="71" t="s">
        <v>153</v>
      </c>
      <c r="E59" s="92">
        <v>80</v>
      </c>
      <c r="F59" s="278"/>
      <c r="H59" s="1"/>
      <c r="J59" s="367"/>
    </row>
    <row r="60" spans="1:10" x14ac:dyDescent="0.25">
      <c r="A60" s="86"/>
      <c r="B60" s="86"/>
      <c r="C60" s="86"/>
      <c r="D60" s="86"/>
      <c r="E60" s="252"/>
      <c r="F60" s="278"/>
      <c r="H60" s="18"/>
      <c r="J60" s="367"/>
    </row>
    <row r="61" spans="1:10" x14ac:dyDescent="0.25">
      <c r="A61" s="86"/>
      <c r="B61" s="86"/>
      <c r="C61" s="72" t="s">
        <v>890</v>
      </c>
      <c r="D61" s="362" t="s">
        <v>891</v>
      </c>
      <c r="E61" s="72"/>
      <c r="F61" s="278"/>
    </row>
    <row r="62" spans="1:10" x14ac:dyDescent="0.25">
      <c r="A62" s="86"/>
      <c r="B62" s="86"/>
      <c r="C62" s="77">
        <v>1</v>
      </c>
      <c r="D62" s="96" t="s">
        <v>861</v>
      </c>
      <c r="E62" s="77">
        <v>5143</v>
      </c>
      <c r="F62" s="278"/>
      <c r="H62" s="23"/>
      <c r="I62" s="186"/>
      <c r="J62" s="120"/>
    </row>
    <row r="63" spans="1:10" x14ac:dyDescent="0.25">
      <c r="A63" s="86"/>
      <c r="B63" s="86"/>
      <c r="C63" s="77">
        <v>2</v>
      </c>
      <c r="D63" s="363" t="s">
        <v>863</v>
      </c>
      <c r="E63" s="77" t="s">
        <v>864</v>
      </c>
      <c r="F63" s="278"/>
      <c r="H63" s="1"/>
      <c r="J63" s="1"/>
    </row>
    <row r="64" spans="1:10" x14ac:dyDescent="0.25">
      <c r="A64" s="86"/>
      <c r="B64" s="86"/>
      <c r="C64" s="77">
        <v>3</v>
      </c>
      <c r="D64" s="363" t="s">
        <v>865</v>
      </c>
      <c r="E64" s="77">
        <v>2026</v>
      </c>
      <c r="F64" s="278"/>
      <c r="H64" s="1"/>
      <c r="J64" s="1"/>
    </row>
    <row r="65" spans="1:10" ht="15" customHeight="1" x14ac:dyDescent="0.25">
      <c r="A65" s="86"/>
      <c r="B65" s="86"/>
      <c r="C65" s="77">
        <v>4</v>
      </c>
      <c r="D65" s="363" t="s">
        <v>866</v>
      </c>
      <c r="E65" s="364" t="s">
        <v>867</v>
      </c>
      <c r="F65" s="278"/>
      <c r="H65" s="1"/>
      <c r="J65" s="1"/>
    </row>
    <row r="66" spans="1:10" x14ac:dyDescent="0.25">
      <c r="A66" s="86"/>
      <c r="B66" s="86"/>
      <c r="C66" s="77">
        <v>5</v>
      </c>
      <c r="D66" s="363" t="s">
        <v>868</v>
      </c>
      <c r="E66" s="365">
        <v>46023</v>
      </c>
      <c r="F66" s="278"/>
      <c r="H66" s="1"/>
    </row>
    <row r="67" spans="1:10" x14ac:dyDescent="0.25">
      <c r="A67" s="86"/>
      <c r="B67" s="86"/>
      <c r="C67" s="77">
        <v>6</v>
      </c>
      <c r="D67" s="363" t="s">
        <v>869</v>
      </c>
      <c r="E67" s="92">
        <v>1765.86</v>
      </c>
      <c r="F67" s="278"/>
      <c r="H67" s="1"/>
      <c r="J67" s="366"/>
    </row>
    <row r="68" spans="1:10" x14ac:dyDescent="0.25">
      <c r="A68" s="86"/>
      <c r="B68" s="86"/>
      <c r="C68" s="77">
        <v>7</v>
      </c>
      <c r="D68" s="363" t="s">
        <v>870</v>
      </c>
      <c r="E68" s="368">
        <v>0.4</v>
      </c>
      <c r="F68" s="278"/>
      <c r="H68" s="1"/>
      <c r="J68" s="367"/>
    </row>
    <row r="69" spans="1:10" x14ac:dyDescent="0.25">
      <c r="A69" s="86"/>
      <c r="B69" s="86"/>
      <c r="C69" s="77">
        <v>8</v>
      </c>
      <c r="D69" s="363" t="s">
        <v>889</v>
      </c>
      <c r="E69" s="92">
        <v>27.15</v>
      </c>
      <c r="F69" s="278"/>
      <c r="H69" s="1"/>
      <c r="J69" s="369"/>
    </row>
    <row r="70" spans="1:10" x14ac:dyDescent="0.25">
      <c r="A70" s="86"/>
      <c r="B70" s="86"/>
      <c r="C70" s="77">
        <v>9</v>
      </c>
      <c r="D70" s="363" t="s">
        <v>122</v>
      </c>
      <c r="E70" s="92">
        <v>25.52</v>
      </c>
      <c r="F70" s="278"/>
      <c r="H70" s="1"/>
      <c r="J70" s="367"/>
    </row>
    <row r="71" spans="1:10" x14ac:dyDescent="0.25">
      <c r="A71" s="86"/>
      <c r="B71" s="86"/>
      <c r="C71" s="76">
        <v>10</v>
      </c>
      <c r="D71" s="71" t="s">
        <v>153</v>
      </c>
      <c r="E71" s="92">
        <v>80</v>
      </c>
      <c r="F71" s="278"/>
      <c r="H71" s="1"/>
      <c r="J71" s="367"/>
    </row>
    <row r="72" spans="1:10" x14ac:dyDescent="0.25">
      <c r="A72" s="86"/>
      <c r="B72" s="86"/>
      <c r="C72" s="86"/>
      <c r="D72" s="86"/>
      <c r="E72" s="252"/>
      <c r="F72" s="278"/>
      <c r="H72" s="18"/>
      <c r="J72" s="367"/>
    </row>
    <row r="73" spans="1:10" x14ac:dyDescent="0.25">
      <c r="A73" s="86"/>
      <c r="B73" s="86"/>
      <c r="C73" s="72" t="s">
        <v>892</v>
      </c>
      <c r="D73" s="362" t="s">
        <v>893</v>
      </c>
      <c r="E73" s="72"/>
      <c r="F73" s="278"/>
    </row>
    <row r="74" spans="1:10" x14ac:dyDescent="0.25">
      <c r="A74" s="86"/>
      <c r="B74" s="86"/>
      <c r="C74" s="77">
        <v>1</v>
      </c>
      <c r="D74" s="96" t="s">
        <v>861</v>
      </c>
      <c r="E74" s="77" t="s">
        <v>894</v>
      </c>
      <c r="F74" s="278"/>
      <c r="H74" s="23"/>
      <c r="I74" s="186"/>
      <c r="J74" s="120"/>
    </row>
    <row r="75" spans="1:10" x14ac:dyDescent="0.25">
      <c r="A75" s="86"/>
      <c r="B75" s="86"/>
      <c r="C75" s="77">
        <v>2</v>
      </c>
      <c r="D75" s="363" t="s">
        <v>863</v>
      </c>
      <c r="E75" s="77" t="s">
        <v>864</v>
      </c>
      <c r="F75" s="278"/>
      <c r="H75" s="1"/>
      <c r="J75" s="1"/>
    </row>
    <row r="76" spans="1:10" ht="15" customHeight="1" x14ac:dyDescent="0.25">
      <c r="A76" s="86"/>
      <c r="B76" s="86"/>
      <c r="C76" s="77">
        <v>3</v>
      </c>
      <c r="D76" s="363" t="s">
        <v>865</v>
      </c>
      <c r="E76" s="77">
        <v>2026</v>
      </c>
      <c r="F76" s="278"/>
      <c r="H76" s="1"/>
      <c r="J76" s="1"/>
    </row>
    <row r="77" spans="1:10" x14ac:dyDescent="0.25">
      <c r="A77" s="86"/>
      <c r="B77" s="86"/>
      <c r="C77" s="77">
        <v>4</v>
      </c>
      <c r="D77" s="363" t="s">
        <v>866</v>
      </c>
      <c r="E77" s="364" t="s">
        <v>867</v>
      </c>
      <c r="F77" s="278"/>
      <c r="H77" s="1"/>
      <c r="J77" s="1"/>
    </row>
    <row r="78" spans="1:10" x14ac:dyDescent="0.25">
      <c r="A78" s="86"/>
      <c r="B78" s="86"/>
      <c r="C78" s="77">
        <v>5</v>
      </c>
      <c r="D78" s="363" t="s">
        <v>868</v>
      </c>
      <c r="E78" s="365">
        <v>46023</v>
      </c>
      <c r="F78" s="278"/>
      <c r="H78" s="1"/>
    </row>
    <row r="79" spans="1:10" x14ac:dyDescent="0.25">
      <c r="A79" s="86"/>
      <c r="B79" s="86"/>
      <c r="C79" s="77">
        <v>6</v>
      </c>
      <c r="D79" s="363" t="s">
        <v>869</v>
      </c>
      <c r="E79" s="92">
        <v>1765.86</v>
      </c>
      <c r="F79" s="278"/>
      <c r="H79" s="1"/>
      <c r="J79" s="366"/>
    </row>
    <row r="80" spans="1:10" x14ac:dyDescent="0.25">
      <c r="A80" s="86"/>
      <c r="B80" s="86"/>
      <c r="C80" s="77">
        <v>7</v>
      </c>
      <c r="D80" s="363" t="s">
        <v>895</v>
      </c>
      <c r="E80" s="368">
        <v>0.4</v>
      </c>
      <c r="F80" s="278"/>
      <c r="H80" s="1"/>
      <c r="J80" s="372"/>
    </row>
    <row r="81" spans="1:10" x14ac:dyDescent="0.25">
      <c r="A81" s="86"/>
      <c r="B81" s="86"/>
      <c r="C81" s="77">
        <v>8</v>
      </c>
      <c r="D81" s="363" t="s">
        <v>871</v>
      </c>
      <c r="E81" s="92">
        <v>27.15</v>
      </c>
      <c r="F81" s="278"/>
      <c r="H81" s="1"/>
      <c r="J81" s="369"/>
    </row>
    <row r="82" spans="1:10" x14ac:dyDescent="0.25">
      <c r="A82" s="86"/>
      <c r="B82" s="86"/>
      <c r="C82" s="77">
        <v>9</v>
      </c>
      <c r="D82" s="363" t="s">
        <v>896</v>
      </c>
      <c r="E82" s="92">
        <v>25.52</v>
      </c>
      <c r="F82" s="278"/>
      <c r="H82" s="1"/>
      <c r="J82" s="367"/>
    </row>
    <row r="83" spans="1:10" x14ac:dyDescent="0.25">
      <c r="A83" s="86"/>
      <c r="B83" s="86"/>
      <c r="C83" s="76">
        <v>10</v>
      </c>
      <c r="D83" s="71" t="s">
        <v>153</v>
      </c>
      <c r="E83" s="92">
        <v>80</v>
      </c>
      <c r="F83" s="278"/>
      <c r="H83" s="1"/>
      <c r="J83" s="367"/>
    </row>
    <row r="84" spans="1:10" x14ac:dyDescent="0.25">
      <c r="A84" s="86"/>
      <c r="B84" s="86"/>
      <c r="C84" s="86"/>
      <c r="D84" s="86"/>
      <c r="E84" s="252"/>
      <c r="F84" s="278"/>
      <c r="H84" s="18"/>
      <c r="J84" s="367"/>
    </row>
    <row r="85" spans="1:10" x14ac:dyDescent="0.25">
      <c r="A85" s="86"/>
      <c r="B85" s="86"/>
      <c r="C85" s="72" t="s">
        <v>897</v>
      </c>
      <c r="D85" s="362" t="s">
        <v>898</v>
      </c>
      <c r="E85" s="72"/>
      <c r="F85" s="278"/>
    </row>
    <row r="86" spans="1:10" ht="15" customHeight="1" x14ac:dyDescent="0.25">
      <c r="A86" s="86"/>
      <c r="B86" s="86"/>
      <c r="C86" s="77">
        <v>1</v>
      </c>
      <c r="D86" s="96" t="s">
        <v>861</v>
      </c>
      <c r="E86" s="77" t="s">
        <v>899</v>
      </c>
      <c r="F86" s="278"/>
      <c r="H86" s="23"/>
      <c r="I86" s="120"/>
      <c r="J86" s="120"/>
    </row>
    <row r="87" spans="1:10" x14ac:dyDescent="0.25">
      <c r="A87" s="86"/>
      <c r="B87" s="86"/>
      <c r="C87" s="77">
        <v>2</v>
      </c>
      <c r="D87" s="363" t="s">
        <v>863</v>
      </c>
      <c r="E87" s="77" t="s">
        <v>864</v>
      </c>
      <c r="F87" s="278"/>
      <c r="H87" s="1"/>
      <c r="J87" s="1"/>
    </row>
    <row r="88" spans="1:10" x14ac:dyDescent="0.25">
      <c r="A88" s="86"/>
      <c r="B88" s="86"/>
      <c r="C88" s="77">
        <v>3</v>
      </c>
      <c r="D88" s="363" t="s">
        <v>865</v>
      </c>
      <c r="E88" s="77">
        <v>2026</v>
      </c>
      <c r="F88" s="278"/>
      <c r="H88" s="1"/>
      <c r="J88" s="1"/>
    </row>
    <row r="89" spans="1:10" x14ac:dyDescent="0.25">
      <c r="A89" s="86"/>
      <c r="B89" s="86"/>
      <c r="C89" s="77">
        <v>4</v>
      </c>
      <c r="D89" s="363" t="s">
        <v>866</v>
      </c>
      <c r="E89" s="364" t="s">
        <v>867</v>
      </c>
      <c r="F89" s="278"/>
      <c r="H89" s="1"/>
      <c r="J89" s="1"/>
    </row>
    <row r="90" spans="1:10" x14ac:dyDescent="0.25">
      <c r="A90" s="86"/>
      <c r="B90" s="86"/>
      <c r="C90" s="77">
        <v>5</v>
      </c>
      <c r="D90" s="363" t="s">
        <v>868</v>
      </c>
      <c r="E90" s="365">
        <v>46023</v>
      </c>
      <c r="F90" s="278"/>
      <c r="H90" s="1"/>
    </row>
    <row r="91" spans="1:10" x14ac:dyDescent="0.25">
      <c r="A91" s="86"/>
      <c r="B91" s="86"/>
      <c r="C91" s="77">
        <v>6</v>
      </c>
      <c r="D91" s="363" t="s">
        <v>869</v>
      </c>
      <c r="E91" s="92">
        <v>2126.25</v>
      </c>
      <c r="F91" s="278"/>
      <c r="H91" s="1"/>
      <c r="J91" s="366"/>
    </row>
    <row r="92" spans="1:10" x14ac:dyDescent="0.25">
      <c r="A92" s="86"/>
      <c r="B92" s="86"/>
      <c r="C92" s="77">
        <v>7</v>
      </c>
      <c r="D92" s="363" t="s">
        <v>889</v>
      </c>
      <c r="E92" s="92">
        <v>27.15</v>
      </c>
      <c r="F92" s="278"/>
      <c r="H92" s="1"/>
      <c r="J92" s="367"/>
    </row>
    <row r="93" spans="1:10" x14ac:dyDescent="0.25">
      <c r="A93" s="86"/>
      <c r="B93" s="86"/>
      <c r="C93" s="77">
        <v>8</v>
      </c>
      <c r="D93" s="363" t="s">
        <v>122</v>
      </c>
      <c r="E93" s="92">
        <v>25.52</v>
      </c>
      <c r="F93" s="278"/>
      <c r="H93" s="1"/>
      <c r="J93" s="367"/>
    </row>
    <row r="94" spans="1:10" x14ac:dyDescent="0.25">
      <c r="A94" s="86"/>
      <c r="B94" s="86"/>
      <c r="C94" s="76">
        <v>9</v>
      </c>
      <c r="D94" s="71" t="s">
        <v>153</v>
      </c>
      <c r="E94" s="92">
        <v>80</v>
      </c>
      <c r="F94" s="278"/>
      <c r="H94" s="1"/>
      <c r="J94" s="367"/>
    </row>
    <row r="95" spans="1:10" x14ac:dyDescent="0.25">
      <c r="A95" s="86"/>
      <c r="B95" s="86"/>
      <c r="C95" s="86"/>
      <c r="D95" s="86"/>
      <c r="E95" s="252"/>
      <c r="F95" s="278"/>
      <c r="H95" s="18"/>
      <c r="J95" s="367"/>
    </row>
    <row r="96" spans="1:10" x14ac:dyDescent="0.25">
      <c r="A96" s="86"/>
      <c r="B96" s="86"/>
      <c r="C96" s="72" t="s">
        <v>95</v>
      </c>
      <c r="D96" s="362" t="s">
        <v>900</v>
      </c>
      <c r="E96" s="72"/>
      <c r="F96" s="278"/>
      <c r="H96" s="1"/>
      <c r="J96" s="1"/>
    </row>
    <row r="97" spans="1:10" x14ac:dyDescent="0.25">
      <c r="A97" s="86"/>
      <c r="B97" s="86"/>
      <c r="C97" s="77">
        <v>1</v>
      </c>
      <c r="D97" s="96" t="s">
        <v>861</v>
      </c>
      <c r="E97" s="77">
        <v>510105</v>
      </c>
      <c r="F97" s="278"/>
      <c r="H97" s="1"/>
      <c r="J97" s="1"/>
    </row>
    <row r="98" spans="1:10" x14ac:dyDescent="0.25">
      <c r="A98" s="86"/>
      <c r="B98" s="86"/>
      <c r="C98" s="77">
        <v>2</v>
      </c>
      <c r="D98" s="363" t="s">
        <v>863</v>
      </c>
      <c r="E98" s="77" t="s">
        <v>901</v>
      </c>
      <c r="F98" s="278"/>
      <c r="H98" s="1"/>
      <c r="J98" s="1"/>
    </row>
    <row r="99" spans="1:10" x14ac:dyDescent="0.25">
      <c r="A99" s="86"/>
      <c r="B99" s="86"/>
      <c r="C99" s="77">
        <v>3</v>
      </c>
      <c r="D99" s="363" t="s">
        <v>865</v>
      </c>
      <c r="E99" s="77" t="s">
        <v>901</v>
      </c>
      <c r="F99" s="278"/>
      <c r="H99" s="1"/>
    </row>
    <row r="100" spans="1:10" x14ac:dyDescent="0.25">
      <c r="A100" s="86"/>
      <c r="B100" s="86"/>
      <c r="C100" s="77">
        <v>4</v>
      </c>
      <c r="D100" s="363" t="s">
        <v>866</v>
      </c>
      <c r="E100" s="373" t="s">
        <v>901</v>
      </c>
      <c r="F100" s="278"/>
      <c r="H100" s="1"/>
      <c r="J100" s="366"/>
    </row>
    <row r="101" spans="1:10" x14ac:dyDescent="0.25">
      <c r="A101" s="86"/>
      <c r="B101" s="86"/>
      <c r="C101" s="77">
        <v>5</v>
      </c>
      <c r="D101" s="363" t="s">
        <v>868</v>
      </c>
      <c r="E101" s="365" t="s">
        <v>901</v>
      </c>
      <c r="F101" s="278"/>
      <c r="H101" s="1"/>
      <c r="J101" s="367"/>
    </row>
    <row r="102" spans="1:10" x14ac:dyDescent="0.25">
      <c r="A102" s="86"/>
      <c r="B102" s="86"/>
      <c r="C102" s="77">
        <v>6</v>
      </c>
      <c r="D102" s="363" t="s">
        <v>902</v>
      </c>
      <c r="E102" s="92">
        <v>3600</v>
      </c>
      <c r="F102" s="278"/>
      <c r="H102" s="1"/>
      <c r="J102" s="369"/>
    </row>
    <row r="103" spans="1:10" x14ac:dyDescent="0.25">
      <c r="A103" s="86"/>
      <c r="B103" s="86"/>
      <c r="C103" s="77">
        <v>7</v>
      </c>
      <c r="D103" s="96" t="s">
        <v>885</v>
      </c>
      <c r="E103" s="368">
        <v>0.4</v>
      </c>
      <c r="F103" s="278"/>
      <c r="H103" s="1"/>
      <c r="J103" s="369"/>
    </row>
    <row r="104" spans="1:10" ht="15" customHeight="1" x14ac:dyDescent="0.25">
      <c r="A104" s="86"/>
      <c r="B104" s="86"/>
      <c r="C104" s="77">
        <v>8</v>
      </c>
      <c r="D104" s="363" t="s">
        <v>878</v>
      </c>
      <c r="E104" s="92">
        <v>27.15</v>
      </c>
      <c r="F104" s="278"/>
      <c r="H104" s="1"/>
      <c r="J104" s="367"/>
    </row>
    <row r="105" spans="1:10" ht="15" customHeight="1" x14ac:dyDescent="0.25">
      <c r="A105" s="86"/>
      <c r="B105" s="86"/>
      <c r="C105" s="4">
        <v>9</v>
      </c>
      <c r="D105" s="363" t="s">
        <v>122</v>
      </c>
      <c r="E105" s="374">
        <v>25.52</v>
      </c>
      <c r="H105" s="1"/>
      <c r="J105" s="367"/>
    </row>
    <row r="106" spans="1:10" x14ac:dyDescent="0.25">
      <c r="A106" s="86"/>
      <c r="B106" s="86"/>
      <c r="C106" s="86"/>
      <c r="D106" s="86"/>
      <c r="E106" s="252"/>
      <c r="F106" s="278"/>
      <c r="H106" s="1"/>
      <c r="J106" s="367"/>
    </row>
    <row r="107" spans="1:10" x14ac:dyDescent="0.25">
      <c r="A107" s="86"/>
      <c r="B107" s="86"/>
      <c r="C107" s="72" t="s">
        <v>903</v>
      </c>
      <c r="D107" s="362" t="s">
        <v>904</v>
      </c>
      <c r="E107" s="72"/>
      <c r="F107" s="278"/>
      <c r="H107" s="18"/>
      <c r="J107" s="367"/>
    </row>
    <row r="108" spans="1:10" x14ac:dyDescent="0.25">
      <c r="A108" s="86"/>
      <c r="B108" s="86"/>
      <c r="C108" s="77">
        <v>1</v>
      </c>
      <c r="D108" s="96" t="s">
        <v>861</v>
      </c>
      <c r="E108" s="77">
        <v>1421</v>
      </c>
      <c r="F108" s="278"/>
    </row>
    <row r="109" spans="1:10" x14ac:dyDescent="0.25">
      <c r="A109" s="86"/>
      <c r="B109" s="86"/>
      <c r="C109" s="77">
        <v>2</v>
      </c>
      <c r="D109" s="363" t="s">
        <v>863</v>
      </c>
      <c r="E109" s="77" t="s">
        <v>901</v>
      </c>
      <c r="F109" s="278"/>
      <c r="H109" s="23"/>
      <c r="I109" s="120"/>
      <c r="J109" s="120"/>
    </row>
    <row r="110" spans="1:10" x14ac:dyDescent="0.25">
      <c r="A110" s="86"/>
      <c r="B110" s="86"/>
      <c r="C110" s="77">
        <v>3</v>
      </c>
      <c r="D110" s="363" t="s">
        <v>865</v>
      </c>
      <c r="E110" s="77" t="s">
        <v>901</v>
      </c>
      <c r="F110" s="278"/>
      <c r="H110" s="1"/>
      <c r="J110" s="1"/>
    </row>
    <row r="111" spans="1:10" x14ac:dyDescent="0.25">
      <c r="A111" s="86"/>
      <c r="B111" s="86"/>
      <c r="C111" s="77">
        <v>4</v>
      </c>
      <c r="D111" s="363" t="s">
        <v>866</v>
      </c>
      <c r="E111" s="375" t="s">
        <v>901</v>
      </c>
      <c r="F111" s="278"/>
      <c r="H111" s="1"/>
      <c r="J111" s="1"/>
    </row>
    <row r="112" spans="1:10" x14ac:dyDescent="0.25">
      <c r="A112" s="86"/>
      <c r="B112" s="86"/>
      <c r="C112" s="77">
        <v>5</v>
      </c>
      <c r="D112" s="363" t="s">
        <v>868</v>
      </c>
      <c r="E112" s="365" t="s">
        <v>901</v>
      </c>
      <c r="F112" s="278"/>
      <c r="H112" s="1"/>
      <c r="J112" s="1"/>
    </row>
    <row r="113" spans="1:10" x14ac:dyDescent="0.25">
      <c r="A113" s="86"/>
      <c r="B113" s="86"/>
      <c r="C113" s="77">
        <v>6</v>
      </c>
      <c r="D113" s="363" t="s">
        <v>905</v>
      </c>
      <c r="E113" s="92">
        <v>6876.95</v>
      </c>
      <c r="F113" s="278"/>
      <c r="H113" s="1"/>
      <c r="J113" s="1"/>
    </row>
    <row r="114" spans="1:10" ht="17.25" x14ac:dyDescent="0.25">
      <c r="A114" s="86"/>
      <c r="B114" s="86"/>
      <c r="C114" s="77">
        <v>7</v>
      </c>
      <c r="D114" s="363" t="s">
        <v>878</v>
      </c>
      <c r="E114" s="92">
        <v>27.15</v>
      </c>
      <c r="F114" s="278"/>
      <c r="H114" s="1"/>
    </row>
    <row r="115" spans="1:10" x14ac:dyDescent="0.25">
      <c r="A115" s="86"/>
      <c r="B115" s="86"/>
      <c r="C115" s="4">
        <v>8</v>
      </c>
      <c r="D115" s="363" t="s">
        <v>122</v>
      </c>
      <c r="E115" s="374">
        <v>25.52</v>
      </c>
      <c r="H115" s="1"/>
      <c r="J115" s="366"/>
    </row>
    <row r="116" spans="1:10" ht="15" customHeight="1" x14ac:dyDescent="0.25">
      <c r="A116" s="86"/>
      <c r="B116" s="86"/>
      <c r="C116" s="86"/>
      <c r="D116" s="86"/>
      <c r="E116" s="86"/>
      <c r="F116" s="278"/>
      <c r="H116" s="1"/>
      <c r="J116" s="367"/>
    </row>
    <row r="117" spans="1:10" x14ac:dyDescent="0.25">
      <c r="A117" s="86"/>
      <c r="B117" s="86"/>
      <c r="C117" s="878" t="s">
        <v>906</v>
      </c>
      <c r="D117" s="878"/>
      <c r="E117" s="878"/>
      <c r="F117" s="278"/>
      <c r="H117" s="1"/>
      <c r="J117" s="367"/>
    </row>
    <row r="118" spans="1:10" ht="106.5" customHeight="1" x14ac:dyDescent="0.25">
      <c r="A118" s="86"/>
      <c r="B118" s="86"/>
      <c r="C118" s="879" t="s">
        <v>907</v>
      </c>
      <c r="D118" s="879"/>
      <c r="E118" s="879"/>
      <c r="F118" s="376"/>
      <c r="H118" s="18"/>
      <c r="J118" s="367"/>
    </row>
    <row r="119" spans="1:10" ht="150" customHeight="1" x14ac:dyDescent="0.25">
      <c r="A119" s="86"/>
      <c r="B119" s="86"/>
      <c r="C119" s="874" t="s">
        <v>908</v>
      </c>
      <c r="D119" s="874"/>
      <c r="E119" s="874"/>
      <c r="F119" s="278"/>
    </row>
    <row r="120" spans="1:10" ht="73.5" customHeight="1" x14ac:dyDescent="0.25">
      <c r="A120" s="86"/>
      <c r="B120" s="86"/>
      <c r="C120" s="874" t="s">
        <v>909</v>
      </c>
      <c r="D120" s="874"/>
      <c r="E120" s="874"/>
      <c r="F120" s="278"/>
    </row>
    <row r="121" spans="1:10" ht="71.849999999999994" customHeight="1" x14ac:dyDescent="0.25">
      <c r="A121" s="86"/>
      <c r="B121" s="86"/>
      <c r="C121" s="875" t="s">
        <v>910</v>
      </c>
      <c r="D121" s="875"/>
      <c r="E121" s="875"/>
      <c r="F121" s="278"/>
    </row>
    <row r="122" spans="1:10" x14ac:dyDescent="0.25">
      <c r="C122" s="377"/>
      <c r="D122" s="377"/>
      <c r="E122" s="377"/>
    </row>
    <row r="123" spans="1:10" x14ac:dyDescent="0.25">
      <c r="C123" s="377"/>
      <c r="D123" s="377"/>
      <c r="E123" s="377"/>
    </row>
    <row r="124" spans="1:10" x14ac:dyDescent="0.25">
      <c r="C124" s="377"/>
      <c r="D124" s="377"/>
      <c r="E124" s="377"/>
    </row>
    <row r="125" spans="1:10" x14ac:dyDescent="0.25">
      <c r="C125" s="377"/>
      <c r="D125" s="377"/>
      <c r="E125" s="377"/>
    </row>
    <row r="126" spans="1:10" x14ac:dyDescent="0.25">
      <c r="C126" s="377"/>
      <c r="D126" s="377"/>
      <c r="E126" s="377"/>
    </row>
    <row r="127" spans="1:10" x14ac:dyDescent="0.25">
      <c r="C127" s="377"/>
      <c r="D127" s="377"/>
      <c r="E127" s="377"/>
    </row>
    <row r="128" spans="1:10" x14ac:dyDescent="0.25">
      <c r="C128" s="377"/>
      <c r="D128" s="377"/>
      <c r="E128" s="377"/>
    </row>
    <row r="129" spans="3:10" x14ac:dyDescent="0.25">
      <c r="C129" s="377"/>
      <c r="D129" s="377"/>
      <c r="E129" s="377"/>
    </row>
    <row r="130" spans="3:10" x14ac:dyDescent="0.25">
      <c r="C130" s="377"/>
      <c r="D130" s="377"/>
      <c r="E130" s="377"/>
    </row>
    <row r="131" spans="3:10" x14ac:dyDescent="0.25">
      <c r="C131" s="377"/>
      <c r="D131" s="377"/>
      <c r="E131" s="377"/>
    </row>
    <row r="132" spans="3:10" x14ac:dyDescent="0.25">
      <c r="C132" s="377"/>
      <c r="D132" s="377"/>
      <c r="E132" s="377"/>
    </row>
    <row r="133" spans="3:10" x14ac:dyDescent="0.25">
      <c r="C133" s="377"/>
      <c r="D133" s="377"/>
      <c r="E133" s="377"/>
    </row>
    <row r="134" spans="3:10" x14ac:dyDescent="0.25">
      <c r="C134" s="377"/>
      <c r="D134" s="377"/>
      <c r="E134" s="377"/>
    </row>
    <row r="135" spans="3:10" x14ac:dyDescent="0.25">
      <c r="C135" s="377"/>
      <c r="D135" s="377"/>
      <c r="E135" s="377"/>
    </row>
    <row r="136" spans="3:10" x14ac:dyDescent="0.25">
      <c r="C136" s="377"/>
      <c r="D136" s="377"/>
      <c r="E136" s="377"/>
    </row>
    <row r="137" spans="3:10" x14ac:dyDescent="0.25">
      <c r="C137" s="377"/>
      <c r="D137" s="377"/>
      <c r="E137" s="377"/>
    </row>
    <row r="138" spans="3:10" x14ac:dyDescent="0.25">
      <c r="C138" s="377"/>
      <c r="D138" s="377"/>
      <c r="E138" s="377"/>
    </row>
    <row r="139" spans="3:10" x14ac:dyDescent="0.25">
      <c r="C139" s="377"/>
      <c r="D139" s="377"/>
      <c r="E139" s="377"/>
    </row>
    <row r="140" spans="3:10" x14ac:dyDescent="0.25">
      <c r="C140" s="377"/>
      <c r="D140" s="377"/>
      <c r="E140" s="377"/>
    </row>
    <row r="141" spans="3:10" x14ac:dyDescent="0.25">
      <c r="C141" s="377"/>
      <c r="D141" s="377"/>
      <c r="E141" s="377"/>
    </row>
    <row r="142" spans="3:10" x14ac:dyDescent="0.25">
      <c r="C142" s="377"/>
      <c r="D142" s="377"/>
      <c r="E142" s="377"/>
    </row>
    <row r="143" spans="3:10" x14ac:dyDescent="0.25">
      <c r="C143" s="377"/>
      <c r="D143" s="378"/>
      <c r="E143" s="377"/>
      <c r="H143" s="23"/>
      <c r="I143" s="120"/>
      <c r="J143" s="120"/>
    </row>
    <row r="144" spans="3:10" x14ac:dyDescent="0.25">
      <c r="H144" s="1"/>
      <c r="J144" s="1"/>
    </row>
    <row r="145" spans="3:10" ht="15.75" x14ac:dyDescent="0.25">
      <c r="C145" s="876"/>
      <c r="D145" s="876"/>
      <c r="E145" s="876"/>
      <c r="H145" s="1"/>
      <c r="J145" s="1"/>
    </row>
    <row r="146" spans="3:10" x14ac:dyDescent="0.25">
      <c r="C146" s="120"/>
      <c r="D146" s="120"/>
      <c r="E146" s="120"/>
      <c r="H146" s="1"/>
      <c r="J146" s="1"/>
    </row>
    <row r="147" spans="3:10" x14ac:dyDescent="0.25">
      <c r="C147" s="23"/>
      <c r="D147" s="120"/>
      <c r="E147" s="120"/>
      <c r="H147" s="1"/>
    </row>
    <row r="148" spans="3:10" x14ac:dyDescent="0.25">
      <c r="C148" s="18"/>
      <c r="E148" s="1"/>
      <c r="H148" s="1"/>
      <c r="J148" s="366"/>
    </row>
    <row r="149" spans="3:10" x14ac:dyDescent="0.25">
      <c r="C149" s="18"/>
      <c r="E149" s="1"/>
      <c r="H149" s="1"/>
      <c r="J149" s="367"/>
    </row>
    <row r="150" spans="3:10" x14ac:dyDescent="0.25">
      <c r="C150" s="18"/>
      <c r="E150" s="1"/>
      <c r="H150" s="1"/>
      <c r="J150" s="369"/>
    </row>
    <row r="151" spans="3:10" ht="15" customHeight="1" x14ac:dyDescent="0.25">
      <c r="C151" s="18"/>
      <c r="H151" s="1"/>
      <c r="J151" s="367"/>
    </row>
    <row r="152" spans="3:10" ht="15" customHeight="1" x14ac:dyDescent="0.25">
      <c r="C152" s="18"/>
      <c r="E152" s="366"/>
      <c r="H152" s="1"/>
      <c r="J152" s="367"/>
    </row>
    <row r="153" spans="3:10" ht="15" customHeight="1" x14ac:dyDescent="0.25">
      <c r="C153" s="18"/>
      <c r="E153" s="367"/>
      <c r="H153" s="18"/>
      <c r="J153" s="367"/>
    </row>
    <row r="154" spans="3:10" ht="15" customHeight="1" x14ac:dyDescent="0.25">
      <c r="C154" s="18"/>
      <c r="E154" s="369"/>
    </row>
    <row r="155" spans="3:10" ht="15" customHeight="1" x14ac:dyDescent="0.25">
      <c r="C155" s="18"/>
      <c r="E155" s="367"/>
    </row>
    <row r="156" spans="3:10" ht="15" customHeight="1" x14ac:dyDescent="0.25">
      <c r="C156" s="18"/>
      <c r="E156" s="367"/>
    </row>
    <row r="157" spans="3:10" ht="15" customHeight="1" x14ac:dyDescent="0.25">
      <c r="C157" s="18"/>
      <c r="E157" s="367"/>
    </row>
    <row r="159" spans="3:10" ht="15" customHeight="1" x14ac:dyDescent="0.25">
      <c r="C159" s="23"/>
      <c r="D159" s="120"/>
      <c r="E159" s="120"/>
    </row>
    <row r="160" spans="3:10" ht="15" customHeight="1" x14ac:dyDescent="0.25">
      <c r="C160" s="1"/>
      <c r="E160" s="1"/>
    </row>
    <row r="161" spans="3:5" ht="15" customHeight="1" x14ac:dyDescent="0.25">
      <c r="C161" s="1"/>
      <c r="E161" s="1"/>
    </row>
    <row r="162" spans="3:5" ht="15" customHeight="1" x14ac:dyDescent="0.25">
      <c r="C162" s="1"/>
      <c r="E162" s="1"/>
    </row>
    <row r="163" spans="3:5" ht="15" customHeight="1" x14ac:dyDescent="0.25">
      <c r="C163" s="1"/>
    </row>
    <row r="164" spans="3:5" ht="15" customHeight="1" x14ac:dyDescent="0.25">
      <c r="C164" s="1"/>
      <c r="E164" s="371"/>
    </row>
    <row r="165" spans="3:5" ht="15" customHeight="1" x14ac:dyDescent="0.25">
      <c r="C165" s="1"/>
      <c r="E165" s="367"/>
    </row>
    <row r="166" spans="3:5" ht="15" customHeight="1" x14ac:dyDescent="0.25">
      <c r="C166" s="1"/>
      <c r="E166" s="369"/>
    </row>
    <row r="167" spans="3:5" ht="15" customHeight="1" x14ac:dyDescent="0.25">
      <c r="C167" s="1"/>
      <c r="E167" s="367"/>
    </row>
    <row r="168" spans="3:5" ht="15" customHeight="1" x14ac:dyDescent="0.25">
      <c r="C168" s="1"/>
      <c r="E168" s="367"/>
    </row>
    <row r="170" spans="3:5" ht="15" customHeight="1" x14ac:dyDescent="0.25">
      <c r="C170" s="23"/>
      <c r="D170" s="120"/>
      <c r="E170" s="120"/>
    </row>
    <row r="171" spans="3:5" ht="15" customHeight="1" x14ac:dyDescent="0.25">
      <c r="C171" s="1"/>
      <c r="E171" s="1"/>
    </row>
    <row r="172" spans="3:5" ht="15" customHeight="1" x14ac:dyDescent="0.25">
      <c r="C172" s="1"/>
      <c r="E172" s="1"/>
    </row>
    <row r="173" spans="3:5" ht="15" customHeight="1" x14ac:dyDescent="0.25">
      <c r="C173" s="1"/>
      <c r="E173" s="1"/>
    </row>
    <row r="174" spans="3:5" ht="15" customHeight="1" x14ac:dyDescent="0.25">
      <c r="C174" s="1"/>
    </row>
    <row r="175" spans="3:5" ht="15" customHeight="1" x14ac:dyDescent="0.25">
      <c r="C175" s="1"/>
      <c r="E175" s="366"/>
    </row>
    <row r="176" spans="3:5" ht="15" customHeight="1" x14ac:dyDescent="0.25">
      <c r="C176" s="1"/>
      <c r="E176" s="367"/>
    </row>
    <row r="177" spans="3:5" ht="15" customHeight="1" x14ac:dyDescent="0.25">
      <c r="C177" s="1"/>
      <c r="E177" s="369"/>
    </row>
    <row r="178" spans="3:5" ht="15" customHeight="1" x14ac:dyDescent="0.25">
      <c r="C178" s="18"/>
      <c r="E178" s="367"/>
    </row>
    <row r="179" spans="3:5" ht="15" customHeight="1" x14ac:dyDescent="0.25">
      <c r="C179" s="18"/>
      <c r="E179" s="367"/>
    </row>
    <row r="180" spans="3:5" ht="15" customHeight="1" x14ac:dyDescent="0.25">
      <c r="C180" s="18"/>
      <c r="E180" s="367"/>
    </row>
    <row r="182" spans="3:5" ht="15" customHeight="1" x14ac:dyDescent="0.25">
      <c r="C182" s="23"/>
      <c r="D182" s="120"/>
      <c r="E182" s="120"/>
    </row>
    <row r="183" spans="3:5" ht="15" customHeight="1" x14ac:dyDescent="0.25">
      <c r="C183" s="1"/>
      <c r="E183" s="1"/>
    </row>
    <row r="184" spans="3:5" ht="15" customHeight="1" x14ac:dyDescent="0.25">
      <c r="C184" s="1"/>
      <c r="E184" s="1"/>
    </row>
    <row r="185" spans="3:5" ht="15" customHeight="1" x14ac:dyDescent="0.25">
      <c r="C185" s="1"/>
      <c r="E185" s="1"/>
    </row>
    <row r="186" spans="3:5" ht="15" customHeight="1" x14ac:dyDescent="0.25">
      <c r="C186" s="1"/>
    </row>
    <row r="187" spans="3:5" ht="15" customHeight="1" x14ac:dyDescent="0.25">
      <c r="C187" s="1"/>
      <c r="E187" s="366"/>
    </row>
    <row r="188" spans="3:5" ht="15" customHeight="1" x14ac:dyDescent="0.25">
      <c r="C188" s="1"/>
      <c r="E188" s="367"/>
    </row>
    <row r="189" spans="3:5" ht="15" customHeight="1" x14ac:dyDescent="0.25">
      <c r="C189" s="1"/>
      <c r="E189" s="369"/>
    </row>
    <row r="190" spans="3:5" ht="15" customHeight="1" x14ac:dyDescent="0.25">
      <c r="C190" s="18"/>
      <c r="E190" s="367"/>
    </row>
    <row r="191" spans="3:5" ht="15" customHeight="1" x14ac:dyDescent="0.25">
      <c r="C191" s="18"/>
      <c r="E191" s="367"/>
    </row>
    <row r="192" spans="3:5" ht="15" customHeight="1" x14ac:dyDescent="0.25">
      <c r="C192" s="18"/>
      <c r="E192" s="367"/>
    </row>
    <row r="194" spans="3:5" ht="15" customHeight="1" x14ac:dyDescent="0.25">
      <c r="C194" s="23"/>
      <c r="D194" s="120"/>
      <c r="E194" s="120"/>
    </row>
    <row r="195" spans="3:5" ht="15" customHeight="1" x14ac:dyDescent="0.25">
      <c r="C195" s="1"/>
      <c r="E195" s="1"/>
    </row>
    <row r="196" spans="3:5" ht="15" customHeight="1" x14ac:dyDescent="0.25">
      <c r="C196" s="1"/>
      <c r="E196" s="1"/>
    </row>
    <row r="197" spans="3:5" ht="15" customHeight="1" x14ac:dyDescent="0.25">
      <c r="C197" s="1"/>
      <c r="E197" s="1"/>
    </row>
    <row r="198" spans="3:5" ht="15" customHeight="1" x14ac:dyDescent="0.25">
      <c r="C198" s="1"/>
    </row>
    <row r="199" spans="3:5" ht="15" customHeight="1" x14ac:dyDescent="0.25">
      <c r="C199" s="1"/>
      <c r="E199" s="366"/>
    </row>
    <row r="200" spans="3:5" ht="15" customHeight="1" x14ac:dyDescent="0.25">
      <c r="C200" s="1"/>
      <c r="E200" s="367"/>
    </row>
    <row r="201" spans="3:5" ht="15" customHeight="1" x14ac:dyDescent="0.25">
      <c r="C201" s="1"/>
      <c r="E201" s="367"/>
    </row>
    <row r="202" spans="3:5" ht="15" customHeight="1" x14ac:dyDescent="0.25">
      <c r="C202" s="1"/>
      <c r="E202" s="367"/>
    </row>
    <row r="203" spans="3:5" ht="15" customHeight="1" x14ac:dyDescent="0.25">
      <c r="C203" s="18"/>
      <c r="E203" s="367"/>
    </row>
    <row r="205" spans="3:5" ht="15" customHeight="1" x14ac:dyDescent="0.25">
      <c r="C205" s="23"/>
      <c r="D205" s="186"/>
      <c r="E205" s="120"/>
    </row>
    <row r="206" spans="3:5" ht="15" customHeight="1" x14ac:dyDescent="0.25">
      <c r="C206" s="1"/>
      <c r="E206" s="1"/>
    </row>
    <row r="207" spans="3:5" ht="15" customHeight="1" x14ac:dyDescent="0.25">
      <c r="C207" s="1"/>
      <c r="E207" s="1"/>
    </row>
    <row r="208" spans="3:5" ht="15" customHeight="1" x14ac:dyDescent="0.25">
      <c r="C208" s="1"/>
      <c r="E208" s="1"/>
    </row>
    <row r="209" spans="3:5" ht="15" customHeight="1" x14ac:dyDescent="0.25">
      <c r="C209" s="1"/>
    </row>
    <row r="210" spans="3:5" ht="15" customHeight="1" x14ac:dyDescent="0.25">
      <c r="C210" s="1"/>
      <c r="E210" s="366"/>
    </row>
    <row r="211" spans="3:5" ht="15" customHeight="1" x14ac:dyDescent="0.25">
      <c r="C211" s="1"/>
      <c r="E211" s="367"/>
    </row>
    <row r="212" spans="3:5" ht="15" customHeight="1" x14ac:dyDescent="0.25">
      <c r="C212" s="1"/>
      <c r="E212" s="369"/>
    </row>
    <row r="213" spans="3:5" ht="15" customHeight="1" x14ac:dyDescent="0.25">
      <c r="C213" s="1"/>
      <c r="E213" s="367"/>
    </row>
    <row r="214" spans="3:5" ht="15" customHeight="1" x14ac:dyDescent="0.25">
      <c r="C214" s="1"/>
      <c r="E214" s="367"/>
    </row>
    <row r="215" spans="3:5" ht="15" customHeight="1" x14ac:dyDescent="0.25">
      <c r="C215" s="18"/>
      <c r="E215" s="367"/>
    </row>
    <row r="217" spans="3:5" ht="15" customHeight="1" x14ac:dyDescent="0.25">
      <c r="C217" s="23"/>
      <c r="D217" s="186"/>
      <c r="E217" s="120"/>
    </row>
    <row r="218" spans="3:5" ht="15" customHeight="1" x14ac:dyDescent="0.25">
      <c r="C218" s="1"/>
      <c r="E218" s="1"/>
    </row>
    <row r="219" spans="3:5" ht="15" customHeight="1" x14ac:dyDescent="0.25">
      <c r="C219" s="1"/>
      <c r="E219" s="1"/>
    </row>
    <row r="220" spans="3:5" ht="15" customHeight="1" x14ac:dyDescent="0.25">
      <c r="C220" s="1"/>
      <c r="E220" s="1"/>
    </row>
    <row r="221" spans="3:5" ht="15" customHeight="1" x14ac:dyDescent="0.25">
      <c r="C221" s="1"/>
    </row>
    <row r="222" spans="3:5" ht="15" customHeight="1" x14ac:dyDescent="0.25">
      <c r="C222" s="1"/>
      <c r="E222" s="366"/>
    </row>
    <row r="223" spans="3:5" ht="15" customHeight="1" x14ac:dyDescent="0.25">
      <c r="C223" s="1"/>
      <c r="E223" s="372"/>
    </row>
    <row r="224" spans="3:5" ht="15" customHeight="1" x14ac:dyDescent="0.25">
      <c r="C224" s="1"/>
      <c r="E224" s="369"/>
    </row>
    <row r="225" spans="3:5" ht="15" customHeight="1" x14ac:dyDescent="0.25">
      <c r="C225" s="1"/>
      <c r="E225" s="367"/>
    </row>
    <row r="226" spans="3:5" ht="15" customHeight="1" x14ac:dyDescent="0.25">
      <c r="C226" s="1"/>
      <c r="E226" s="367"/>
    </row>
    <row r="227" spans="3:5" ht="15" customHeight="1" x14ac:dyDescent="0.25">
      <c r="C227" s="18"/>
      <c r="E227" s="367"/>
    </row>
    <row r="229" spans="3:5" ht="15" customHeight="1" x14ac:dyDescent="0.25">
      <c r="C229" s="23"/>
      <c r="D229" s="120"/>
      <c r="E229" s="120"/>
    </row>
    <row r="230" spans="3:5" ht="15" customHeight="1" x14ac:dyDescent="0.25">
      <c r="C230" s="1"/>
      <c r="E230" s="1"/>
    </row>
    <row r="231" spans="3:5" ht="15" customHeight="1" x14ac:dyDescent="0.25">
      <c r="C231" s="1"/>
      <c r="E231" s="1"/>
    </row>
    <row r="232" spans="3:5" ht="15" customHeight="1" x14ac:dyDescent="0.25">
      <c r="C232" s="1"/>
      <c r="E232" s="1"/>
    </row>
    <row r="233" spans="3:5" ht="15" customHeight="1" x14ac:dyDescent="0.25">
      <c r="C233" s="1"/>
    </row>
    <row r="234" spans="3:5" ht="15" customHeight="1" x14ac:dyDescent="0.25">
      <c r="C234" s="1"/>
      <c r="E234" s="366"/>
    </row>
    <row r="235" spans="3:5" ht="15" customHeight="1" x14ac:dyDescent="0.25">
      <c r="C235" s="1"/>
      <c r="E235" s="367"/>
    </row>
    <row r="236" spans="3:5" ht="15" customHeight="1" x14ac:dyDescent="0.25">
      <c r="C236" s="1"/>
      <c r="E236" s="367"/>
    </row>
    <row r="237" spans="3:5" ht="15" customHeight="1" x14ac:dyDescent="0.25">
      <c r="C237" s="1"/>
      <c r="E237" s="367"/>
    </row>
    <row r="238" spans="3:5" ht="15" customHeight="1" x14ac:dyDescent="0.25">
      <c r="C238" s="18"/>
      <c r="E238" s="367"/>
    </row>
    <row r="240" spans="3:5" ht="15" customHeight="1" x14ac:dyDescent="0.25">
      <c r="C240" s="23"/>
      <c r="D240" s="120"/>
      <c r="E240" s="120"/>
    </row>
    <row r="241" spans="3:5" ht="15" customHeight="1" x14ac:dyDescent="0.25">
      <c r="C241" s="1"/>
      <c r="E241" s="1"/>
    </row>
    <row r="242" spans="3:5" ht="15" customHeight="1" x14ac:dyDescent="0.25">
      <c r="C242" s="1"/>
      <c r="E242" s="1"/>
    </row>
    <row r="243" spans="3:5" ht="15" customHeight="1" x14ac:dyDescent="0.25">
      <c r="C243" s="1"/>
      <c r="E243" s="379"/>
    </row>
    <row r="244" spans="3:5" ht="15" customHeight="1" x14ac:dyDescent="0.25">
      <c r="C244" s="1"/>
      <c r="E244" s="380"/>
    </row>
    <row r="245" spans="3:5" ht="15" customHeight="1" x14ac:dyDescent="0.25">
      <c r="C245" s="1"/>
      <c r="E245" s="366"/>
    </row>
    <row r="246" spans="3:5" ht="15" customHeight="1" x14ac:dyDescent="0.25">
      <c r="C246" s="1"/>
      <c r="E246" s="367"/>
    </row>
    <row r="247" spans="3:5" ht="15" customHeight="1" x14ac:dyDescent="0.25">
      <c r="C247" s="1"/>
      <c r="E247" s="369"/>
    </row>
    <row r="248" spans="3:5" ht="15" customHeight="1" x14ac:dyDescent="0.25">
      <c r="C248" s="1"/>
      <c r="E248" s="367"/>
    </row>
    <row r="250" spans="3:5" ht="15" customHeight="1" x14ac:dyDescent="0.25">
      <c r="C250" s="23"/>
      <c r="D250" s="120"/>
      <c r="E250" s="120"/>
    </row>
    <row r="251" spans="3:5" ht="15" customHeight="1" x14ac:dyDescent="0.25">
      <c r="C251" s="1"/>
      <c r="E251" s="1"/>
    </row>
    <row r="252" spans="3:5" ht="15" customHeight="1" x14ac:dyDescent="0.25">
      <c r="C252" s="1"/>
      <c r="E252" s="1"/>
    </row>
    <row r="253" spans="3:5" ht="15" customHeight="1" x14ac:dyDescent="0.25">
      <c r="C253" s="1"/>
      <c r="E253" s="1"/>
    </row>
    <row r="254" spans="3:5" ht="15" customHeight="1" x14ac:dyDescent="0.25">
      <c r="C254" s="1"/>
    </row>
    <row r="255" spans="3:5" ht="15" customHeight="1" x14ac:dyDescent="0.25">
      <c r="C255" s="1"/>
      <c r="E255" s="366"/>
    </row>
    <row r="256" spans="3:5" ht="15" customHeight="1" x14ac:dyDescent="0.25">
      <c r="C256" s="1"/>
      <c r="E256" s="367"/>
    </row>
    <row r="257" spans="3:5" ht="15" customHeight="1" x14ac:dyDescent="0.25">
      <c r="C257" s="1"/>
      <c r="E257" s="369"/>
    </row>
    <row r="258" spans="3:5" ht="15" customHeight="1" x14ac:dyDescent="0.25">
      <c r="C258" s="1"/>
      <c r="E258" s="367"/>
    </row>
    <row r="259" spans="3:5" ht="15" customHeight="1" x14ac:dyDescent="0.25">
      <c r="C259" s="1"/>
      <c r="E259" s="367"/>
    </row>
    <row r="260" spans="3:5" ht="15" customHeight="1" x14ac:dyDescent="0.25">
      <c r="C260" s="18"/>
      <c r="E260" s="367"/>
    </row>
    <row r="262" spans="3:5" ht="15" customHeight="1" x14ac:dyDescent="0.25">
      <c r="C262" s="23"/>
      <c r="D262" s="120"/>
      <c r="E262" s="120"/>
    </row>
    <row r="263" spans="3:5" ht="15" customHeight="1" x14ac:dyDescent="0.25">
      <c r="C263" s="1"/>
      <c r="E263" s="1"/>
    </row>
    <row r="264" spans="3:5" ht="15" customHeight="1" x14ac:dyDescent="0.25">
      <c r="C264" s="1"/>
      <c r="E264" s="1"/>
    </row>
    <row r="265" spans="3:5" ht="15" customHeight="1" x14ac:dyDescent="0.25">
      <c r="C265" s="1"/>
      <c r="E265" s="1"/>
    </row>
    <row r="266" spans="3:5" ht="15" customHeight="1" x14ac:dyDescent="0.25">
      <c r="C266" s="1"/>
    </row>
    <row r="267" spans="3:5" ht="15" customHeight="1" x14ac:dyDescent="0.25">
      <c r="C267" s="1"/>
      <c r="E267" s="366"/>
    </row>
    <row r="268" spans="3:5" ht="15" customHeight="1" x14ac:dyDescent="0.25">
      <c r="C268" s="1"/>
      <c r="E268" s="367"/>
    </row>
    <row r="269" spans="3:5" ht="15" customHeight="1" x14ac:dyDescent="0.25">
      <c r="C269" s="1"/>
      <c r="E269" s="367"/>
    </row>
    <row r="270" spans="3:5" ht="15" customHeight="1" x14ac:dyDescent="0.25">
      <c r="C270" s="1"/>
      <c r="E270" s="367"/>
    </row>
    <row r="271" spans="3:5" ht="15" customHeight="1" x14ac:dyDescent="0.25">
      <c r="C271" s="18"/>
      <c r="E271" s="367"/>
    </row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8">
    <mergeCell ref="C120:E120"/>
    <mergeCell ref="C121:E121"/>
    <mergeCell ref="C145:E145"/>
    <mergeCell ref="C2:E2"/>
    <mergeCell ref="H2:J2"/>
    <mergeCell ref="C117:E117"/>
    <mergeCell ref="C118:E118"/>
    <mergeCell ref="C119:E119"/>
  </mergeCells>
  <hyperlinks>
    <hyperlink ref="E100" r:id="rId1" xr:uid="{00000000-0004-0000-0900-000000000000}"/>
  </hyperlinks>
  <pageMargins left="0.51180555555555596" right="0.51180555555555596" top="0.78749999999999998" bottom="0.78749999999999998" header="0.511811023622047" footer="0.31527777777777799"/>
  <pageSetup paperSize="9" firstPageNumber="34" fitToHeight="0" orientation="portrait" useFirstPageNumber="1" horizontalDpi="300" verticalDpi="300"/>
  <headerFooter>
    <oddFooter>&amp;R&amp;P de 45</oddFooter>
  </headerFooter>
  <rowBreaks count="2" manualBreakCount="2">
    <brk id="44" max="16383" man="1"/>
    <brk id="8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1048576"/>
  <sheetViews>
    <sheetView showGridLines="0" zoomScale="110" zoomScaleNormal="110" workbookViewId="0">
      <selection activeCell="G7" sqref="G7"/>
    </sheetView>
  </sheetViews>
  <sheetFormatPr defaultColWidth="8.7109375" defaultRowHeight="15" customHeight="1" x14ac:dyDescent="0.25"/>
  <cols>
    <col min="3" max="3" width="73.42578125" customWidth="1"/>
    <col min="4" max="4" width="10.28515625" customWidth="1"/>
  </cols>
  <sheetData>
    <row r="1" spans="1:4" ht="15" customHeight="1" x14ac:dyDescent="0.25">
      <c r="A1" s="86"/>
      <c r="B1" s="86"/>
      <c r="C1" s="86"/>
      <c r="D1" s="381"/>
    </row>
    <row r="2" spans="1:4" ht="15.75" x14ac:dyDescent="0.25">
      <c r="A2" s="86"/>
      <c r="B2" s="877" t="s">
        <v>911</v>
      </c>
      <c r="C2" s="877"/>
      <c r="D2" s="877"/>
    </row>
    <row r="3" spans="1:4" ht="15" customHeight="1" x14ac:dyDescent="0.25">
      <c r="A3" s="86"/>
      <c r="B3" s="86"/>
      <c r="C3" s="86"/>
      <c r="D3" s="381"/>
    </row>
    <row r="4" spans="1:4" ht="15" customHeight="1" x14ac:dyDescent="0.25">
      <c r="A4" s="86"/>
      <c r="B4" s="382" t="s">
        <v>6</v>
      </c>
      <c r="C4" s="383" t="s">
        <v>912</v>
      </c>
      <c r="D4" s="382" t="s">
        <v>913</v>
      </c>
    </row>
    <row r="5" spans="1:4" x14ac:dyDescent="0.25">
      <c r="A5" s="86"/>
      <c r="B5" s="77" t="s">
        <v>914</v>
      </c>
      <c r="C5" s="96" t="s">
        <v>915</v>
      </c>
      <c r="D5" s="384">
        <v>0.2</v>
      </c>
    </row>
    <row r="6" spans="1:4" x14ac:dyDescent="0.25">
      <c r="A6" s="86"/>
      <c r="B6" s="77" t="s">
        <v>916</v>
      </c>
      <c r="C6" s="276" t="s">
        <v>917</v>
      </c>
      <c r="D6" s="384">
        <v>1.4999999999999999E-2</v>
      </c>
    </row>
    <row r="7" spans="1:4" x14ac:dyDescent="0.25">
      <c r="A7" s="86"/>
      <c r="B7" s="77" t="s">
        <v>918</v>
      </c>
      <c r="C7" s="276" t="s">
        <v>919</v>
      </c>
      <c r="D7" s="384">
        <v>0.01</v>
      </c>
    </row>
    <row r="8" spans="1:4" x14ac:dyDescent="0.25">
      <c r="A8" s="86"/>
      <c r="B8" s="77" t="s">
        <v>920</v>
      </c>
      <c r="C8" s="276" t="s">
        <v>921</v>
      </c>
      <c r="D8" s="384">
        <v>2E-3</v>
      </c>
    </row>
    <row r="9" spans="1:4" x14ac:dyDescent="0.25">
      <c r="A9" s="86"/>
      <c r="B9" s="77" t="s">
        <v>922</v>
      </c>
      <c r="C9" s="276" t="s">
        <v>923</v>
      </c>
      <c r="D9" s="384">
        <v>6.0000000000000001E-3</v>
      </c>
    </row>
    <row r="10" spans="1:4" x14ac:dyDescent="0.25">
      <c r="A10" s="86"/>
      <c r="B10" s="77" t="s">
        <v>924</v>
      </c>
      <c r="C10" s="96" t="s">
        <v>925</v>
      </c>
      <c r="D10" s="384">
        <v>2.5000000000000001E-2</v>
      </c>
    </row>
    <row r="11" spans="1:4" x14ac:dyDescent="0.25">
      <c r="A11" s="86"/>
      <c r="B11" s="77" t="s">
        <v>926</v>
      </c>
      <c r="C11" s="96" t="s">
        <v>927</v>
      </c>
      <c r="D11" s="384">
        <v>0.03</v>
      </c>
    </row>
    <row r="12" spans="1:4" x14ac:dyDescent="0.25">
      <c r="A12" s="86"/>
      <c r="B12" s="77" t="s">
        <v>928</v>
      </c>
      <c r="C12" s="96" t="s">
        <v>929</v>
      </c>
      <c r="D12" s="384">
        <v>0.08</v>
      </c>
    </row>
    <row r="13" spans="1:4" x14ac:dyDescent="0.25">
      <c r="A13" s="86"/>
      <c r="B13" s="87" t="s">
        <v>6</v>
      </c>
      <c r="C13" s="287" t="s">
        <v>930</v>
      </c>
      <c r="D13" s="385">
        <f>SUM(D5:D12)</f>
        <v>0.36800000000000005</v>
      </c>
    </row>
    <row r="14" spans="1:4" x14ac:dyDescent="0.25">
      <c r="A14" s="86"/>
      <c r="B14" s="382" t="s">
        <v>9</v>
      </c>
      <c r="C14" s="383" t="s">
        <v>931</v>
      </c>
      <c r="D14" s="386"/>
    </row>
    <row r="15" spans="1:4" x14ac:dyDescent="0.25">
      <c r="A15" s="86"/>
      <c r="B15" s="77" t="s">
        <v>932</v>
      </c>
      <c r="C15" s="96" t="s">
        <v>933</v>
      </c>
      <c r="D15" s="387">
        <f>IF('8 - CAGED'!C15&gt;24,(1-'8 - CAGED'!C14)*('8 - CAGED'!C18+'8 - CAGED'!C17)/'8 - CAGED'!C16,('8 - CAGED'!C18+'8 - CAGED'!C17)/'8 - CAGED'!C16-'7 - ENCARGOS SOCIAIS'!D24)</f>
        <v>4.2085158970902148E-2</v>
      </c>
    </row>
    <row r="16" spans="1:4" x14ac:dyDescent="0.25">
      <c r="A16" s="86"/>
      <c r="B16" s="77" t="s">
        <v>934</v>
      </c>
      <c r="C16" s="96" t="s">
        <v>935</v>
      </c>
      <c r="D16" s="384">
        <f>'8 - CAGED'!C19/'8 - CAGED'!C16</f>
        <v>8.3333333333333329E-2</v>
      </c>
    </row>
    <row r="17" spans="1:6" x14ac:dyDescent="0.25">
      <c r="A17" s="86"/>
      <c r="B17" s="77" t="s">
        <v>936</v>
      </c>
      <c r="C17" s="96" t="s">
        <v>937</v>
      </c>
      <c r="D17" s="384">
        <f>((5*0.8503*0.0502)/360)</f>
        <v>5.9284805555555558E-4</v>
      </c>
      <c r="F17" s="388"/>
    </row>
    <row r="18" spans="1:6" x14ac:dyDescent="0.25">
      <c r="A18" s="86"/>
      <c r="B18" s="77" t="s">
        <v>938</v>
      </c>
      <c r="C18" s="96" t="s">
        <v>939</v>
      </c>
      <c r="D18" s="384">
        <f>2.96/360</f>
        <v>8.2222222222222228E-3</v>
      </c>
    </row>
    <row r="19" spans="1:6" x14ac:dyDescent="0.25">
      <c r="A19" s="86"/>
      <c r="B19" s="77" t="s">
        <v>940</v>
      </c>
      <c r="C19" s="96" t="s">
        <v>941</v>
      </c>
      <c r="D19" s="384">
        <f>(15*0.074)/360</f>
        <v>3.0833333333333329E-3</v>
      </c>
    </row>
    <row r="20" spans="1:6" x14ac:dyDescent="0.25">
      <c r="A20" s="86"/>
      <c r="B20" s="77" t="s">
        <v>942</v>
      </c>
      <c r="C20" s="96" t="s">
        <v>943</v>
      </c>
      <c r="D20" s="384">
        <f>5.96/360</f>
        <v>1.6555555555555556E-2</v>
      </c>
    </row>
    <row r="21" spans="1:6" x14ac:dyDescent="0.25">
      <c r="A21" s="86"/>
      <c r="B21" s="87" t="s">
        <v>9</v>
      </c>
      <c r="C21" s="287" t="s">
        <v>944</v>
      </c>
      <c r="D21" s="385">
        <f>SUM(D15:D20)</f>
        <v>0.15387245147090212</v>
      </c>
    </row>
    <row r="22" spans="1:6" x14ac:dyDescent="0.25">
      <c r="A22" s="86"/>
      <c r="B22" s="382" t="s">
        <v>12</v>
      </c>
      <c r="C22" s="383" t="s">
        <v>945</v>
      </c>
      <c r="D22" s="386"/>
    </row>
    <row r="23" spans="1:6" x14ac:dyDescent="0.25">
      <c r="A23" s="86"/>
      <c r="B23" s="77" t="s">
        <v>946</v>
      </c>
      <c r="C23" s="96" t="s">
        <v>947</v>
      </c>
      <c r="D23" s="384">
        <f>('8 - CAGED'!C20*'8 - CAGED'!C13)/'8 - CAGED'!C16</f>
        <v>3.2580499719132683E-2</v>
      </c>
    </row>
    <row r="24" spans="1:6" x14ac:dyDescent="0.25">
      <c r="A24" s="86"/>
      <c r="B24" s="77" t="s">
        <v>948</v>
      </c>
      <c r="C24" s="96" t="s">
        <v>949</v>
      </c>
      <c r="D24" s="384">
        <f>IF('8 - CAGED'!C15&gt;12,((12/'8 - CAGED'!C15)*('8 - CAGED'!C18+'8 - CAGED'!C17))/'8 - CAGED'!C16,('8 - CAGED'!C17+'8 - CAGED'!C18)/'8 - CAGED'!C16)</f>
        <v>6.9025952140208957E-2</v>
      </c>
    </row>
    <row r="25" spans="1:6" x14ac:dyDescent="0.25">
      <c r="A25" s="86"/>
      <c r="B25" s="77" t="s">
        <v>950</v>
      </c>
      <c r="C25" s="96" t="s">
        <v>951</v>
      </c>
      <c r="D25" s="384">
        <f>D24*D23</f>
        <v>2.2489000143169438E-3</v>
      </c>
    </row>
    <row r="26" spans="1:6" x14ac:dyDescent="0.25">
      <c r="A26" s="86"/>
      <c r="B26" s="77" t="s">
        <v>952</v>
      </c>
      <c r="C26" s="96" t="s">
        <v>953</v>
      </c>
      <c r="D26" s="384">
        <f>('8 - CAGED'!C16+'8 - CAGED'!C19+'8 - CAGED'!C17)/'8 - CAGED'!C14*'8 - CAGED'!C21*'8 - CAGED'!C22*'8 - CAGED'!C13/'8 - CAGED'!C16</f>
        <v>2.0342243827160499E-2</v>
      </c>
    </row>
    <row r="27" spans="1:6" x14ac:dyDescent="0.25">
      <c r="A27" s="86"/>
      <c r="B27" s="77" t="s">
        <v>954</v>
      </c>
      <c r="C27" s="96" t="s">
        <v>955</v>
      </c>
      <c r="D27" s="384">
        <f>('8 - CAGED'!C18/'8 - CAGED'!C16)*'8 - CAGED'!C13/12</f>
        <v>2.4682196756918699E-3</v>
      </c>
    </row>
    <row r="28" spans="1:6" x14ac:dyDescent="0.25">
      <c r="A28" s="86"/>
      <c r="B28" s="87" t="s">
        <v>12</v>
      </c>
      <c r="C28" s="287" t="s">
        <v>956</v>
      </c>
      <c r="D28" s="385">
        <f>SUM(D23:D27)</f>
        <v>0.12666581537651095</v>
      </c>
    </row>
    <row r="29" spans="1:6" x14ac:dyDescent="0.25">
      <c r="A29" s="86"/>
      <c r="B29" s="382" t="s">
        <v>15</v>
      </c>
      <c r="C29" s="383" t="s">
        <v>957</v>
      </c>
      <c r="D29" s="386"/>
    </row>
    <row r="30" spans="1:6" x14ac:dyDescent="0.25">
      <c r="A30" s="86"/>
      <c r="B30" s="77" t="s">
        <v>958</v>
      </c>
      <c r="C30" s="96" t="s">
        <v>959</v>
      </c>
      <c r="D30" s="384">
        <f>D13*D21</f>
        <v>5.6625062141291989E-2</v>
      </c>
    </row>
    <row r="31" spans="1:6" x14ac:dyDescent="0.25">
      <c r="A31" s="86"/>
      <c r="B31" s="77" t="s">
        <v>960</v>
      </c>
      <c r="C31" s="96" t="s">
        <v>961</v>
      </c>
      <c r="D31" s="384">
        <f>'8 - CAGED'!C21*'7 - ENCARGOS SOCIAIS'!D23</f>
        <v>2.6064399775306145E-3</v>
      </c>
    </row>
    <row r="32" spans="1:6" x14ac:dyDescent="0.25">
      <c r="A32" s="86"/>
      <c r="B32" s="87" t="s">
        <v>15</v>
      </c>
      <c r="C32" s="287" t="s">
        <v>962</v>
      </c>
      <c r="D32" s="385">
        <f>D30+D31</f>
        <v>5.9231502118822603E-2</v>
      </c>
    </row>
    <row r="33" spans="1:4" x14ac:dyDescent="0.25">
      <c r="A33" s="86"/>
      <c r="B33" s="383"/>
      <c r="C33" s="382" t="s">
        <v>963</v>
      </c>
      <c r="D33" s="389">
        <f>D13+D21+D28+D32</f>
        <v>0.70776976896623567</v>
      </c>
    </row>
    <row r="34" spans="1:4" x14ac:dyDescent="0.25">
      <c r="B34" s="390"/>
      <c r="C34" s="15"/>
      <c r="D34" s="391"/>
    </row>
    <row r="38" spans="1:4" ht="15" customHeight="1" x14ac:dyDescent="0.25">
      <c r="C38" s="23"/>
    </row>
    <row r="41" spans="1:4" ht="15" customHeight="1" x14ac:dyDescent="0.25">
      <c r="B41" s="876"/>
      <c r="C41" s="876"/>
      <c r="D41" s="876"/>
    </row>
    <row r="44" spans="1:4" ht="15" customHeight="1" x14ac:dyDescent="0.25">
      <c r="B44" s="120"/>
      <c r="C44" s="120"/>
      <c r="D44" s="120"/>
    </row>
    <row r="45" spans="1:4" ht="15" customHeight="1" x14ac:dyDescent="0.25">
      <c r="D45" s="238"/>
    </row>
    <row r="46" spans="1:4" ht="15" customHeight="1" x14ac:dyDescent="0.25">
      <c r="D46" s="238"/>
    </row>
    <row r="47" spans="1:4" ht="15" customHeight="1" x14ac:dyDescent="0.25">
      <c r="D47" s="238"/>
    </row>
    <row r="48" spans="1:4" ht="15" customHeight="1" x14ac:dyDescent="0.25">
      <c r="D48" s="238"/>
    </row>
    <row r="49" spans="2:4" ht="15" customHeight="1" x14ac:dyDescent="0.25">
      <c r="D49" s="238"/>
    </row>
    <row r="50" spans="2:4" ht="15" customHeight="1" x14ac:dyDescent="0.25">
      <c r="D50" s="238"/>
    </row>
    <row r="51" spans="2:4" ht="15" customHeight="1" x14ac:dyDescent="0.25">
      <c r="D51" s="238"/>
    </row>
    <row r="52" spans="2:4" ht="15" customHeight="1" x14ac:dyDescent="0.25">
      <c r="D52" s="238"/>
    </row>
    <row r="53" spans="2:4" ht="15" customHeight="1" x14ac:dyDescent="0.25">
      <c r="B53" s="120"/>
      <c r="C53" s="120"/>
      <c r="D53" s="392"/>
    </row>
    <row r="54" spans="2:4" ht="15" customHeight="1" x14ac:dyDescent="0.25">
      <c r="B54" s="120"/>
      <c r="C54" s="120"/>
      <c r="D54" s="120"/>
    </row>
    <row r="55" spans="2:4" ht="15" customHeight="1" x14ac:dyDescent="0.25">
      <c r="D55" s="238"/>
    </row>
    <row r="56" spans="2:4" ht="15" customHeight="1" x14ac:dyDescent="0.25">
      <c r="D56" s="190"/>
    </row>
    <row r="57" spans="2:4" ht="15" customHeight="1" x14ac:dyDescent="0.25">
      <c r="D57" s="190"/>
    </row>
    <row r="58" spans="2:4" ht="15" customHeight="1" x14ac:dyDescent="0.25">
      <c r="D58" s="190"/>
    </row>
    <row r="59" spans="2:4" ht="15" customHeight="1" x14ac:dyDescent="0.25">
      <c r="D59" s="190"/>
    </row>
    <row r="60" spans="2:4" ht="15" customHeight="1" x14ac:dyDescent="0.25">
      <c r="D60" s="190"/>
    </row>
    <row r="61" spans="2:4" ht="15" customHeight="1" x14ac:dyDescent="0.25">
      <c r="B61" s="120"/>
      <c r="C61" s="120"/>
      <c r="D61" s="393"/>
    </row>
    <row r="62" spans="2:4" ht="15" customHeight="1" x14ac:dyDescent="0.25">
      <c r="B62" s="120"/>
      <c r="C62" s="120"/>
      <c r="D62" s="120"/>
    </row>
    <row r="63" spans="2:4" ht="15" customHeight="1" x14ac:dyDescent="0.25">
      <c r="D63" s="238"/>
    </row>
    <row r="64" spans="2:4" ht="15" customHeight="1" x14ac:dyDescent="0.25">
      <c r="D64" s="238"/>
    </row>
    <row r="65" spans="2:4" ht="15" customHeight="1" x14ac:dyDescent="0.25">
      <c r="D65" s="238"/>
    </row>
    <row r="66" spans="2:4" ht="15" customHeight="1" x14ac:dyDescent="0.25">
      <c r="D66" s="238"/>
    </row>
    <row r="67" spans="2:4" ht="15" customHeight="1" x14ac:dyDescent="0.25">
      <c r="D67" s="238"/>
    </row>
    <row r="68" spans="2:4" ht="15" customHeight="1" x14ac:dyDescent="0.25">
      <c r="B68" s="120"/>
      <c r="C68" s="120"/>
      <c r="D68" s="392"/>
    </row>
    <row r="69" spans="2:4" ht="15" customHeight="1" x14ac:dyDescent="0.25">
      <c r="B69" s="120"/>
      <c r="C69" s="120"/>
      <c r="D69" s="120"/>
    </row>
    <row r="70" spans="2:4" ht="15" customHeight="1" x14ac:dyDescent="0.25">
      <c r="D70" s="190"/>
    </row>
    <row r="71" spans="2:4" ht="15" customHeight="1" x14ac:dyDescent="0.25">
      <c r="D71" s="190"/>
    </row>
    <row r="72" spans="2:4" ht="15" customHeight="1" x14ac:dyDescent="0.25">
      <c r="B72" s="120"/>
      <c r="C72" s="120"/>
      <c r="D72" s="393"/>
    </row>
    <row r="73" spans="2:4" ht="15" customHeight="1" x14ac:dyDescent="0.25">
      <c r="B73" s="120"/>
      <c r="C73" s="23"/>
      <c r="D73" s="393"/>
    </row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2">
    <mergeCell ref="B2:D2"/>
    <mergeCell ref="B41:D41"/>
  </mergeCells>
  <pageMargins left="0.51180555555555596" right="0.51180555555555596" top="0.78749999999999998" bottom="0.78749999999999998" header="0.511811023622047" footer="0.31527777777777799"/>
  <pageSetup paperSize="9" firstPageNumber="38" fitToHeight="0" orientation="portrait" useFirstPageNumber="1" horizontalDpi="300" verticalDpi="300"/>
  <headerFooter>
    <oddFooter>&amp;R&amp;P de 45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048575"/>
  <sheetViews>
    <sheetView showGridLines="0" topLeftCell="A26" zoomScale="110" zoomScaleNormal="110" workbookViewId="0">
      <selection activeCell="F6" sqref="F6"/>
    </sheetView>
  </sheetViews>
  <sheetFormatPr defaultColWidth="8.7109375" defaultRowHeight="15" customHeight="1" x14ac:dyDescent="0.25"/>
  <cols>
    <col min="2" max="2" width="56" customWidth="1"/>
    <col min="3" max="3" width="12.42578125" customWidth="1"/>
  </cols>
  <sheetData>
    <row r="1" spans="1:5" ht="15" customHeight="1" x14ac:dyDescent="0.25">
      <c r="A1" s="86"/>
      <c r="B1" s="86"/>
      <c r="C1" s="86"/>
    </row>
    <row r="2" spans="1:5" ht="15.75" x14ac:dyDescent="0.25">
      <c r="A2" s="86"/>
      <c r="B2" s="877" t="s">
        <v>964</v>
      </c>
      <c r="C2" s="877"/>
    </row>
    <row r="3" spans="1:5" x14ac:dyDescent="0.25">
      <c r="A3" s="86"/>
      <c r="B3" s="321"/>
      <c r="C3" s="321"/>
    </row>
    <row r="4" spans="1:5" x14ac:dyDescent="0.25">
      <c r="A4" s="86"/>
      <c r="B4" s="881" t="s">
        <v>965</v>
      </c>
      <c r="C4" s="881"/>
    </row>
    <row r="5" spans="1:5" x14ac:dyDescent="0.25">
      <c r="A5" s="86"/>
      <c r="B5" s="287" t="s">
        <v>966</v>
      </c>
      <c r="C5" s="394">
        <v>4724</v>
      </c>
    </row>
    <row r="6" spans="1:5" x14ac:dyDescent="0.25">
      <c r="A6" s="86"/>
      <c r="B6" s="287" t="s">
        <v>967</v>
      </c>
      <c r="C6" s="394">
        <v>4492</v>
      </c>
    </row>
    <row r="7" spans="1:5" x14ac:dyDescent="0.25">
      <c r="A7" s="86"/>
      <c r="B7" s="96" t="s">
        <v>968</v>
      </c>
      <c r="C7" s="395">
        <f>C6*0.5869</f>
        <v>2636.3548000000001</v>
      </c>
    </row>
    <row r="8" spans="1:5" x14ac:dyDescent="0.25">
      <c r="A8" s="86"/>
      <c r="B8" s="287" t="s">
        <v>969</v>
      </c>
      <c r="C8" s="395"/>
      <c r="E8" s="238"/>
    </row>
    <row r="9" spans="1:5" x14ac:dyDescent="0.25">
      <c r="A9" s="86"/>
      <c r="B9" s="96" t="s">
        <v>970</v>
      </c>
      <c r="C9" s="395">
        <v>6956</v>
      </c>
    </row>
    <row r="10" spans="1:5" x14ac:dyDescent="0.25">
      <c r="A10" s="86"/>
      <c r="B10" s="96" t="s">
        <v>971</v>
      </c>
      <c r="C10" s="395">
        <v>7879</v>
      </c>
    </row>
    <row r="11" spans="1:5" x14ac:dyDescent="0.25">
      <c r="A11" s="86"/>
      <c r="B11" s="96" t="s">
        <v>972</v>
      </c>
      <c r="C11" s="395">
        <f>C5-C6</f>
        <v>232</v>
      </c>
      <c r="D11" s="238"/>
    </row>
    <row r="12" spans="1:5" x14ac:dyDescent="0.25">
      <c r="A12" s="86"/>
      <c r="B12" s="287" t="s">
        <v>973</v>
      </c>
      <c r="C12" s="394">
        <f>MEDIAN(C9:C10)</f>
        <v>7417.5</v>
      </c>
    </row>
    <row r="13" spans="1:5" x14ac:dyDescent="0.25">
      <c r="A13" s="86"/>
      <c r="B13" s="287" t="s">
        <v>974</v>
      </c>
      <c r="C13" s="396">
        <f>C7/C12</f>
        <v>0.35542363329962928</v>
      </c>
    </row>
    <row r="14" spans="1:5" x14ac:dyDescent="0.25">
      <c r="A14" s="86"/>
      <c r="B14" s="287" t="s">
        <v>975</v>
      </c>
      <c r="C14" s="396">
        <f>((C5+C6)/2)/C12</f>
        <v>0.62123356926188067</v>
      </c>
      <c r="D14" s="388"/>
    </row>
    <row r="15" spans="1:5" x14ac:dyDescent="0.25">
      <c r="A15" s="86"/>
      <c r="B15" s="287" t="s">
        <v>976</v>
      </c>
      <c r="C15" s="397">
        <f>12/C14</f>
        <v>19.31640625</v>
      </c>
    </row>
    <row r="16" spans="1:5" x14ac:dyDescent="0.25">
      <c r="A16" s="86"/>
      <c r="B16" s="287" t="s">
        <v>977</v>
      </c>
      <c r="C16" s="287">
        <v>360</v>
      </c>
    </row>
    <row r="17" spans="1:3" x14ac:dyDescent="0.25">
      <c r="A17" s="86"/>
      <c r="B17" s="287" t="s">
        <v>978</v>
      </c>
      <c r="C17" s="287">
        <v>10</v>
      </c>
    </row>
    <row r="18" spans="1:3" x14ac:dyDescent="0.25">
      <c r="A18" s="86"/>
      <c r="B18" s="287" t="s">
        <v>979</v>
      </c>
      <c r="C18" s="287">
        <v>30</v>
      </c>
    </row>
    <row r="19" spans="1:3" x14ac:dyDescent="0.25">
      <c r="A19" s="86"/>
      <c r="B19" s="287" t="s">
        <v>980</v>
      </c>
      <c r="C19" s="287">
        <v>30</v>
      </c>
    </row>
    <row r="20" spans="1:3" x14ac:dyDescent="0.25">
      <c r="A20" s="86"/>
      <c r="B20" s="287" t="s">
        <v>981</v>
      </c>
      <c r="C20" s="287">
        <f>30+(3*TRUNC(1,C14))</f>
        <v>33</v>
      </c>
    </row>
    <row r="21" spans="1:3" x14ac:dyDescent="0.25">
      <c r="A21" s="86"/>
      <c r="B21" s="287" t="s">
        <v>982</v>
      </c>
      <c r="C21" s="398">
        <v>0.08</v>
      </c>
    </row>
    <row r="22" spans="1:3" x14ac:dyDescent="0.25">
      <c r="A22" s="86"/>
      <c r="B22" s="287" t="s">
        <v>983</v>
      </c>
      <c r="C22" s="398">
        <v>0.4</v>
      </c>
    </row>
    <row r="23" spans="1:3" x14ac:dyDescent="0.25">
      <c r="A23" s="86"/>
      <c r="B23" s="882"/>
      <c r="C23" s="882"/>
    </row>
    <row r="24" spans="1:3" x14ac:dyDescent="0.25">
      <c r="A24" s="86"/>
      <c r="B24" s="883"/>
      <c r="C24" s="883"/>
    </row>
    <row r="25" spans="1:3" x14ac:dyDescent="0.25">
      <c r="A25" s="86"/>
      <c r="B25" s="878" t="s">
        <v>906</v>
      </c>
      <c r="C25" s="878"/>
    </row>
    <row r="26" spans="1:3" ht="99.75" customHeight="1" x14ac:dyDescent="0.25">
      <c r="A26" s="86"/>
      <c r="B26" s="874" t="s">
        <v>984</v>
      </c>
      <c r="C26" s="874"/>
    </row>
    <row r="27" spans="1:3" ht="16.5" customHeight="1" x14ac:dyDescent="0.25">
      <c r="A27" s="86"/>
      <c r="B27" s="878" t="s">
        <v>985</v>
      </c>
      <c r="C27" s="878"/>
    </row>
    <row r="28" spans="1:3" ht="141.75" customHeight="1" x14ac:dyDescent="0.25">
      <c r="A28" s="86"/>
      <c r="B28" s="880" t="s">
        <v>986</v>
      </c>
      <c r="C28" s="880"/>
    </row>
    <row r="29" spans="1:3" x14ac:dyDescent="0.25">
      <c r="B29" s="399"/>
    </row>
    <row r="37" spans="2:3" ht="15" customHeight="1" x14ac:dyDescent="0.25">
      <c r="B37" s="876"/>
      <c r="C37" s="876"/>
    </row>
    <row r="38" spans="2:3" ht="15" customHeight="1" x14ac:dyDescent="0.25">
      <c r="B38" s="186"/>
      <c r="C38" s="186"/>
    </row>
    <row r="39" spans="2:3" ht="15" customHeight="1" x14ac:dyDescent="0.25">
      <c r="B39" s="675"/>
      <c r="C39" s="675"/>
    </row>
    <row r="40" spans="2:3" ht="15" customHeight="1" x14ac:dyDescent="0.25">
      <c r="B40" s="120"/>
      <c r="C40" s="400"/>
    </row>
    <row r="41" spans="2:3" ht="15" customHeight="1" x14ac:dyDescent="0.25">
      <c r="B41" s="120"/>
      <c r="C41" s="400"/>
    </row>
    <row r="42" spans="2:3" ht="15" customHeight="1" x14ac:dyDescent="0.25">
      <c r="C42" s="401"/>
    </row>
    <row r="43" spans="2:3" ht="15" customHeight="1" x14ac:dyDescent="0.25">
      <c r="B43" s="120"/>
      <c r="C43" s="401"/>
    </row>
    <row r="44" spans="2:3" ht="15" customHeight="1" x14ac:dyDescent="0.25">
      <c r="C44" s="401"/>
    </row>
    <row r="45" spans="2:3" ht="15" customHeight="1" x14ac:dyDescent="0.25">
      <c r="C45" s="401"/>
    </row>
    <row r="46" spans="2:3" ht="15" customHeight="1" x14ac:dyDescent="0.25">
      <c r="C46" s="401"/>
    </row>
    <row r="47" spans="2:3" ht="15" customHeight="1" x14ac:dyDescent="0.25">
      <c r="C47" s="401"/>
    </row>
    <row r="48" spans="2:3" ht="15" customHeight="1" x14ac:dyDescent="0.25">
      <c r="B48" s="120"/>
      <c r="C48" s="400"/>
    </row>
    <row r="49" spans="2:3" ht="15" customHeight="1" x14ac:dyDescent="0.25">
      <c r="B49" s="120"/>
      <c r="C49" s="392"/>
    </row>
    <row r="50" spans="2:3" ht="15" customHeight="1" x14ac:dyDescent="0.25">
      <c r="B50" s="120"/>
      <c r="C50" s="392"/>
    </row>
    <row r="51" spans="2:3" ht="15" customHeight="1" x14ac:dyDescent="0.25">
      <c r="B51" s="120"/>
      <c r="C51" s="402"/>
    </row>
    <row r="52" spans="2:3" ht="15" customHeight="1" x14ac:dyDescent="0.25">
      <c r="B52" s="120"/>
      <c r="C52" s="120"/>
    </row>
    <row r="53" spans="2:3" ht="15" customHeight="1" x14ac:dyDescent="0.25">
      <c r="B53" s="120"/>
      <c r="C53" s="120"/>
    </row>
    <row r="54" spans="2:3" ht="15" customHeight="1" x14ac:dyDescent="0.25">
      <c r="B54" s="120"/>
      <c r="C54" s="120"/>
    </row>
    <row r="55" spans="2:3" ht="15" customHeight="1" x14ac:dyDescent="0.25">
      <c r="B55" s="120"/>
      <c r="C55" s="120"/>
    </row>
    <row r="56" spans="2:3" ht="15" customHeight="1" x14ac:dyDescent="0.25">
      <c r="B56" s="120"/>
      <c r="C56" s="120"/>
    </row>
    <row r="57" spans="2:3" ht="15" customHeight="1" x14ac:dyDescent="0.25">
      <c r="B57" s="120"/>
      <c r="C57" s="403"/>
    </row>
    <row r="58" spans="2:3" ht="15" customHeight="1" x14ac:dyDescent="0.25">
      <c r="B58" s="120"/>
      <c r="C58" s="403"/>
    </row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</sheetData>
  <mergeCells count="10">
    <mergeCell ref="B2:C2"/>
    <mergeCell ref="B4:C4"/>
    <mergeCell ref="B23:C23"/>
    <mergeCell ref="B24:C24"/>
    <mergeCell ref="B25:C25"/>
    <mergeCell ref="B26:C26"/>
    <mergeCell ref="B27:C27"/>
    <mergeCell ref="B28:C28"/>
    <mergeCell ref="B37:C37"/>
    <mergeCell ref="B39:C39"/>
  </mergeCells>
  <printOptions horizontalCentered="1"/>
  <pageMargins left="0.51180555555555596" right="0.51180555555555596" top="0.78749999999999998" bottom="0.78749999999999998" header="0.511811023622047" footer="0.31527777777777799"/>
  <pageSetup paperSize="9" firstPageNumber="39" orientation="portrait" useFirstPageNumber="1" horizontalDpi="300" verticalDpi="300"/>
  <headerFooter>
    <oddFooter>&amp;R&amp;P de 45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5"/>
  <sheetViews>
    <sheetView showGridLines="0" zoomScale="110" zoomScaleNormal="110" workbookViewId="0">
      <selection activeCell="D9" sqref="D9"/>
    </sheetView>
  </sheetViews>
  <sheetFormatPr defaultColWidth="8.7109375" defaultRowHeight="15" customHeight="1" x14ac:dyDescent="0.25"/>
  <cols>
    <col min="3" max="3" width="47" customWidth="1"/>
  </cols>
  <sheetData>
    <row r="1" spans="1:4" ht="15" customHeight="1" x14ac:dyDescent="0.25">
      <c r="A1" s="86"/>
      <c r="B1" s="86"/>
      <c r="C1" s="86"/>
      <c r="D1" s="86"/>
    </row>
    <row r="2" spans="1:4" ht="15.75" x14ac:dyDescent="0.25">
      <c r="A2" s="86"/>
      <c r="B2" s="877" t="s">
        <v>987</v>
      </c>
      <c r="C2" s="877"/>
      <c r="D2" s="877"/>
    </row>
    <row r="3" spans="1:4" ht="15" customHeight="1" x14ac:dyDescent="0.25">
      <c r="A3" s="86"/>
      <c r="B3" s="86"/>
      <c r="C3" s="86"/>
      <c r="D3" s="86"/>
    </row>
    <row r="4" spans="1:4" x14ac:dyDescent="0.25">
      <c r="A4" s="86"/>
      <c r="B4" s="382" t="s">
        <v>207</v>
      </c>
      <c r="C4" s="382" t="s">
        <v>174</v>
      </c>
      <c r="D4" s="404" t="s">
        <v>89</v>
      </c>
    </row>
    <row r="5" spans="1:4" x14ac:dyDescent="0.25">
      <c r="A5" s="86"/>
      <c r="B5" s="87" t="s">
        <v>6</v>
      </c>
      <c r="C5" s="287" t="s">
        <v>988</v>
      </c>
      <c r="D5" s="396">
        <v>5.0799999999999998E-2</v>
      </c>
    </row>
    <row r="6" spans="1:4" x14ac:dyDescent="0.25">
      <c r="A6" s="86"/>
      <c r="B6" s="87" t="s">
        <v>9</v>
      </c>
      <c r="C6" s="287" t="s">
        <v>989</v>
      </c>
      <c r="D6" s="396">
        <v>1.3299999999999999E-2</v>
      </c>
    </row>
    <row r="7" spans="1:4" x14ac:dyDescent="0.25">
      <c r="A7" s="86"/>
      <c r="B7" s="87" t="s">
        <v>12</v>
      </c>
      <c r="C7" s="287" t="s">
        <v>990</v>
      </c>
      <c r="D7" s="396">
        <v>0.1085</v>
      </c>
    </row>
    <row r="8" spans="1:4" x14ac:dyDescent="0.25">
      <c r="A8" s="86"/>
      <c r="B8" s="87" t="s">
        <v>15</v>
      </c>
      <c r="C8" s="287" t="s">
        <v>991</v>
      </c>
      <c r="D8" s="396">
        <f>(1+D9)^(D10/252)-1</f>
        <v>5.1255062445492161E-3</v>
      </c>
    </row>
    <row r="9" spans="1:4" x14ac:dyDescent="0.25">
      <c r="A9" s="86"/>
      <c r="B9" s="77" t="s">
        <v>992</v>
      </c>
      <c r="C9" s="96" t="s">
        <v>993</v>
      </c>
      <c r="D9" s="593">
        <v>0.13750000000000001</v>
      </c>
    </row>
    <row r="10" spans="1:4" x14ac:dyDescent="0.25">
      <c r="A10" s="86"/>
      <c r="B10" s="77" t="s">
        <v>994</v>
      </c>
      <c r="C10" s="96" t="s">
        <v>995</v>
      </c>
      <c r="D10" s="96">
        <v>10</v>
      </c>
    </row>
    <row r="11" spans="1:4" x14ac:dyDescent="0.25">
      <c r="A11" s="86"/>
      <c r="B11" s="87" t="s">
        <v>17</v>
      </c>
      <c r="C11" s="287" t="s">
        <v>996</v>
      </c>
      <c r="D11" s="396">
        <f>SUM(D12:D14)</f>
        <v>7.1500000000000008E-2</v>
      </c>
    </row>
    <row r="12" spans="1:4" x14ac:dyDescent="0.25">
      <c r="A12" s="86"/>
      <c r="B12" s="77" t="s">
        <v>997</v>
      </c>
      <c r="C12" s="96" t="s">
        <v>998</v>
      </c>
      <c r="D12" s="405">
        <v>3.5000000000000003E-2</v>
      </c>
    </row>
    <row r="13" spans="1:4" x14ac:dyDescent="0.25">
      <c r="A13" s="86"/>
      <c r="B13" s="77" t="s">
        <v>999</v>
      </c>
      <c r="C13" s="96" t="s">
        <v>1000</v>
      </c>
      <c r="D13" s="405">
        <v>6.4999999999999997E-3</v>
      </c>
    </row>
    <row r="14" spans="1:4" x14ac:dyDescent="0.25">
      <c r="A14" s="86"/>
      <c r="B14" s="77" t="s">
        <v>1001</v>
      </c>
      <c r="C14" s="96" t="s">
        <v>1002</v>
      </c>
      <c r="D14" s="405">
        <v>0.03</v>
      </c>
    </row>
    <row r="15" spans="1:4" x14ac:dyDescent="0.25">
      <c r="A15" s="86"/>
      <c r="B15" s="325"/>
      <c r="C15" s="406" t="s">
        <v>1003</v>
      </c>
      <c r="D15" s="407">
        <f>(((1+D5+D6)*(1+D7)*(1+D8))/(1-D11))-1</f>
        <v>0.27689893995634196</v>
      </c>
    </row>
    <row r="16" spans="1:4" ht="69" customHeight="1" x14ac:dyDescent="0.25">
      <c r="A16" s="86"/>
      <c r="B16" s="879" t="s">
        <v>1004</v>
      </c>
      <c r="C16" s="879"/>
      <c r="D16" s="879"/>
    </row>
    <row r="17" spans="1:4" ht="24" customHeight="1" x14ac:dyDescent="0.25">
      <c r="A17" s="86"/>
      <c r="B17" s="874" t="s">
        <v>1005</v>
      </c>
      <c r="C17" s="874"/>
      <c r="D17" s="874"/>
    </row>
    <row r="18" spans="1:4" ht="30.75" customHeight="1" x14ac:dyDescent="0.25">
      <c r="A18" s="86"/>
      <c r="B18" s="874" t="s">
        <v>1006</v>
      </c>
      <c r="C18" s="874"/>
      <c r="D18" s="874"/>
    </row>
    <row r="19" spans="1:4" ht="31.5" customHeight="1" x14ac:dyDescent="0.25">
      <c r="A19" s="86"/>
      <c r="B19" s="885" t="s">
        <v>1007</v>
      </c>
      <c r="C19" s="885"/>
      <c r="D19" s="885"/>
    </row>
    <row r="20" spans="1:4" ht="19.5" customHeight="1" x14ac:dyDescent="0.25">
      <c r="A20" s="86"/>
      <c r="B20" s="875" t="s">
        <v>1008</v>
      </c>
      <c r="C20" s="875"/>
      <c r="D20" s="875"/>
    </row>
    <row r="24" spans="1:4" ht="15" customHeight="1" x14ac:dyDescent="0.25">
      <c r="C24" s="23"/>
    </row>
    <row r="27" spans="1:4" ht="15" customHeight="1" x14ac:dyDescent="0.25">
      <c r="B27" s="876"/>
      <c r="C27" s="876"/>
      <c r="D27" s="876"/>
    </row>
    <row r="29" spans="1:4" ht="15" customHeight="1" x14ac:dyDescent="0.25">
      <c r="C29" s="23"/>
      <c r="D29" s="36"/>
    </row>
    <row r="30" spans="1:4" ht="15" customHeight="1" x14ac:dyDescent="0.25">
      <c r="B30" s="120"/>
      <c r="C30" s="120"/>
      <c r="D30" s="392"/>
    </row>
    <row r="31" spans="1:4" ht="15" customHeight="1" x14ac:dyDescent="0.25">
      <c r="B31" s="120"/>
      <c r="C31" s="120"/>
      <c r="D31" s="408"/>
    </row>
    <row r="32" spans="1:4" ht="15" customHeight="1" x14ac:dyDescent="0.25">
      <c r="B32" s="120"/>
      <c r="C32" s="120"/>
      <c r="D32" s="392"/>
    </row>
    <row r="33" spans="2:4" ht="15" customHeight="1" x14ac:dyDescent="0.25">
      <c r="B33" s="120"/>
      <c r="C33" s="120"/>
      <c r="D33" s="392"/>
    </row>
    <row r="34" spans="2:4" ht="15" customHeight="1" x14ac:dyDescent="0.25">
      <c r="D34" s="238"/>
    </row>
    <row r="35" spans="2:4" ht="15" customHeight="1" x14ac:dyDescent="0.25">
      <c r="D35" s="409"/>
    </row>
    <row r="36" spans="2:4" ht="15" customHeight="1" x14ac:dyDescent="0.25">
      <c r="B36" s="120"/>
      <c r="C36" s="120"/>
      <c r="D36" s="408"/>
    </row>
    <row r="37" spans="2:4" ht="15" customHeight="1" x14ac:dyDescent="0.25">
      <c r="D37" s="410"/>
    </row>
    <row r="38" spans="2:4" ht="15" customHeight="1" x14ac:dyDescent="0.25">
      <c r="D38" s="410"/>
    </row>
    <row r="39" spans="2:4" ht="15" customHeight="1" x14ac:dyDescent="0.25">
      <c r="D39" s="410"/>
    </row>
    <row r="40" spans="2:4" ht="15" customHeight="1" x14ac:dyDescent="0.25">
      <c r="C40" s="120"/>
      <c r="D40" s="393"/>
    </row>
    <row r="41" spans="2:4" ht="54" customHeight="1" x14ac:dyDescent="0.25">
      <c r="B41" s="884"/>
      <c r="C41" s="884"/>
      <c r="D41" s="884"/>
    </row>
    <row r="42" spans="2:4" ht="29.25" customHeight="1" x14ac:dyDescent="0.25">
      <c r="B42" s="884"/>
      <c r="C42" s="884"/>
      <c r="D42" s="884"/>
    </row>
    <row r="43" spans="2:4" ht="38.25" customHeight="1" x14ac:dyDescent="0.25">
      <c r="B43" s="884"/>
      <c r="C43" s="884"/>
      <c r="D43" s="884"/>
    </row>
    <row r="44" spans="2:4" ht="33.75" customHeight="1" x14ac:dyDescent="0.25">
      <c r="B44" s="884"/>
      <c r="C44" s="884"/>
      <c r="D44" s="884"/>
    </row>
    <row r="45" spans="2:4" ht="39.75" customHeight="1" x14ac:dyDescent="0.25">
      <c r="B45" s="884"/>
      <c r="C45" s="884"/>
      <c r="D45" s="884"/>
    </row>
  </sheetData>
  <mergeCells count="12">
    <mergeCell ref="B2:D2"/>
    <mergeCell ref="B16:D16"/>
    <mergeCell ref="B17:D17"/>
    <mergeCell ref="B18:D18"/>
    <mergeCell ref="B19:D19"/>
    <mergeCell ref="B44:D44"/>
    <mergeCell ref="B45:D45"/>
    <mergeCell ref="B20:D20"/>
    <mergeCell ref="B27:D27"/>
    <mergeCell ref="B41:D41"/>
    <mergeCell ref="B42:D42"/>
    <mergeCell ref="B43:D43"/>
  </mergeCells>
  <printOptions horizontalCentered="1"/>
  <pageMargins left="0.51180555555555596" right="0.51180555555555596" top="0.78749999999999998" bottom="0.78749999999999998" header="0.511811023622047" footer="0.31527777777777799"/>
  <pageSetup paperSize="9" firstPageNumber="40" orientation="portrait" useFirstPageNumber="1" horizontalDpi="300" verticalDpi="300"/>
  <headerFooter>
    <oddFooter>&amp;R&amp;P de 45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1048576"/>
  <sheetViews>
    <sheetView showGridLines="0" topLeftCell="A200" zoomScale="110" zoomScaleNormal="110" workbookViewId="0">
      <selection activeCell="L13" sqref="L13"/>
    </sheetView>
  </sheetViews>
  <sheetFormatPr defaultColWidth="8.7109375" defaultRowHeight="15" customHeight="1" x14ac:dyDescent="0.25"/>
  <cols>
    <col min="1" max="1" width="13" customWidth="1"/>
    <col min="2" max="2" width="7.85546875" customWidth="1"/>
    <col min="3" max="3" width="37.28515625" customWidth="1"/>
    <col min="4" max="4" width="9.140625" customWidth="1"/>
    <col min="5" max="5" width="37.42578125" customWidth="1"/>
    <col min="6" max="6" width="18.42578125" style="18" customWidth="1"/>
    <col min="7" max="7" width="24.140625" style="18" customWidth="1"/>
    <col min="8" max="8" width="11.7109375" style="18" customWidth="1"/>
    <col min="9" max="9" width="14.42578125" style="18" customWidth="1"/>
    <col min="10" max="10" width="14.42578125" customWidth="1"/>
    <col min="12" max="12" width="12.7109375" customWidth="1"/>
  </cols>
  <sheetData>
    <row r="1" spans="1:13" ht="15" customHeight="1" x14ac:dyDescent="0.25">
      <c r="A1" s="86"/>
      <c r="B1" s="86"/>
      <c r="C1" s="86"/>
      <c r="D1" s="86"/>
      <c r="E1" s="86"/>
      <c r="F1" s="411"/>
      <c r="G1" s="411"/>
      <c r="H1" s="411"/>
      <c r="I1" s="411"/>
      <c r="J1" s="252"/>
      <c r="K1" s="86"/>
    </row>
    <row r="2" spans="1:13" ht="15.75" x14ac:dyDescent="0.25">
      <c r="A2" s="86"/>
      <c r="B2" s="877" t="s">
        <v>1009</v>
      </c>
      <c r="C2" s="877"/>
      <c r="D2" s="877"/>
      <c r="E2" s="877"/>
      <c r="F2" s="877"/>
      <c r="G2" s="877"/>
      <c r="H2" s="877"/>
      <c r="I2" s="877"/>
      <c r="J2" s="877"/>
      <c r="K2" s="412"/>
      <c r="L2" s="24"/>
    </row>
    <row r="3" spans="1:13" ht="15" customHeight="1" x14ac:dyDescent="0.25">
      <c r="A3" s="86"/>
      <c r="B3" s="86"/>
      <c r="C3" s="86"/>
      <c r="D3" s="86"/>
      <c r="E3" s="86"/>
      <c r="F3" s="411"/>
      <c r="G3" s="411"/>
      <c r="H3" s="411"/>
      <c r="I3" s="411"/>
      <c r="J3" s="252"/>
      <c r="K3" s="86"/>
    </row>
    <row r="4" spans="1:13" x14ac:dyDescent="0.25">
      <c r="A4" s="86"/>
      <c r="B4" s="909" t="s">
        <v>1010</v>
      </c>
      <c r="C4" s="909"/>
      <c r="D4" s="909"/>
      <c r="E4" s="909"/>
      <c r="F4" s="909"/>
      <c r="G4" s="909"/>
      <c r="H4" s="909"/>
      <c r="I4" s="909"/>
      <c r="J4" s="909"/>
      <c r="K4" s="86"/>
    </row>
    <row r="5" spans="1:13" ht="25.5" x14ac:dyDescent="0.25">
      <c r="A5" s="86"/>
      <c r="B5" s="413" t="s">
        <v>1011</v>
      </c>
      <c r="C5" s="413" t="s">
        <v>1012</v>
      </c>
      <c r="D5" s="413" t="s">
        <v>22</v>
      </c>
      <c r="E5" s="413" t="s">
        <v>1013</v>
      </c>
      <c r="F5" s="413" t="s">
        <v>1014</v>
      </c>
      <c r="G5" s="413" t="s">
        <v>1015</v>
      </c>
      <c r="H5" s="414" t="s">
        <v>1016</v>
      </c>
      <c r="I5" s="413" t="s">
        <v>1017</v>
      </c>
      <c r="J5" s="414" t="s">
        <v>1018</v>
      </c>
      <c r="K5" s="86"/>
    </row>
    <row r="6" spans="1:13" ht="20.85" customHeight="1" x14ac:dyDescent="0.25">
      <c r="A6" s="86"/>
      <c r="B6" s="887" t="s">
        <v>1019</v>
      </c>
      <c r="C6" s="888" t="s">
        <v>1020</v>
      </c>
      <c r="D6" s="887" t="s">
        <v>229</v>
      </c>
      <c r="E6" s="417" t="s">
        <v>1021</v>
      </c>
      <c r="F6" s="418" t="s">
        <v>1022</v>
      </c>
      <c r="G6" s="419" t="s">
        <v>1023</v>
      </c>
      <c r="H6" s="420">
        <v>45596</v>
      </c>
      <c r="I6" s="295">
        <v>36.15</v>
      </c>
      <c r="J6" s="889">
        <f>AVERAGE(I6:$I$8)</f>
        <v>34.836666666666666</v>
      </c>
      <c r="K6" s="86"/>
      <c r="L6" s="388"/>
    </row>
    <row r="7" spans="1:13" x14ac:dyDescent="0.25">
      <c r="A7" s="86"/>
      <c r="B7" s="887"/>
      <c r="C7" s="887"/>
      <c r="D7" s="887"/>
      <c r="E7" s="422" t="s">
        <v>1024</v>
      </c>
      <c r="F7" s="423" t="s">
        <v>1025</v>
      </c>
      <c r="G7" s="424" t="s">
        <v>1026</v>
      </c>
      <c r="H7" s="425">
        <v>45965</v>
      </c>
      <c r="I7" s="288">
        <v>38.33</v>
      </c>
      <c r="J7" s="889"/>
      <c r="K7" s="86"/>
      <c r="L7" s="388"/>
    </row>
    <row r="8" spans="1:13" ht="25.5" x14ac:dyDescent="0.25">
      <c r="A8" s="86"/>
      <c r="B8" s="887"/>
      <c r="C8" s="887"/>
      <c r="D8" s="887"/>
      <c r="E8" s="426" t="s">
        <v>1027</v>
      </c>
      <c r="F8" s="427" t="s">
        <v>1028</v>
      </c>
      <c r="G8" s="428" t="s">
        <v>1029</v>
      </c>
      <c r="H8" s="429">
        <v>45716</v>
      </c>
      <c r="I8" s="289">
        <v>30.03</v>
      </c>
      <c r="J8" s="889"/>
      <c r="K8" s="86"/>
      <c r="L8" s="388"/>
    </row>
    <row r="9" spans="1:13" ht="15" customHeight="1" x14ac:dyDescent="0.25">
      <c r="A9" s="86"/>
      <c r="B9" s="887" t="s">
        <v>1030</v>
      </c>
      <c r="C9" s="888" t="s">
        <v>1031</v>
      </c>
      <c r="D9" s="887" t="s">
        <v>229</v>
      </c>
      <c r="E9" s="430" t="s">
        <v>1032</v>
      </c>
      <c r="F9" s="430" t="s">
        <v>1033</v>
      </c>
      <c r="G9" s="431" t="s">
        <v>1034</v>
      </c>
      <c r="H9" s="432">
        <v>45741</v>
      </c>
      <c r="I9" s="433">
        <v>8.1999999999999993</v>
      </c>
      <c r="J9" s="889">
        <f>AVERAGE(I9:I11)</f>
        <v>8.4966666666666661</v>
      </c>
      <c r="K9" s="86"/>
      <c r="L9" s="388"/>
    </row>
    <row r="10" spans="1:13" ht="25.5" x14ac:dyDescent="0.25">
      <c r="A10" s="86"/>
      <c r="B10" s="887"/>
      <c r="C10" s="887"/>
      <c r="D10" s="887"/>
      <c r="E10" s="422" t="s">
        <v>1035</v>
      </c>
      <c r="F10" s="423" t="s">
        <v>1036</v>
      </c>
      <c r="G10" s="424" t="s">
        <v>1037</v>
      </c>
      <c r="H10" s="434">
        <v>45581</v>
      </c>
      <c r="I10" s="288">
        <v>8.25</v>
      </c>
      <c r="J10" s="889"/>
      <c r="K10" s="86"/>
      <c r="L10" s="388"/>
    </row>
    <row r="11" spans="1:13" ht="25.5" x14ac:dyDescent="0.25">
      <c r="A11" s="86"/>
      <c r="B11" s="887"/>
      <c r="C11" s="887"/>
      <c r="D11" s="887"/>
      <c r="E11" s="435" t="s">
        <v>1038</v>
      </c>
      <c r="F11" s="427" t="s">
        <v>1039</v>
      </c>
      <c r="G11" s="428" t="s">
        <v>1040</v>
      </c>
      <c r="H11" s="429">
        <v>45625</v>
      </c>
      <c r="I11" s="289">
        <v>9.0399999999999991</v>
      </c>
      <c r="J11" s="889"/>
      <c r="K11" s="86"/>
      <c r="L11" s="388"/>
    </row>
    <row r="12" spans="1:13" ht="20.85" customHeight="1" x14ac:dyDescent="0.25">
      <c r="A12" s="86"/>
      <c r="B12" s="887" t="s">
        <v>1041</v>
      </c>
      <c r="C12" s="888" t="s">
        <v>1042</v>
      </c>
      <c r="D12" s="887" t="s">
        <v>1043</v>
      </c>
      <c r="E12" s="417" t="s">
        <v>1044</v>
      </c>
      <c r="F12" s="418" t="s">
        <v>1045</v>
      </c>
      <c r="G12" s="436" t="s">
        <v>1026</v>
      </c>
      <c r="H12" s="437">
        <v>45769</v>
      </c>
      <c r="I12" s="433">
        <v>89.25</v>
      </c>
      <c r="J12" s="889">
        <f>AVERAGE(I12:$I$14)</f>
        <v>94.673333333333332</v>
      </c>
      <c r="K12" s="86"/>
      <c r="L12" s="388"/>
    </row>
    <row r="13" spans="1:13" ht="25.5" x14ac:dyDescent="0.25">
      <c r="A13" s="86"/>
      <c r="B13" s="887"/>
      <c r="C13" s="887"/>
      <c r="D13" s="887"/>
      <c r="E13" s="422" t="s">
        <v>1046</v>
      </c>
      <c r="F13" s="423" t="s">
        <v>1047</v>
      </c>
      <c r="G13" s="438" t="s">
        <v>1026</v>
      </c>
      <c r="H13" s="425">
        <v>45769</v>
      </c>
      <c r="I13" s="288">
        <v>97.12</v>
      </c>
      <c r="J13" s="889"/>
      <c r="K13" s="86"/>
      <c r="L13" s="388"/>
    </row>
    <row r="14" spans="1:13" ht="25.5" x14ac:dyDescent="0.25">
      <c r="A14" s="86"/>
      <c r="B14" s="887"/>
      <c r="C14" s="887"/>
      <c r="D14" s="887"/>
      <c r="E14" s="435" t="s">
        <v>1048</v>
      </c>
      <c r="F14" s="418" t="s">
        <v>1049</v>
      </c>
      <c r="G14" s="428" t="s">
        <v>1026</v>
      </c>
      <c r="H14" s="439">
        <v>45769</v>
      </c>
      <c r="I14" s="289">
        <v>97.65</v>
      </c>
      <c r="J14" s="889"/>
      <c r="K14" s="86"/>
      <c r="L14" s="388"/>
    </row>
    <row r="15" spans="1:13" ht="15" customHeight="1" x14ac:dyDescent="0.25">
      <c r="A15" s="86"/>
      <c r="B15" s="887" t="s">
        <v>1050</v>
      </c>
      <c r="C15" s="888" t="s">
        <v>1051</v>
      </c>
      <c r="D15" s="887" t="s">
        <v>229</v>
      </c>
      <c r="E15" s="430" t="s">
        <v>1052</v>
      </c>
      <c r="F15" s="430" t="s">
        <v>1053</v>
      </c>
      <c r="G15" s="431" t="s">
        <v>1054</v>
      </c>
      <c r="H15" s="432">
        <v>45490</v>
      </c>
      <c r="I15" s="433">
        <v>40.1</v>
      </c>
      <c r="J15" s="889">
        <f>AVERAGE(I15:$I$17)</f>
        <v>44.393333333333338</v>
      </c>
      <c r="K15" s="86"/>
      <c r="L15" s="388"/>
      <c r="M15" s="440"/>
    </row>
    <row r="16" spans="1:13" ht="25.5" x14ac:dyDescent="0.25">
      <c r="A16" s="86"/>
      <c r="B16" s="887"/>
      <c r="C16" s="887"/>
      <c r="D16" s="887"/>
      <c r="E16" s="423" t="s">
        <v>1055</v>
      </c>
      <c r="F16" s="423" t="s">
        <v>1056</v>
      </c>
      <c r="G16" s="424" t="s">
        <v>1057</v>
      </c>
      <c r="H16" s="434">
        <v>45456</v>
      </c>
      <c r="I16" s="288">
        <v>48.98</v>
      </c>
      <c r="J16" s="889"/>
      <c r="K16" s="86"/>
      <c r="L16" s="388"/>
    </row>
    <row r="17" spans="1:12" x14ac:dyDescent="0.25">
      <c r="A17" s="86"/>
      <c r="B17" s="887"/>
      <c r="C17" s="887"/>
      <c r="D17" s="887"/>
      <c r="E17" s="427" t="s">
        <v>1058</v>
      </c>
      <c r="F17" s="427" t="s">
        <v>1059</v>
      </c>
      <c r="G17" s="441" t="s">
        <v>1026</v>
      </c>
      <c r="H17" s="439">
        <v>45750</v>
      </c>
      <c r="I17" s="289">
        <v>44.1</v>
      </c>
      <c r="J17" s="889"/>
      <c r="K17" s="86"/>
      <c r="L17" s="388"/>
    </row>
    <row r="18" spans="1:12" ht="15" customHeight="1" x14ac:dyDescent="0.25">
      <c r="A18" s="86"/>
      <c r="B18" s="887" t="s">
        <v>1060</v>
      </c>
      <c r="C18" s="888" t="s">
        <v>1061</v>
      </c>
      <c r="D18" s="887" t="s">
        <v>229</v>
      </c>
      <c r="E18" s="417" t="s">
        <v>1062</v>
      </c>
      <c r="F18" s="418" t="s">
        <v>1063</v>
      </c>
      <c r="G18" s="442" t="s">
        <v>1026</v>
      </c>
      <c r="H18" s="443">
        <v>45758</v>
      </c>
      <c r="I18" s="433">
        <v>82.98</v>
      </c>
      <c r="J18" s="889">
        <f>AVERAGE(I18:$I$20)</f>
        <v>83.660000000000011</v>
      </c>
      <c r="K18" s="86"/>
      <c r="L18" s="388"/>
    </row>
    <row r="19" spans="1:12" x14ac:dyDescent="0.25">
      <c r="A19" s="86"/>
      <c r="B19" s="887"/>
      <c r="C19" s="887"/>
      <c r="D19" s="887"/>
      <c r="E19" s="422" t="s">
        <v>1064</v>
      </c>
      <c r="F19" s="444" t="s">
        <v>1065</v>
      </c>
      <c r="G19" s="442" t="s">
        <v>1026</v>
      </c>
      <c r="H19" s="425">
        <v>45758</v>
      </c>
      <c r="I19" s="288">
        <v>78.75</v>
      </c>
      <c r="J19" s="889"/>
      <c r="K19" s="86"/>
      <c r="L19" s="388"/>
    </row>
    <row r="20" spans="1:12" x14ac:dyDescent="0.25">
      <c r="A20" s="86"/>
      <c r="B20" s="887"/>
      <c r="C20" s="887"/>
      <c r="D20" s="887"/>
      <c r="E20" s="426" t="s">
        <v>1066</v>
      </c>
      <c r="F20" s="427" t="s">
        <v>1067</v>
      </c>
      <c r="G20" s="442" t="s">
        <v>1026</v>
      </c>
      <c r="H20" s="445">
        <v>45758</v>
      </c>
      <c r="I20" s="289">
        <v>89.25</v>
      </c>
      <c r="J20" s="889"/>
      <c r="K20" s="86"/>
      <c r="L20" s="388"/>
    </row>
    <row r="21" spans="1:12" ht="20.85" customHeight="1" x14ac:dyDescent="0.25">
      <c r="A21" s="86"/>
      <c r="B21" s="887" t="s">
        <v>1068</v>
      </c>
      <c r="C21" s="888" t="s">
        <v>1069</v>
      </c>
      <c r="D21" s="887" t="s">
        <v>229</v>
      </c>
      <c r="E21" s="417" t="s">
        <v>1070</v>
      </c>
      <c r="F21" s="430" t="s">
        <v>1071</v>
      </c>
      <c r="G21" s="431" t="s">
        <v>1037</v>
      </c>
      <c r="H21" s="432">
        <v>45581</v>
      </c>
      <c r="I21" s="433">
        <v>9.34</v>
      </c>
      <c r="J21" s="889">
        <f>AVERAGE(I21:$I$23)</f>
        <v>9.2099999999999991</v>
      </c>
      <c r="K21" s="86"/>
      <c r="L21" s="388"/>
    </row>
    <row r="22" spans="1:12" ht="27" customHeight="1" x14ac:dyDescent="0.25">
      <c r="A22" s="86"/>
      <c r="B22" s="887"/>
      <c r="C22" s="887"/>
      <c r="D22" s="887"/>
      <c r="E22" s="423" t="s">
        <v>1072</v>
      </c>
      <c r="F22" s="423" t="s">
        <v>1073</v>
      </c>
      <c r="G22" s="424" t="s">
        <v>1074</v>
      </c>
      <c r="H22" s="434">
        <v>45632</v>
      </c>
      <c r="I22" s="288">
        <v>9.68</v>
      </c>
      <c r="J22" s="889"/>
      <c r="K22" s="86"/>
      <c r="L22" s="388"/>
    </row>
    <row r="23" spans="1:12" ht="25.5" x14ac:dyDescent="0.25">
      <c r="A23" s="86"/>
      <c r="B23" s="887"/>
      <c r="C23" s="887"/>
      <c r="D23" s="887"/>
      <c r="E23" s="426" t="s">
        <v>1075</v>
      </c>
      <c r="F23" s="427" t="s">
        <v>1076</v>
      </c>
      <c r="G23" s="428" t="s">
        <v>1026</v>
      </c>
      <c r="H23" s="429">
        <v>45632</v>
      </c>
      <c r="I23" s="289">
        <v>8.61</v>
      </c>
      <c r="J23" s="889"/>
      <c r="K23" s="86"/>
      <c r="L23" s="388"/>
    </row>
    <row r="24" spans="1:12" ht="15" customHeight="1" x14ac:dyDescent="0.25">
      <c r="A24" s="86"/>
      <c r="B24" s="887" t="s">
        <v>1077</v>
      </c>
      <c r="C24" s="888" t="s">
        <v>1078</v>
      </c>
      <c r="D24" s="887" t="s">
        <v>229</v>
      </c>
      <c r="E24" s="417" t="s">
        <v>1079</v>
      </c>
      <c r="F24" s="430" t="s">
        <v>1080</v>
      </c>
      <c r="G24" s="431" t="s">
        <v>1034</v>
      </c>
      <c r="H24" s="446">
        <v>45741</v>
      </c>
      <c r="I24" s="433">
        <v>63.22</v>
      </c>
      <c r="J24" s="889">
        <f>AVERAGE(I24:$I$26)</f>
        <v>55.079999999999991</v>
      </c>
      <c r="K24" s="86"/>
      <c r="L24" s="388"/>
    </row>
    <row r="25" spans="1:12" ht="25.5" x14ac:dyDescent="0.25">
      <c r="A25" s="86"/>
      <c r="B25" s="887"/>
      <c r="C25" s="887"/>
      <c r="D25" s="887"/>
      <c r="E25" s="422" t="s">
        <v>1081</v>
      </c>
      <c r="F25" s="423" t="s">
        <v>1082</v>
      </c>
      <c r="G25" s="424" t="s">
        <v>1083</v>
      </c>
      <c r="H25" s="434">
        <v>45425</v>
      </c>
      <c r="I25" s="288">
        <v>47.76</v>
      </c>
      <c r="J25" s="889"/>
      <c r="K25" s="86"/>
      <c r="L25" s="388"/>
    </row>
    <row r="26" spans="1:12" ht="25.5" x14ac:dyDescent="0.25">
      <c r="A26" s="86"/>
      <c r="B26" s="887"/>
      <c r="C26" s="887"/>
      <c r="D26" s="887"/>
      <c r="E26" s="427" t="s">
        <v>1084</v>
      </c>
      <c r="F26" s="427" t="s">
        <v>1053</v>
      </c>
      <c r="G26" s="428" t="s">
        <v>1054</v>
      </c>
      <c r="H26" s="420">
        <v>45490</v>
      </c>
      <c r="I26" s="289">
        <v>54.26</v>
      </c>
      <c r="J26" s="889"/>
      <c r="K26" s="86"/>
      <c r="L26" s="388"/>
    </row>
    <row r="27" spans="1:12" ht="20.85" customHeight="1" x14ac:dyDescent="0.25">
      <c r="A27" s="86"/>
      <c r="B27" s="887" t="s">
        <v>1085</v>
      </c>
      <c r="C27" s="888" t="s">
        <v>1086</v>
      </c>
      <c r="D27" s="887" t="s">
        <v>229</v>
      </c>
      <c r="E27" s="417" t="s">
        <v>1087</v>
      </c>
      <c r="F27" s="430" t="s">
        <v>1088</v>
      </c>
      <c r="G27" s="431" t="s">
        <v>1089</v>
      </c>
      <c r="H27" s="432">
        <v>45436</v>
      </c>
      <c r="I27" s="433">
        <v>67.5</v>
      </c>
      <c r="J27" s="889">
        <f>AVERAGE(I27:$I29)</f>
        <v>67.736666666666665</v>
      </c>
      <c r="K27" s="86"/>
      <c r="L27" s="388"/>
    </row>
    <row r="28" spans="1:12" x14ac:dyDescent="0.25">
      <c r="A28" s="86"/>
      <c r="B28" s="887"/>
      <c r="C28" s="887"/>
      <c r="D28" s="887"/>
      <c r="E28" s="422" t="s">
        <v>1090</v>
      </c>
      <c r="F28" s="423" t="s">
        <v>1091</v>
      </c>
      <c r="G28" s="424" t="s">
        <v>1026</v>
      </c>
      <c r="H28" s="425">
        <v>45758</v>
      </c>
      <c r="I28" s="288">
        <v>72.72</v>
      </c>
      <c r="J28" s="889"/>
      <c r="K28" s="86"/>
      <c r="L28" s="388"/>
    </row>
    <row r="29" spans="1:12" ht="25.5" x14ac:dyDescent="0.25">
      <c r="A29" s="86"/>
      <c r="B29" s="887"/>
      <c r="C29" s="887"/>
      <c r="D29" s="887"/>
      <c r="E29" s="447" t="s">
        <v>1084</v>
      </c>
      <c r="F29" s="418" t="s">
        <v>1053</v>
      </c>
      <c r="G29" s="428" t="s">
        <v>1092</v>
      </c>
      <c r="H29" s="429">
        <v>45699</v>
      </c>
      <c r="I29" s="289">
        <v>62.99</v>
      </c>
      <c r="J29" s="889"/>
      <c r="K29" s="86"/>
      <c r="L29" s="388"/>
    </row>
    <row r="30" spans="1:12" ht="15" customHeight="1" x14ac:dyDescent="0.25">
      <c r="A30" s="86"/>
      <c r="B30" s="887" t="s">
        <v>1093</v>
      </c>
      <c r="C30" s="888" t="s">
        <v>1094</v>
      </c>
      <c r="D30" s="887" t="s">
        <v>1095</v>
      </c>
      <c r="E30" s="417" t="s">
        <v>1096</v>
      </c>
      <c r="F30" s="430" t="s">
        <v>1097</v>
      </c>
      <c r="G30" s="431" t="s">
        <v>1098</v>
      </c>
      <c r="H30" s="437">
        <v>45625</v>
      </c>
      <c r="I30" s="433">
        <v>80.62</v>
      </c>
      <c r="J30" s="889">
        <f>AVERAGE(I30:$I$32)</f>
        <v>84.38</v>
      </c>
      <c r="K30" s="86"/>
      <c r="L30" s="388"/>
    </row>
    <row r="31" spans="1:12" x14ac:dyDescent="0.25">
      <c r="A31" s="86"/>
      <c r="B31" s="887"/>
      <c r="C31" s="887"/>
      <c r="D31" s="887"/>
      <c r="E31" s="422" t="s">
        <v>1099</v>
      </c>
      <c r="F31" s="423" t="s">
        <v>1100</v>
      </c>
      <c r="G31" s="438" t="s">
        <v>1026</v>
      </c>
      <c r="H31" s="425">
        <v>45754</v>
      </c>
      <c r="I31" s="288">
        <v>94.39</v>
      </c>
      <c r="J31" s="889"/>
      <c r="K31" s="86"/>
      <c r="L31" s="388"/>
    </row>
    <row r="32" spans="1:12" x14ac:dyDescent="0.25">
      <c r="A32" s="86"/>
      <c r="B32" s="887"/>
      <c r="C32" s="887"/>
      <c r="D32" s="887"/>
      <c r="E32" s="435" t="s">
        <v>1101</v>
      </c>
      <c r="F32" s="418" t="s">
        <v>1102</v>
      </c>
      <c r="G32" s="441" t="s">
        <v>1026</v>
      </c>
      <c r="H32" s="425">
        <v>45754</v>
      </c>
      <c r="I32" s="289">
        <v>78.13</v>
      </c>
      <c r="J32" s="889"/>
      <c r="K32" s="86"/>
      <c r="L32" s="388"/>
    </row>
    <row r="33" spans="1:14" ht="15" customHeight="1" x14ac:dyDescent="0.25">
      <c r="A33" s="86"/>
      <c r="B33" s="887" t="s">
        <v>1103</v>
      </c>
      <c r="C33" s="888" t="s">
        <v>1104</v>
      </c>
      <c r="D33" s="887" t="s">
        <v>229</v>
      </c>
      <c r="E33" s="417" t="s">
        <v>1105</v>
      </c>
      <c r="F33" s="430" t="s">
        <v>1106</v>
      </c>
      <c r="G33" s="448" t="s">
        <v>1026</v>
      </c>
      <c r="H33" s="437">
        <v>45777</v>
      </c>
      <c r="I33" s="433">
        <v>40.840000000000003</v>
      </c>
      <c r="J33" s="889">
        <f>AVERAGE(I33:$I$35)</f>
        <v>44.47</v>
      </c>
      <c r="K33" s="86"/>
      <c r="L33" s="388"/>
    </row>
    <row r="34" spans="1:14" x14ac:dyDescent="0.25">
      <c r="A34" s="86"/>
      <c r="B34" s="887"/>
      <c r="C34" s="887"/>
      <c r="D34" s="887"/>
      <c r="E34" s="423" t="s">
        <v>1107</v>
      </c>
      <c r="F34" s="423" t="s">
        <v>1108</v>
      </c>
      <c r="G34" s="438" t="s">
        <v>1026</v>
      </c>
      <c r="H34" s="425">
        <v>45751</v>
      </c>
      <c r="I34" s="288">
        <v>47.14</v>
      </c>
      <c r="J34" s="889"/>
      <c r="K34" s="86"/>
      <c r="L34" s="388"/>
    </row>
    <row r="35" spans="1:14" x14ac:dyDescent="0.25">
      <c r="A35" s="86"/>
      <c r="B35" s="887"/>
      <c r="C35" s="887"/>
      <c r="D35" s="887"/>
      <c r="E35" s="427" t="s">
        <v>1109</v>
      </c>
      <c r="F35" s="427" t="s">
        <v>1110</v>
      </c>
      <c r="G35" s="449" t="s">
        <v>1026</v>
      </c>
      <c r="H35" s="439">
        <v>45751</v>
      </c>
      <c r="I35" s="289">
        <v>45.43</v>
      </c>
      <c r="J35" s="889"/>
      <c r="K35" s="86"/>
      <c r="L35" s="388"/>
    </row>
    <row r="36" spans="1:14" ht="15" customHeight="1" x14ac:dyDescent="0.25">
      <c r="A36" s="86"/>
      <c r="B36" s="887" t="s">
        <v>1111</v>
      </c>
      <c r="C36" s="888" t="s">
        <v>1112</v>
      </c>
      <c r="D36" s="887" t="s">
        <v>229</v>
      </c>
      <c r="E36" s="450" t="s">
        <v>1113</v>
      </c>
      <c r="F36" s="451" t="s">
        <v>1114</v>
      </c>
      <c r="G36" s="448" t="s">
        <v>1026</v>
      </c>
      <c r="H36" s="437">
        <v>45777</v>
      </c>
      <c r="I36" s="433">
        <v>18.48</v>
      </c>
      <c r="J36" s="889">
        <f>AVERAGE(I36:$I$38)</f>
        <v>21.349999999999998</v>
      </c>
      <c r="K36" s="86"/>
      <c r="L36" s="388"/>
    </row>
    <row r="37" spans="1:14" ht="25.5" x14ac:dyDescent="0.25">
      <c r="A37" s="86"/>
      <c r="B37" s="887"/>
      <c r="C37" s="887"/>
      <c r="D37" s="887"/>
      <c r="E37" s="422" t="s">
        <v>1115</v>
      </c>
      <c r="F37" s="423" t="s">
        <v>1116</v>
      </c>
      <c r="G37" s="424" t="s">
        <v>1117</v>
      </c>
      <c r="H37" s="434">
        <v>45482</v>
      </c>
      <c r="I37" s="288">
        <v>20.7</v>
      </c>
      <c r="J37" s="889"/>
      <c r="K37" s="86"/>
      <c r="L37" s="388"/>
    </row>
    <row r="38" spans="1:14" ht="25.5" x14ac:dyDescent="0.25">
      <c r="A38" s="86"/>
      <c r="B38" s="887"/>
      <c r="C38" s="887"/>
      <c r="D38" s="887"/>
      <c r="E38" s="426" t="s">
        <v>1118</v>
      </c>
      <c r="F38" s="427" t="s">
        <v>1119</v>
      </c>
      <c r="G38" s="428" t="s">
        <v>1098</v>
      </c>
      <c r="H38" s="439">
        <v>45625</v>
      </c>
      <c r="I38" s="289">
        <v>24.87</v>
      </c>
      <c r="J38" s="889"/>
      <c r="K38" s="86"/>
      <c r="L38" s="388"/>
    </row>
    <row r="39" spans="1:14" ht="15" customHeight="1" x14ac:dyDescent="0.25">
      <c r="A39" s="86"/>
      <c r="B39" s="887" t="s">
        <v>1120</v>
      </c>
      <c r="C39" s="888" t="s">
        <v>1121</v>
      </c>
      <c r="D39" s="887" t="s">
        <v>229</v>
      </c>
      <c r="E39" s="430" t="s">
        <v>1109</v>
      </c>
      <c r="F39" s="430" t="s">
        <v>1110</v>
      </c>
      <c r="G39" s="448" t="s">
        <v>1026</v>
      </c>
      <c r="H39" s="437">
        <v>45751</v>
      </c>
      <c r="I39" s="433">
        <v>42</v>
      </c>
      <c r="J39" s="889">
        <f>AVERAGE(I39:$I$41)</f>
        <v>42.74</v>
      </c>
      <c r="K39" s="86"/>
      <c r="L39" s="388"/>
    </row>
    <row r="40" spans="1:14" ht="25.5" x14ac:dyDescent="0.25">
      <c r="A40" s="86"/>
      <c r="B40" s="887"/>
      <c r="C40" s="887"/>
      <c r="D40" s="887"/>
      <c r="E40" s="422" t="s">
        <v>1122</v>
      </c>
      <c r="F40" s="423" t="s">
        <v>1123</v>
      </c>
      <c r="G40" s="438" t="s">
        <v>1026</v>
      </c>
      <c r="H40" s="425">
        <v>45751</v>
      </c>
      <c r="I40" s="288">
        <v>46.72</v>
      </c>
      <c r="J40" s="889"/>
      <c r="K40" s="86"/>
      <c r="L40" s="388"/>
    </row>
    <row r="41" spans="1:14" x14ac:dyDescent="0.25">
      <c r="A41" s="86"/>
      <c r="B41" s="887"/>
      <c r="C41" s="887"/>
      <c r="D41" s="887"/>
      <c r="E41" s="426" t="s">
        <v>1124</v>
      </c>
      <c r="F41" s="427" t="s">
        <v>1125</v>
      </c>
      <c r="G41" s="441" t="s">
        <v>1026</v>
      </c>
      <c r="H41" s="439">
        <v>45751</v>
      </c>
      <c r="I41" s="289">
        <v>39.5</v>
      </c>
      <c r="J41" s="889"/>
      <c r="K41" s="86"/>
      <c r="L41" s="388"/>
    </row>
    <row r="42" spans="1:14" ht="15" customHeight="1" x14ac:dyDescent="0.25">
      <c r="A42" s="86"/>
      <c r="B42" s="887" t="s">
        <v>1126</v>
      </c>
      <c r="C42" s="888" t="s">
        <v>1127</v>
      </c>
      <c r="D42" s="887" t="s">
        <v>229</v>
      </c>
      <c r="E42" s="430" t="s">
        <v>1072</v>
      </c>
      <c r="F42" s="451" t="s">
        <v>1073</v>
      </c>
      <c r="G42" s="452" t="s">
        <v>1128</v>
      </c>
      <c r="H42" s="432">
        <v>45727</v>
      </c>
      <c r="I42" s="433">
        <v>18.010000000000002</v>
      </c>
      <c r="J42" s="889">
        <f>AVERAGE(I42:$I$44)</f>
        <v>16.393333333333334</v>
      </c>
      <c r="K42" s="86"/>
      <c r="L42" s="388"/>
    </row>
    <row r="43" spans="1:14" ht="25.5" x14ac:dyDescent="0.25">
      <c r="A43" s="86"/>
      <c r="B43" s="887"/>
      <c r="C43" s="887"/>
      <c r="D43" s="887"/>
      <c r="E43" s="422" t="s">
        <v>1129</v>
      </c>
      <c r="F43" s="423" t="s">
        <v>1130</v>
      </c>
      <c r="G43" s="424" t="s">
        <v>1092</v>
      </c>
      <c r="H43" s="434">
        <v>45699</v>
      </c>
      <c r="I43" s="288">
        <v>14.72</v>
      </c>
      <c r="J43" s="889"/>
      <c r="K43" s="86"/>
      <c r="L43" s="388"/>
    </row>
    <row r="44" spans="1:14" ht="25.5" x14ac:dyDescent="0.25">
      <c r="A44" s="86"/>
      <c r="B44" s="887"/>
      <c r="C44" s="887"/>
      <c r="D44" s="887"/>
      <c r="E44" s="426" t="s">
        <v>1131</v>
      </c>
      <c r="F44" s="427" t="s">
        <v>1132</v>
      </c>
      <c r="G44" s="428" t="s">
        <v>1133</v>
      </c>
      <c r="H44" s="429">
        <v>45512</v>
      </c>
      <c r="I44" s="289">
        <v>16.45</v>
      </c>
      <c r="J44" s="889"/>
      <c r="K44" s="86"/>
      <c r="L44" s="388"/>
    </row>
    <row r="45" spans="1:14" ht="15" customHeight="1" x14ac:dyDescent="0.25">
      <c r="A45" s="86"/>
      <c r="B45" s="887" t="s">
        <v>1134</v>
      </c>
      <c r="C45" s="891" t="s">
        <v>1135</v>
      </c>
      <c r="D45" s="887" t="s">
        <v>229</v>
      </c>
      <c r="E45" s="453" t="s">
        <v>1136</v>
      </c>
      <c r="F45" s="418" t="s">
        <v>1137</v>
      </c>
      <c r="G45" s="436" t="s">
        <v>1026</v>
      </c>
      <c r="H45" s="454">
        <v>45769</v>
      </c>
      <c r="I45" s="455">
        <v>427.4</v>
      </c>
      <c r="J45" s="889">
        <f>AVERAGE(I45:$I$47)</f>
        <v>416.23</v>
      </c>
      <c r="K45" s="86"/>
      <c r="L45" s="388"/>
    </row>
    <row r="46" spans="1:14" x14ac:dyDescent="0.25">
      <c r="A46" s="86"/>
      <c r="B46" s="887"/>
      <c r="C46" s="887"/>
      <c r="D46" s="887"/>
      <c r="E46" s="422" t="s">
        <v>1138</v>
      </c>
      <c r="F46" s="423" t="s">
        <v>1139</v>
      </c>
      <c r="G46" s="438" t="s">
        <v>1026</v>
      </c>
      <c r="H46" s="425">
        <v>45769</v>
      </c>
      <c r="I46" s="288">
        <v>412.98</v>
      </c>
      <c r="J46" s="889"/>
      <c r="K46" s="86"/>
      <c r="L46" s="388"/>
    </row>
    <row r="47" spans="1:14" ht="25.5" x14ac:dyDescent="0.25">
      <c r="A47" s="86"/>
      <c r="B47" s="887"/>
      <c r="C47" s="887"/>
      <c r="D47" s="887"/>
      <c r="E47" s="453" t="s">
        <v>1140</v>
      </c>
      <c r="F47" s="418" t="s">
        <v>1141</v>
      </c>
      <c r="G47" s="436" t="s">
        <v>1026</v>
      </c>
      <c r="H47" s="454">
        <v>45769</v>
      </c>
      <c r="I47" s="456">
        <v>408.31</v>
      </c>
      <c r="J47" s="889"/>
      <c r="K47" s="86"/>
      <c r="L47" s="388"/>
    </row>
    <row r="48" spans="1:14" ht="15" customHeight="1" x14ac:dyDescent="0.25">
      <c r="A48" s="86"/>
      <c r="B48" s="887" t="s">
        <v>1142</v>
      </c>
      <c r="C48" s="888" t="s">
        <v>373</v>
      </c>
      <c r="D48" s="887" t="s">
        <v>229</v>
      </c>
      <c r="E48" s="450" t="s">
        <v>1143</v>
      </c>
      <c r="F48" s="451" t="s">
        <v>1144</v>
      </c>
      <c r="G48" s="452" t="s">
        <v>1054</v>
      </c>
      <c r="H48" s="446">
        <v>45490</v>
      </c>
      <c r="I48" s="433">
        <v>19.12</v>
      </c>
      <c r="J48" s="889">
        <f>AVERAGE(I48:$I$50)</f>
        <v>18.52</v>
      </c>
      <c r="K48" s="86"/>
      <c r="L48" s="388"/>
      <c r="N48" t="str">
        <f>LOWER(L48)</f>
        <v/>
      </c>
    </row>
    <row r="49" spans="1:13" ht="25.5" x14ac:dyDescent="0.25">
      <c r="A49" s="86"/>
      <c r="B49" s="887"/>
      <c r="C49" s="887"/>
      <c r="D49" s="887"/>
      <c r="E49" s="422" t="s">
        <v>1035</v>
      </c>
      <c r="F49" s="423" t="s">
        <v>1036</v>
      </c>
      <c r="G49" s="424" t="s">
        <v>1145</v>
      </c>
      <c r="H49" s="434">
        <v>45497</v>
      </c>
      <c r="I49" s="288">
        <v>16.93</v>
      </c>
      <c r="J49" s="889"/>
      <c r="K49" s="86"/>
      <c r="L49" s="388"/>
    </row>
    <row r="50" spans="1:13" x14ac:dyDescent="0.25">
      <c r="A50" s="86"/>
      <c r="B50" s="887"/>
      <c r="C50" s="887"/>
      <c r="D50" s="887"/>
      <c r="E50" s="457" t="s">
        <v>1101</v>
      </c>
      <c r="F50" s="457" t="s">
        <v>1102</v>
      </c>
      <c r="G50" s="449" t="s">
        <v>1026</v>
      </c>
      <c r="H50" s="458">
        <v>45796</v>
      </c>
      <c r="I50" s="289">
        <v>19.510000000000002</v>
      </c>
      <c r="J50" s="889"/>
      <c r="K50" s="86"/>
      <c r="L50" s="388"/>
      <c r="M50" s="18"/>
    </row>
    <row r="51" spans="1:13" ht="30" customHeight="1" x14ac:dyDescent="0.25">
      <c r="A51" s="86"/>
      <c r="B51" s="887" t="s">
        <v>1146</v>
      </c>
      <c r="C51" s="888" t="s">
        <v>1147</v>
      </c>
      <c r="D51" s="887" t="s">
        <v>1148</v>
      </c>
      <c r="E51" s="422" t="s">
        <v>1149</v>
      </c>
      <c r="F51" s="423" t="s">
        <v>1150</v>
      </c>
      <c r="G51" s="436" t="s">
        <v>1151</v>
      </c>
      <c r="H51" s="432">
        <v>45588</v>
      </c>
      <c r="I51" s="459">
        <v>195.45</v>
      </c>
      <c r="J51" s="889">
        <f>AVERAGE(I51:$I$53)</f>
        <v>212.1933333333333</v>
      </c>
      <c r="K51" s="86"/>
      <c r="L51" s="388"/>
    </row>
    <row r="52" spans="1:13" ht="25.5" x14ac:dyDescent="0.25">
      <c r="A52" s="86"/>
      <c r="B52" s="887"/>
      <c r="C52" s="887"/>
      <c r="D52" s="887"/>
      <c r="E52" s="422" t="s">
        <v>1152</v>
      </c>
      <c r="F52" s="423" t="s">
        <v>1153</v>
      </c>
      <c r="G52" s="424" t="s">
        <v>1154</v>
      </c>
      <c r="H52" s="434">
        <v>45468</v>
      </c>
      <c r="I52" s="288">
        <v>231.14</v>
      </c>
      <c r="J52" s="889"/>
      <c r="K52" s="86"/>
      <c r="L52" s="388"/>
    </row>
    <row r="53" spans="1:13" ht="25.5" x14ac:dyDescent="0.25">
      <c r="A53" s="86"/>
      <c r="B53" s="887"/>
      <c r="C53" s="887"/>
      <c r="D53" s="887"/>
      <c r="E53" s="426" t="s">
        <v>1155</v>
      </c>
      <c r="F53" s="427" t="s">
        <v>1156</v>
      </c>
      <c r="G53" s="428" t="s">
        <v>1157</v>
      </c>
      <c r="H53" s="439">
        <v>45755</v>
      </c>
      <c r="I53" s="289">
        <v>209.99</v>
      </c>
      <c r="J53" s="889"/>
      <c r="K53" s="86"/>
      <c r="L53" s="388"/>
    </row>
    <row r="54" spans="1:13" ht="20.85" customHeight="1" x14ac:dyDescent="0.25">
      <c r="A54" s="86"/>
      <c r="B54" s="887" t="s">
        <v>1158</v>
      </c>
      <c r="C54" s="888" t="s">
        <v>1159</v>
      </c>
      <c r="D54" s="887" t="s">
        <v>229</v>
      </c>
      <c r="E54" s="417" t="s">
        <v>1160</v>
      </c>
      <c r="F54" s="430" t="s">
        <v>1161</v>
      </c>
      <c r="G54" s="436" t="s">
        <v>1162</v>
      </c>
      <c r="H54" s="432">
        <v>45679</v>
      </c>
      <c r="I54" s="433">
        <v>9.4</v>
      </c>
      <c r="J54" s="889">
        <f>AVERAGE(I54:$I$56)</f>
        <v>10.023333333333333</v>
      </c>
      <c r="K54" s="86"/>
      <c r="L54" s="388"/>
    </row>
    <row r="55" spans="1:13" x14ac:dyDescent="0.25">
      <c r="A55" s="86"/>
      <c r="B55" s="887"/>
      <c r="C55" s="887"/>
      <c r="D55" s="887"/>
      <c r="E55" s="422" t="s">
        <v>1163</v>
      </c>
      <c r="F55" s="423" t="s">
        <v>1164</v>
      </c>
      <c r="G55" s="438" t="s">
        <v>1026</v>
      </c>
      <c r="H55" s="425">
        <v>45754</v>
      </c>
      <c r="I55" s="288">
        <v>10.39</v>
      </c>
      <c r="J55" s="889"/>
      <c r="K55" s="86"/>
      <c r="L55" s="388"/>
    </row>
    <row r="56" spans="1:13" x14ac:dyDescent="0.25">
      <c r="A56" s="86"/>
      <c r="B56" s="887"/>
      <c r="C56" s="887"/>
      <c r="D56" s="887"/>
      <c r="E56" s="426" t="s">
        <v>1165</v>
      </c>
      <c r="F56" s="427" t="s">
        <v>1166</v>
      </c>
      <c r="G56" s="441" t="s">
        <v>1026</v>
      </c>
      <c r="H56" s="439">
        <v>45754</v>
      </c>
      <c r="I56" s="289">
        <v>10.28</v>
      </c>
      <c r="J56" s="889"/>
      <c r="K56" s="86"/>
      <c r="L56" s="388"/>
    </row>
    <row r="57" spans="1:13" ht="20.25" customHeight="1" x14ac:dyDescent="0.25">
      <c r="A57" s="86"/>
      <c r="B57" s="887" t="s">
        <v>1167</v>
      </c>
      <c r="C57" s="888" t="s">
        <v>1168</v>
      </c>
      <c r="D57" s="887" t="s">
        <v>1043</v>
      </c>
      <c r="E57" s="417" t="s">
        <v>1169</v>
      </c>
      <c r="F57" s="430" t="s">
        <v>1170</v>
      </c>
      <c r="G57" s="431" t="s">
        <v>1171</v>
      </c>
      <c r="H57" s="437">
        <v>45586</v>
      </c>
      <c r="I57" s="433">
        <v>9.18</v>
      </c>
      <c r="J57" s="889">
        <f>AVERAGE(I57:$I$59)</f>
        <v>8.4466666666666672</v>
      </c>
      <c r="K57" s="86"/>
      <c r="L57" s="388"/>
    </row>
    <row r="58" spans="1:13" x14ac:dyDescent="0.25">
      <c r="A58" s="86"/>
      <c r="B58" s="887"/>
      <c r="C58" s="887"/>
      <c r="D58" s="887"/>
      <c r="E58" s="422" t="s">
        <v>1172</v>
      </c>
      <c r="F58" s="423" t="s">
        <v>1173</v>
      </c>
      <c r="G58" s="438" t="s">
        <v>1026</v>
      </c>
      <c r="H58" s="425">
        <v>45796</v>
      </c>
      <c r="I58" s="288">
        <v>8.3800000000000008</v>
      </c>
      <c r="J58" s="889"/>
      <c r="K58" s="86"/>
      <c r="L58" s="388"/>
    </row>
    <row r="59" spans="1:13" x14ac:dyDescent="0.25">
      <c r="A59" s="86"/>
      <c r="B59" s="887"/>
      <c r="C59" s="887"/>
      <c r="D59" s="887"/>
      <c r="E59" s="426" t="s">
        <v>1174</v>
      </c>
      <c r="F59" s="427" t="s">
        <v>1175</v>
      </c>
      <c r="G59" s="428" t="s">
        <v>1026</v>
      </c>
      <c r="H59" s="439">
        <v>45796</v>
      </c>
      <c r="I59" s="289">
        <v>7.78</v>
      </c>
      <c r="J59" s="889"/>
      <c r="K59" s="86"/>
      <c r="L59" s="388"/>
    </row>
    <row r="60" spans="1:13" ht="15" customHeight="1" x14ac:dyDescent="0.25">
      <c r="A60" s="86"/>
      <c r="B60" s="887" t="s">
        <v>1176</v>
      </c>
      <c r="C60" s="888" t="s">
        <v>1177</v>
      </c>
      <c r="D60" s="887" t="s">
        <v>229</v>
      </c>
      <c r="E60" s="417" t="s">
        <v>1178</v>
      </c>
      <c r="F60" s="430" t="s">
        <v>1179</v>
      </c>
      <c r="G60" s="431" t="s">
        <v>1180</v>
      </c>
      <c r="H60" s="437">
        <v>45744</v>
      </c>
      <c r="I60" s="433">
        <v>4.22</v>
      </c>
      <c r="J60" s="889">
        <f>AVERAGE(I60:$I$62)</f>
        <v>4.1399999999999997</v>
      </c>
      <c r="K60" s="86"/>
      <c r="L60" s="388"/>
    </row>
    <row r="61" spans="1:13" ht="25.5" x14ac:dyDescent="0.25">
      <c r="A61" s="86"/>
      <c r="B61" s="887"/>
      <c r="C61" s="887"/>
      <c r="D61" s="887"/>
      <c r="E61" s="422" t="s">
        <v>1181</v>
      </c>
      <c r="F61" s="423" t="s">
        <v>1182</v>
      </c>
      <c r="G61" s="438" t="s">
        <v>1026</v>
      </c>
      <c r="H61" s="425">
        <v>45965</v>
      </c>
      <c r="I61" s="288">
        <v>3.72</v>
      </c>
      <c r="J61" s="889"/>
      <c r="K61" s="86"/>
      <c r="L61" s="388"/>
    </row>
    <row r="62" spans="1:13" ht="15.75" thickBot="1" x14ac:dyDescent="0.3">
      <c r="A62" s="86"/>
      <c r="B62" s="887"/>
      <c r="C62" s="887"/>
      <c r="D62" s="887"/>
      <c r="E62" s="426" t="s">
        <v>1183</v>
      </c>
      <c r="F62" s="427" t="s">
        <v>1025</v>
      </c>
      <c r="G62" s="428" t="s">
        <v>1026</v>
      </c>
      <c r="H62" s="439">
        <v>45796</v>
      </c>
      <c r="I62" s="289">
        <v>4.4800000000000004</v>
      </c>
      <c r="J62" s="889"/>
      <c r="K62" s="86"/>
      <c r="L62" s="388"/>
    </row>
    <row r="63" spans="1:13" ht="15" customHeight="1" thickBot="1" x14ac:dyDescent="0.3">
      <c r="A63" s="86"/>
      <c r="B63" s="887" t="s">
        <v>1184</v>
      </c>
      <c r="C63" s="888" t="s">
        <v>1185</v>
      </c>
      <c r="D63" s="887" t="s">
        <v>229</v>
      </c>
      <c r="E63" s="417" t="s">
        <v>1186</v>
      </c>
      <c r="F63" s="430" t="s">
        <v>1187</v>
      </c>
      <c r="G63" s="431" t="s">
        <v>1089</v>
      </c>
      <c r="H63" s="432">
        <v>45436</v>
      </c>
      <c r="I63" s="433">
        <v>110.3</v>
      </c>
      <c r="J63" s="907">
        <f>AVERAGE(I63:$I$65)</f>
        <v>111.56333333333333</v>
      </c>
      <c r="K63" s="86"/>
      <c r="L63" s="388"/>
    </row>
    <row r="64" spans="1:13" ht="30" customHeight="1" thickBot="1" x14ac:dyDescent="0.3">
      <c r="A64" s="86"/>
      <c r="B64" s="887"/>
      <c r="C64" s="887"/>
      <c r="D64" s="887"/>
      <c r="E64" s="423" t="s">
        <v>1052</v>
      </c>
      <c r="F64" s="423" t="s">
        <v>1053</v>
      </c>
      <c r="G64" s="424" t="s">
        <v>1054</v>
      </c>
      <c r="H64" s="434">
        <v>45490</v>
      </c>
      <c r="I64" s="288">
        <v>103.06</v>
      </c>
      <c r="J64" s="908"/>
      <c r="K64" s="86"/>
      <c r="L64" s="388"/>
    </row>
    <row r="65" spans="1:12" ht="26.25" thickBot="1" x14ac:dyDescent="0.3">
      <c r="A65" s="86"/>
      <c r="B65" s="887"/>
      <c r="C65" s="887"/>
      <c r="D65" s="887"/>
      <c r="E65" s="426" t="s">
        <v>1188</v>
      </c>
      <c r="F65" s="427" t="s">
        <v>1189</v>
      </c>
      <c r="G65" s="428" t="s">
        <v>1190</v>
      </c>
      <c r="H65" s="429">
        <v>45429</v>
      </c>
      <c r="I65" s="289">
        <v>121.33</v>
      </c>
      <c r="J65" s="892"/>
      <c r="K65" s="86"/>
      <c r="L65" s="388"/>
    </row>
    <row r="66" spans="1:12" ht="20.85" customHeight="1" thickBot="1" x14ac:dyDescent="0.3">
      <c r="A66" s="86"/>
      <c r="B66" s="887" t="s">
        <v>1191</v>
      </c>
      <c r="C66" s="888" t="s">
        <v>1192</v>
      </c>
      <c r="D66" s="887" t="s">
        <v>229</v>
      </c>
      <c r="E66" s="417" t="s">
        <v>1193</v>
      </c>
      <c r="F66" s="418" t="s">
        <v>1088</v>
      </c>
      <c r="G66" s="436" t="s">
        <v>1057</v>
      </c>
      <c r="H66" s="437">
        <v>45456</v>
      </c>
      <c r="I66" s="433">
        <v>150.6</v>
      </c>
      <c r="J66" s="889">
        <f>AVERAGE(I66:$I$68)</f>
        <v>156.05666666666664</v>
      </c>
      <c r="K66" s="86"/>
      <c r="L66" s="388"/>
    </row>
    <row r="67" spans="1:12" ht="35.25" customHeight="1" x14ac:dyDescent="0.25">
      <c r="A67" s="86"/>
      <c r="B67" s="887"/>
      <c r="C67" s="887"/>
      <c r="D67" s="887"/>
      <c r="E67" s="422" t="s">
        <v>1194</v>
      </c>
      <c r="F67" s="423" t="s">
        <v>1195</v>
      </c>
      <c r="G67" s="424" t="s">
        <v>1196</v>
      </c>
      <c r="H67" s="434">
        <v>45461</v>
      </c>
      <c r="I67" s="288">
        <v>161.80000000000001</v>
      </c>
      <c r="J67" s="889"/>
      <c r="K67" s="86"/>
      <c r="L67" s="388"/>
    </row>
    <row r="68" spans="1:12" ht="25.5" x14ac:dyDescent="0.25">
      <c r="A68" s="86"/>
      <c r="B68" s="887"/>
      <c r="C68" s="887"/>
      <c r="D68" s="887"/>
      <c r="E68" s="427" t="s">
        <v>1052</v>
      </c>
      <c r="F68" s="427" t="s">
        <v>1053</v>
      </c>
      <c r="G68" s="428" t="s">
        <v>1197</v>
      </c>
      <c r="H68" s="429">
        <v>45674</v>
      </c>
      <c r="I68" s="289">
        <v>155.77000000000001</v>
      </c>
      <c r="J68" s="889"/>
      <c r="K68" s="86"/>
      <c r="L68" s="388"/>
    </row>
    <row r="69" spans="1:12" ht="15" customHeight="1" x14ac:dyDescent="0.25">
      <c r="A69" s="86"/>
      <c r="B69" s="887" t="s">
        <v>1198</v>
      </c>
      <c r="C69" s="888" t="s">
        <v>1199</v>
      </c>
      <c r="D69" s="887" t="s">
        <v>1095</v>
      </c>
      <c r="E69" s="450" t="s">
        <v>1099</v>
      </c>
      <c r="F69" s="418" t="s">
        <v>1100</v>
      </c>
      <c r="G69" s="460" t="s">
        <v>1026</v>
      </c>
      <c r="H69" s="437">
        <v>45754</v>
      </c>
      <c r="I69" s="433">
        <v>5.03</v>
      </c>
      <c r="J69" s="889">
        <f>AVERAGE(I69:$I$71)</f>
        <v>5.1333333333333337</v>
      </c>
      <c r="K69" s="86"/>
      <c r="L69" s="388"/>
    </row>
    <row r="70" spans="1:12" x14ac:dyDescent="0.25">
      <c r="A70" s="86"/>
      <c r="B70" s="887"/>
      <c r="C70" s="887"/>
      <c r="D70" s="887"/>
      <c r="E70" s="423" t="s">
        <v>1200</v>
      </c>
      <c r="F70" s="423" t="s">
        <v>1201</v>
      </c>
      <c r="G70" s="438" t="s">
        <v>1026</v>
      </c>
      <c r="H70" s="425">
        <v>45754</v>
      </c>
      <c r="I70" s="288">
        <v>6.19</v>
      </c>
      <c r="J70" s="889"/>
      <c r="K70" s="86"/>
      <c r="L70" s="388"/>
    </row>
    <row r="71" spans="1:12" ht="25.5" x14ac:dyDescent="0.25">
      <c r="A71" s="86"/>
      <c r="B71" s="887"/>
      <c r="C71" s="887"/>
      <c r="D71" s="887"/>
      <c r="E71" s="426" t="s">
        <v>1202</v>
      </c>
      <c r="F71" s="427" t="s">
        <v>1203</v>
      </c>
      <c r="G71" s="461" t="s">
        <v>1204</v>
      </c>
      <c r="H71" s="429">
        <v>45670</v>
      </c>
      <c r="I71" s="289">
        <v>4.18</v>
      </c>
      <c r="J71" s="889"/>
      <c r="K71" s="86"/>
      <c r="L71" s="388"/>
    </row>
    <row r="72" spans="1:12" ht="30" customHeight="1" x14ac:dyDescent="0.25">
      <c r="A72" s="86"/>
      <c r="B72" s="887" t="s">
        <v>1205</v>
      </c>
      <c r="C72" s="888" t="s">
        <v>1206</v>
      </c>
      <c r="D72" s="887" t="s">
        <v>1095</v>
      </c>
      <c r="E72" s="430" t="s">
        <v>1072</v>
      </c>
      <c r="F72" s="418" t="s">
        <v>1073</v>
      </c>
      <c r="G72" s="419" t="s">
        <v>1089</v>
      </c>
      <c r="H72" s="432">
        <v>45436</v>
      </c>
      <c r="I72" s="433">
        <v>7.82</v>
      </c>
      <c r="J72" s="889">
        <f>AVERAGE(I72:$I$74)</f>
        <v>8.2700000000000014</v>
      </c>
      <c r="K72" s="86"/>
      <c r="L72" s="388"/>
    </row>
    <row r="73" spans="1:12" ht="30" customHeight="1" x14ac:dyDescent="0.25">
      <c r="A73" s="86"/>
      <c r="B73" s="887"/>
      <c r="C73" s="887"/>
      <c r="D73" s="887"/>
      <c r="E73" s="422" t="s">
        <v>1090</v>
      </c>
      <c r="F73" s="423" t="s">
        <v>1091</v>
      </c>
      <c r="G73" s="438" t="s">
        <v>1026</v>
      </c>
      <c r="H73" s="425">
        <v>45779</v>
      </c>
      <c r="I73" s="288">
        <v>9.75</v>
      </c>
      <c r="J73" s="889"/>
      <c r="K73" s="86"/>
      <c r="L73" s="388"/>
    </row>
    <row r="74" spans="1:12" ht="30" customHeight="1" x14ac:dyDescent="0.25">
      <c r="A74" s="86"/>
      <c r="B74" s="887"/>
      <c r="C74" s="887"/>
      <c r="D74" s="887"/>
      <c r="E74" s="426" t="s">
        <v>1207</v>
      </c>
      <c r="F74" s="427" t="s">
        <v>1208</v>
      </c>
      <c r="G74" s="441" t="s">
        <v>1026</v>
      </c>
      <c r="H74" s="439">
        <v>45758</v>
      </c>
      <c r="I74" s="289">
        <v>7.24</v>
      </c>
      <c r="J74" s="889"/>
      <c r="K74" s="86"/>
      <c r="L74" s="388"/>
    </row>
    <row r="75" spans="1:12" ht="30" customHeight="1" x14ac:dyDescent="0.25">
      <c r="A75" s="86"/>
      <c r="B75" s="887" t="s">
        <v>1209</v>
      </c>
      <c r="C75" s="888" t="s">
        <v>1210</v>
      </c>
      <c r="D75" s="887" t="s">
        <v>1095</v>
      </c>
      <c r="E75" s="450" t="s">
        <v>1087</v>
      </c>
      <c r="F75" s="451" t="s">
        <v>1088</v>
      </c>
      <c r="G75" s="431" t="s">
        <v>1089</v>
      </c>
      <c r="H75" s="432">
        <v>45436</v>
      </c>
      <c r="I75" s="433">
        <v>2.3199999999999998</v>
      </c>
      <c r="J75" s="889">
        <f>AVERAGE(I75:$I$77)</f>
        <v>2.8833333333333333</v>
      </c>
      <c r="K75" s="86"/>
      <c r="L75" s="388"/>
    </row>
    <row r="76" spans="1:12" x14ac:dyDescent="0.25">
      <c r="A76" s="86"/>
      <c r="B76" s="887"/>
      <c r="C76" s="887"/>
      <c r="D76" s="887"/>
      <c r="E76" s="422" t="s">
        <v>1211</v>
      </c>
      <c r="F76" s="462" t="s">
        <v>1212</v>
      </c>
      <c r="G76" s="438" t="s">
        <v>1026</v>
      </c>
      <c r="H76" s="425">
        <v>45754</v>
      </c>
      <c r="I76" s="288">
        <v>3.24</v>
      </c>
      <c r="J76" s="889"/>
      <c r="K76" s="86"/>
      <c r="L76" s="388"/>
    </row>
    <row r="77" spans="1:12" ht="25.5" x14ac:dyDescent="0.25">
      <c r="A77" s="86"/>
      <c r="B77" s="887"/>
      <c r="C77" s="887"/>
      <c r="D77" s="887"/>
      <c r="E77" s="426" t="s">
        <v>1213</v>
      </c>
      <c r="F77" s="427" t="s">
        <v>1214</v>
      </c>
      <c r="G77" s="449" t="s">
        <v>1026</v>
      </c>
      <c r="H77" s="439">
        <v>45754</v>
      </c>
      <c r="I77" s="289">
        <v>3.09</v>
      </c>
      <c r="J77" s="889"/>
      <c r="K77" s="86"/>
      <c r="L77" s="388"/>
    </row>
    <row r="78" spans="1:12" ht="15" customHeight="1" x14ac:dyDescent="0.25">
      <c r="A78" s="86"/>
      <c r="B78" s="887" t="s">
        <v>1215</v>
      </c>
      <c r="C78" s="888" t="s">
        <v>1216</v>
      </c>
      <c r="D78" s="887" t="s">
        <v>229</v>
      </c>
      <c r="E78" s="447" t="s">
        <v>1052</v>
      </c>
      <c r="F78" s="447" t="s">
        <v>1053</v>
      </c>
      <c r="G78" s="463" t="s">
        <v>1034</v>
      </c>
      <c r="H78" s="420">
        <v>45741</v>
      </c>
      <c r="I78" s="295">
        <v>145.52000000000001</v>
      </c>
      <c r="J78" s="889">
        <f>AVERAGE(I78:$I$80)</f>
        <v>146.51999999999998</v>
      </c>
      <c r="K78" s="86"/>
      <c r="L78" s="388"/>
    </row>
    <row r="79" spans="1:12" x14ac:dyDescent="0.25">
      <c r="A79" s="86"/>
      <c r="B79" s="887"/>
      <c r="C79" s="887"/>
      <c r="D79" s="887"/>
      <c r="E79" s="422" t="s">
        <v>1217</v>
      </c>
      <c r="F79" s="423" t="s">
        <v>1218</v>
      </c>
      <c r="G79" s="438" t="s">
        <v>1026</v>
      </c>
      <c r="H79" s="425">
        <v>45758</v>
      </c>
      <c r="I79" s="288">
        <v>157.38999999999999</v>
      </c>
      <c r="J79" s="889"/>
      <c r="K79" s="86"/>
      <c r="L79" s="388"/>
    </row>
    <row r="80" spans="1:12" x14ac:dyDescent="0.25">
      <c r="A80" s="86"/>
      <c r="B80" s="887"/>
      <c r="C80" s="887"/>
      <c r="D80" s="887"/>
      <c r="E80" s="426" t="s">
        <v>1090</v>
      </c>
      <c r="F80" s="427" t="s">
        <v>1091</v>
      </c>
      <c r="G80" s="441" t="s">
        <v>1026</v>
      </c>
      <c r="H80" s="439">
        <v>45758</v>
      </c>
      <c r="I80" s="289">
        <v>136.65</v>
      </c>
      <c r="J80" s="889"/>
      <c r="K80" s="86"/>
      <c r="L80" s="388"/>
    </row>
    <row r="81" spans="1:12" ht="15" customHeight="1" x14ac:dyDescent="0.25">
      <c r="A81" s="86"/>
      <c r="B81" s="887" t="s">
        <v>1219</v>
      </c>
      <c r="C81" s="888" t="s">
        <v>1220</v>
      </c>
      <c r="D81" s="887" t="s">
        <v>229</v>
      </c>
      <c r="E81" s="462" t="s">
        <v>1052</v>
      </c>
      <c r="F81" s="464" t="s">
        <v>1053</v>
      </c>
      <c r="G81" s="463" t="s">
        <v>1034</v>
      </c>
      <c r="H81" s="465">
        <v>45741</v>
      </c>
      <c r="I81" s="466">
        <v>136.03</v>
      </c>
      <c r="J81" s="889">
        <f>AVERAGE(I81:$I$83)</f>
        <v>134.89000000000001</v>
      </c>
      <c r="K81" s="86"/>
      <c r="L81" s="388"/>
    </row>
    <row r="82" spans="1:12" ht="25.5" x14ac:dyDescent="0.25">
      <c r="A82" s="86"/>
      <c r="B82" s="887"/>
      <c r="C82" s="887"/>
      <c r="D82" s="887"/>
      <c r="E82" s="422" t="s">
        <v>1087</v>
      </c>
      <c r="F82" s="423" t="s">
        <v>1088</v>
      </c>
      <c r="G82" s="424" t="s">
        <v>1221</v>
      </c>
      <c r="H82" s="434">
        <v>45699</v>
      </c>
      <c r="I82" s="288">
        <v>123.01</v>
      </c>
      <c r="J82" s="889"/>
      <c r="K82" s="86"/>
      <c r="L82" s="388"/>
    </row>
    <row r="83" spans="1:12" x14ac:dyDescent="0.25">
      <c r="A83" s="86"/>
      <c r="B83" s="887"/>
      <c r="C83" s="887"/>
      <c r="D83" s="887"/>
      <c r="E83" s="426" t="s">
        <v>1090</v>
      </c>
      <c r="F83" s="457" t="s">
        <v>1091</v>
      </c>
      <c r="G83" s="461" t="s">
        <v>1026</v>
      </c>
      <c r="H83" s="458">
        <v>45758</v>
      </c>
      <c r="I83" s="456">
        <v>145.63</v>
      </c>
      <c r="J83" s="889"/>
      <c r="K83" s="86"/>
      <c r="L83" s="388"/>
    </row>
    <row r="84" spans="1:12" ht="20.85" customHeight="1" x14ac:dyDescent="0.25">
      <c r="A84" s="86"/>
      <c r="B84" s="887" t="s">
        <v>1222</v>
      </c>
      <c r="C84" s="888" t="s">
        <v>1223</v>
      </c>
      <c r="D84" s="887" t="s">
        <v>1095</v>
      </c>
      <c r="E84" s="435" t="s">
        <v>1224</v>
      </c>
      <c r="F84" s="447" t="s">
        <v>1225</v>
      </c>
      <c r="G84" s="463" t="s">
        <v>1226</v>
      </c>
      <c r="H84" s="445">
        <v>45495</v>
      </c>
      <c r="I84" s="295">
        <v>18.760000000000002</v>
      </c>
      <c r="J84" s="889">
        <f>AVERAGE(I84:$I$86)</f>
        <v>17.73</v>
      </c>
      <c r="K84" s="86"/>
      <c r="L84" s="388"/>
    </row>
    <row r="85" spans="1:12" x14ac:dyDescent="0.25">
      <c r="A85" s="86"/>
      <c r="B85" s="887"/>
      <c r="C85" s="887"/>
      <c r="D85" s="887"/>
      <c r="E85" s="422" t="s">
        <v>1227</v>
      </c>
      <c r="F85" s="423" t="s">
        <v>1228</v>
      </c>
      <c r="G85" s="438" t="s">
        <v>1026</v>
      </c>
      <c r="H85" s="445">
        <v>45761</v>
      </c>
      <c r="I85" s="288">
        <v>17.739999999999998</v>
      </c>
      <c r="J85" s="889"/>
      <c r="K85" s="86"/>
      <c r="L85" s="388"/>
    </row>
    <row r="86" spans="1:12" x14ac:dyDescent="0.25">
      <c r="A86" s="86"/>
      <c r="B86" s="887"/>
      <c r="C86" s="887"/>
      <c r="D86" s="887"/>
      <c r="E86" s="427" t="s">
        <v>1229</v>
      </c>
      <c r="F86" s="427" t="s">
        <v>1230</v>
      </c>
      <c r="G86" s="441" t="s">
        <v>1026</v>
      </c>
      <c r="H86" s="439">
        <v>45761</v>
      </c>
      <c r="I86" s="289">
        <v>16.690000000000001</v>
      </c>
      <c r="J86" s="889"/>
      <c r="K86" s="86"/>
      <c r="L86" s="388"/>
    </row>
    <row r="87" spans="1:12" ht="15" customHeight="1" x14ac:dyDescent="0.25">
      <c r="A87" s="86"/>
      <c r="B87" s="887" t="s">
        <v>1231</v>
      </c>
      <c r="C87" s="888" t="s">
        <v>1232</v>
      </c>
      <c r="D87" s="887" t="s">
        <v>229</v>
      </c>
      <c r="E87" s="435" t="s">
        <v>1233</v>
      </c>
      <c r="F87" s="447" t="s">
        <v>1234</v>
      </c>
      <c r="G87" s="463" t="s">
        <v>1026</v>
      </c>
      <c r="H87" s="467">
        <v>45758</v>
      </c>
      <c r="I87" s="295">
        <v>5.24</v>
      </c>
      <c r="J87" s="889">
        <f>AVERAGE(I87:$I$89)</f>
        <v>4.7966666666666669</v>
      </c>
      <c r="K87" s="86"/>
      <c r="L87" s="388"/>
    </row>
    <row r="88" spans="1:12" ht="25.5" x14ac:dyDescent="0.25">
      <c r="A88" s="86"/>
      <c r="B88" s="887"/>
      <c r="C88" s="887"/>
      <c r="D88" s="887"/>
      <c r="E88" s="422" t="s">
        <v>1235</v>
      </c>
      <c r="F88" s="423" t="s">
        <v>1236</v>
      </c>
      <c r="G88" s="424" t="s">
        <v>1237</v>
      </c>
      <c r="H88" s="434">
        <v>45644</v>
      </c>
      <c r="I88" s="288">
        <v>4.45</v>
      </c>
      <c r="J88" s="889"/>
      <c r="K88" s="86"/>
      <c r="L88" s="388"/>
    </row>
    <row r="89" spans="1:12" ht="25.5" x14ac:dyDescent="0.25">
      <c r="A89" s="86"/>
      <c r="B89" s="887"/>
      <c r="C89" s="887"/>
      <c r="D89" s="887"/>
      <c r="E89" s="426" t="s">
        <v>1238</v>
      </c>
      <c r="F89" s="427" t="s">
        <v>1239</v>
      </c>
      <c r="G89" s="441" t="s">
        <v>1026</v>
      </c>
      <c r="H89" s="439">
        <v>45758</v>
      </c>
      <c r="I89" s="289">
        <v>4.7</v>
      </c>
      <c r="J89" s="889"/>
      <c r="K89" s="86"/>
      <c r="L89" s="388"/>
    </row>
    <row r="90" spans="1:12" ht="15" customHeight="1" x14ac:dyDescent="0.25">
      <c r="A90" s="86"/>
      <c r="B90" s="887" t="s">
        <v>1240</v>
      </c>
      <c r="C90" s="888" t="s">
        <v>1241</v>
      </c>
      <c r="D90" s="887" t="s">
        <v>229</v>
      </c>
      <c r="E90" s="447" t="s">
        <v>1242</v>
      </c>
      <c r="F90" s="447" t="s">
        <v>1243</v>
      </c>
      <c r="G90" s="463" t="s">
        <v>1089</v>
      </c>
      <c r="H90" s="420">
        <v>45436</v>
      </c>
      <c r="I90" s="295">
        <v>2.68</v>
      </c>
      <c r="J90" s="889">
        <f>AVERAGE(I90:$I$92)</f>
        <v>3.0066666666666664</v>
      </c>
      <c r="K90" s="86"/>
      <c r="L90" s="388"/>
    </row>
    <row r="91" spans="1:12" ht="25.5" x14ac:dyDescent="0.25">
      <c r="A91" s="86"/>
      <c r="B91" s="887"/>
      <c r="C91" s="887"/>
      <c r="D91" s="887"/>
      <c r="E91" s="422" t="s">
        <v>1087</v>
      </c>
      <c r="F91" s="423" t="s">
        <v>1088</v>
      </c>
      <c r="G91" s="424" t="s">
        <v>1221</v>
      </c>
      <c r="H91" s="434">
        <v>45699</v>
      </c>
      <c r="I91" s="288">
        <v>2.68</v>
      </c>
      <c r="J91" s="889"/>
      <c r="K91" s="86"/>
      <c r="L91" s="388"/>
    </row>
    <row r="92" spans="1:12" ht="25.5" x14ac:dyDescent="0.25">
      <c r="A92" s="86"/>
      <c r="B92" s="887"/>
      <c r="C92" s="887"/>
      <c r="D92" s="887"/>
      <c r="E92" s="426" t="s">
        <v>1244</v>
      </c>
      <c r="F92" s="427" t="s">
        <v>1245</v>
      </c>
      <c r="G92" s="441" t="s">
        <v>1026</v>
      </c>
      <c r="H92" s="439">
        <v>45758</v>
      </c>
      <c r="I92" s="289">
        <v>3.66</v>
      </c>
      <c r="J92" s="889"/>
      <c r="K92" s="86"/>
      <c r="L92" s="388"/>
    </row>
    <row r="93" spans="1:12" ht="15" customHeight="1" x14ac:dyDescent="0.25">
      <c r="A93" s="86"/>
      <c r="B93" s="887" t="s">
        <v>1246</v>
      </c>
      <c r="C93" s="888" t="s">
        <v>1247</v>
      </c>
      <c r="D93" s="887" t="s">
        <v>229</v>
      </c>
      <c r="E93" s="435" t="s">
        <v>1248</v>
      </c>
      <c r="F93" s="435" t="s">
        <v>1249</v>
      </c>
      <c r="G93" s="463" t="s">
        <v>1026</v>
      </c>
      <c r="H93" s="445">
        <v>45769</v>
      </c>
      <c r="I93" s="295">
        <v>10.38</v>
      </c>
      <c r="J93" s="889">
        <f>AVERAGE(I93:$I$95)</f>
        <v>9.4666666666666668</v>
      </c>
      <c r="K93" s="86"/>
      <c r="L93" s="388"/>
    </row>
    <row r="94" spans="1:12" x14ac:dyDescent="0.25">
      <c r="A94" s="86"/>
      <c r="B94" s="887"/>
      <c r="C94" s="887"/>
      <c r="D94" s="887"/>
      <c r="E94" s="422" t="s">
        <v>1250</v>
      </c>
      <c r="F94" s="423" t="s">
        <v>1251</v>
      </c>
      <c r="G94" s="438" t="s">
        <v>1026</v>
      </c>
      <c r="H94" s="425">
        <v>45769</v>
      </c>
      <c r="I94" s="288">
        <v>10.49</v>
      </c>
      <c r="J94" s="889"/>
      <c r="K94" s="86"/>
      <c r="L94" s="388"/>
    </row>
    <row r="95" spans="1:12" x14ac:dyDescent="0.25">
      <c r="A95" s="86"/>
      <c r="B95" s="887"/>
      <c r="C95" s="887"/>
      <c r="D95" s="887"/>
      <c r="E95" s="426" t="s">
        <v>1252</v>
      </c>
      <c r="F95" s="427" t="s">
        <v>1253</v>
      </c>
      <c r="G95" s="428" t="s">
        <v>1026</v>
      </c>
      <c r="H95" s="439">
        <v>45785</v>
      </c>
      <c r="I95" s="289">
        <v>7.53</v>
      </c>
      <c r="J95" s="889"/>
      <c r="K95" s="86"/>
      <c r="L95" s="388"/>
    </row>
    <row r="96" spans="1:12" ht="20.85" customHeight="1" x14ac:dyDescent="0.25">
      <c r="A96" s="86"/>
      <c r="B96" s="887" t="s">
        <v>1254</v>
      </c>
      <c r="C96" s="888" t="s">
        <v>1255</v>
      </c>
      <c r="D96" s="887" t="s">
        <v>1043</v>
      </c>
      <c r="E96" s="468" t="s">
        <v>1256</v>
      </c>
      <c r="F96" s="464" t="s">
        <v>1257</v>
      </c>
      <c r="G96" s="463" t="s">
        <v>1258</v>
      </c>
      <c r="H96" s="467">
        <v>45418</v>
      </c>
      <c r="I96" s="466">
        <v>14.25</v>
      </c>
      <c r="J96" s="889">
        <f>AVERAGE(I96:$I$98)</f>
        <v>13.38</v>
      </c>
      <c r="K96" s="86"/>
      <c r="L96" s="388"/>
    </row>
    <row r="97" spans="1:12" x14ac:dyDescent="0.25">
      <c r="A97" s="86"/>
      <c r="B97" s="887"/>
      <c r="C97" s="887"/>
      <c r="D97" s="887"/>
      <c r="E97" s="422" t="s">
        <v>1259</v>
      </c>
      <c r="F97" s="423" t="s">
        <v>1260</v>
      </c>
      <c r="G97" s="438" t="s">
        <v>1026</v>
      </c>
      <c r="H97" s="425">
        <v>45965</v>
      </c>
      <c r="I97" s="288">
        <v>11.39</v>
      </c>
      <c r="J97" s="889"/>
      <c r="K97" s="86"/>
      <c r="L97" s="388"/>
    </row>
    <row r="98" spans="1:12" ht="25.5" x14ac:dyDescent="0.25">
      <c r="A98" s="86"/>
      <c r="B98" s="887"/>
      <c r="C98" s="887"/>
      <c r="D98" s="887"/>
      <c r="E98" s="426" t="s">
        <v>1261</v>
      </c>
      <c r="F98" s="457" t="s">
        <v>1262</v>
      </c>
      <c r="G98" s="449" t="s">
        <v>1026</v>
      </c>
      <c r="H98" s="458">
        <v>45965</v>
      </c>
      <c r="I98" s="456">
        <v>14.5</v>
      </c>
      <c r="J98" s="889"/>
      <c r="K98" s="86"/>
      <c r="L98" s="388"/>
    </row>
    <row r="99" spans="1:12" ht="15" customHeight="1" x14ac:dyDescent="0.25">
      <c r="A99" s="86"/>
      <c r="B99" s="887" t="s">
        <v>1263</v>
      </c>
      <c r="C99" s="888" t="s">
        <v>1264</v>
      </c>
      <c r="D99" s="887" t="s">
        <v>1265</v>
      </c>
      <c r="E99" s="468" t="s">
        <v>1266</v>
      </c>
      <c r="F99" s="464" t="s">
        <v>1267</v>
      </c>
      <c r="G99" s="463" t="s">
        <v>1098</v>
      </c>
      <c r="H99" s="465">
        <v>45625</v>
      </c>
      <c r="I99" s="466">
        <v>14.37</v>
      </c>
      <c r="J99" s="889">
        <f>AVERAGE(I99:$I$101)</f>
        <v>14.9</v>
      </c>
      <c r="K99" s="86"/>
      <c r="L99" s="388"/>
    </row>
    <row r="100" spans="1:12" x14ac:dyDescent="0.25">
      <c r="A100" s="86"/>
      <c r="B100" s="887"/>
      <c r="C100" s="887"/>
      <c r="D100" s="887"/>
      <c r="E100" s="422" t="s">
        <v>1268</v>
      </c>
      <c r="F100" s="423" t="s">
        <v>1269</v>
      </c>
      <c r="G100" s="438" t="s">
        <v>1026</v>
      </c>
      <c r="H100" s="425">
        <v>45758</v>
      </c>
      <c r="I100" s="288">
        <v>14.59</v>
      </c>
      <c r="J100" s="889"/>
      <c r="K100" s="86"/>
      <c r="L100" s="388"/>
    </row>
    <row r="101" spans="1:12" ht="25.5" x14ac:dyDescent="0.25">
      <c r="A101" s="86"/>
      <c r="B101" s="887"/>
      <c r="C101" s="887"/>
      <c r="D101" s="887"/>
      <c r="E101" s="426" t="s">
        <v>1270</v>
      </c>
      <c r="F101" s="457" t="s">
        <v>1271</v>
      </c>
      <c r="G101" s="449" t="s">
        <v>1026</v>
      </c>
      <c r="H101" s="458">
        <v>45965</v>
      </c>
      <c r="I101" s="456">
        <v>15.74</v>
      </c>
      <c r="J101" s="889"/>
      <c r="K101" s="86"/>
      <c r="L101" s="388"/>
    </row>
    <row r="102" spans="1:12" ht="20.25" customHeight="1" x14ac:dyDescent="0.25">
      <c r="A102" s="86"/>
      <c r="B102" s="887" t="s">
        <v>1272</v>
      </c>
      <c r="C102" s="888" t="s">
        <v>1273</v>
      </c>
      <c r="D102" s="887" t="s">
        <v>229</v>
      </c>
      <c r="E102" s="468" t="s">
        <v>1274</v>
      </c>
      <c r="F102" s="464" t="s">
        <v>1275</v>
      </c>
      <c r="G102" s="435" t="s">
        <v>1276</v>
      </c>
      <c r="H102" s="467">
        <v>45783</v>
      </c>
      <c r="I102" s="466">
        <v>230.34</v>
      </c>
      <c r="J102" s="889">
        <f>AVERAGE(I102:$I$104)</f>
        <v>247.79666666666665</v>
      </c>
      <c r="K102" s="86"/>
      <c r="L102" s="388"/>
    </row>
    <row r="103" spans="1:12" ht="38.25" x14ac:dyDescent="0.25">
      <c r="A103" s="86"/>
      <c r="B103" s="887"/>
      <c r="C103" s="887"/>
      <c r="D103" s="887"/>
      <c r="E103" s="422" t="s">
        <v>1277</v>
      </c>
      <c r="F103" s="423" t="s">
        <v>1278</v>
      </c>
      <c r="G103" s="422" t="s">
        <v>1279</v>
      </c>
      <c r="H103" s="425">
        <v>45783</v>
      </c>
      <c r="I103" s="288">
        <v>261.70999999999998</v>
      </c>
      <c r="J103" s="889"/>
      <c r="K103" s="86"/>
      <c r="L103" s="388"/>
    </row>
    <row r="104" spans="1:12" ht="38.25" x14ac:dyDescent="0.25">
      <c r="A104" s="86"/>
      <c r="B104" s="887"/>
      <c r="C104" s="887"/>
      <c r="D104" s="887"/>
      <c r="E104" s="426" t="s">
        <v>1280</v>
      </c>
      <c r="F104" s="457" t="s">
        <v>1281</v>
      </c>
      <c r="G104" s="469" t="s">
        <v>1282</v>
      </c>
      <c r="H104" s="458">
        <v>45783</v>
      </c>
      <c r="I104" s="456">
        <v>251.34</v>
      </c>
      <c r="J104" s="889"/>
      <c r="K104" s="86"/>
      <c r="L104" s="388"/>
    </row>
    <row r="105" spans="1:12" ht="15" customHeight="1" x14ac:dyDescent="0.25">
      <c r="A105" s="86"/>
      <c r="B105" s="887" t="s">
        <v>1283</v>
      </c>
      <c r="C105" s="888" t="s">
        <v>1284</v>
      </c>
      <c r="D105" s="887" t="s">
        <v>229</v>
      </c>
      <c r="E105" s="468" t="s">
        <v>1285</v>
      </c>
      <c r="F105" s="464" t="s">
        <v>1286</v>
      </c>
      <c r="G105" s="463" t="s">
        <v>1023</v>
      </c>
      <c r="H105" s="465">
        <v>45596</v>
      </c>
      <c r="I105" s="466">
        <v>23.88</v>
      </c>
      <c r="J105" s="889">
        <f>AVERAGE(I105:$I$107)</f>
        <v>22.343333333333334</v>
      </c>
      <c r="K105" s="86"/>
      <c r="L105" s="388"/>
    </row>
    <row r="106" spans="1:12" ht="25.5" x14ac:dyDescent="0.25">
      <c r="A106" s="86"/>
      <c r="B106" s="887"/>
      <c r="C106" s="887"/>
      <c r="D106" s="887"/>
      <c r="E106" s="422" t="s">
        <v>1287</v>
      </c>
      <c r="F106" s="423" t="s">
        <v>1288</v>
      </c>
      <c r="G106" s="424" t="s">
        <v>1289</v>
      </c>
      <c r="H106" s="434">
        <v>45446</v>
      </c>
      <c r="I106" s="288">
        <v>20.03</v>
      </c>
      <c r="J106" s="889"/>
      <c r="K106" s="86"/>
      <c r="L106" s="388"/>
    </row>
    <row r="107" spans="1:12" ht="25.5" x14ac:dyDescent="0.25">
      <c r="A107" s="86"/>
      <c r="B107" s="887"/>
      <c r="C107" s="887"/>
      <c r="D107" s="887"/>
      <c r="E107" s="426" t="s">
        <v>1290</v>
      </c>
      <c r="F107" s="457" t="s">
        <v>1291</v>
      </c>
      <c r="G107" s="461" t="s">
        <v>1029</v>
      </c>
      <c r="H107" s="470">
        <v>45716</v>
      </c>
      <c r="I107" s="456">
        <v>23.12</v>
      </c>
      <c r="J107" s="889"/>
      <c r="K107" s="86"/>
      <c r="L107" s="388"/>
    </row>
    <row r="108" spans="1:12" ht="20.85" customHeight="1" x14ac:dyDescent="0.25">
      <c r="A108" s="86"/>
      <c r="B108" s="887" t="s">
        <v>1292</v>
      </c>
      <c r="C108" s="888" t="s">
        <v>1293</v>
      </c>
      <c r="D108" s="887" t="s">
        <v>229</v>
      </c>
      <c r="E108" s="468" t="s">
        <v>1294</v>
      </c>
      <c r="F108" s="423" t="s">
        <v>1295</v>
      </c>
      <c r="G108" s="463" t="s">
        <v>1026</v>
      </c>
      <c r="H108" s="467">
        <v>45769</v>
      </c>
      <c r="I108" s="466">
        <v>1.89</v>
      </c>
      <c r="J108" s="889">
        <f>AVERAGE(I108:$I$110)</f>
        <v>2.0299999999999998</v>
      </c>
      <c r="K108" s="86"/>
      <c r="L108" s="388"/>
    </row>
    <row r="109" spans="1:12" x14ac:dyDescent="0.25">
      <c r="A109" s="86"/>
      <c r="B109" s="887"/>
      <c r="C109" s="887"/>
      <c r="D109" s="887"/>
      <c r="E109" s="422" t="s">
        <v>1296</v>
      </c>
      <c r="F109" s="423" t="s">
        <v>1297</v>
      </c>
      <c r="G109" s="438" t="s">
        <v>1026</v>
      </c>
      <c r="H109" s="425">
        <v>45769</v>
      </c>
      <c r="I109" s="288">
        <v>2.1</v>
      </c>
      <c r="J109" s="889"/>
      <c r="K109" s="86"/>
      <c r="L109" s="388"/>
    </row>
    <row r="110" spans="1:12" x14ac:dyDescent="0.25">
      <c r="A110" s="86"/>
      <c r="B110" s="887"/>
      <c r="C110" s="887"/>
      <c r="D110" s="887"/>
      <c r="E110" s="426" t="s">
        <v>1298</v>
      </c>
      <c r="F110" s="457" t="s">
        <v>1299</v>
      </c>
      <c r="G110" s="461" t="s">
        <v>1026</v>
      </c>
      <c r="H110" s="458">
        <v>45769</v>
      </c>
      <c r="I110" s="456">
        <v>2.1</v>
      </c>
      <c r="J110" s="889"/>
      <c r="K110" s="86"/>
      <c r="L110" s="388"/>
    </row>
    <row r="111" spans="1:12" ht="26.25" customHeight="1" x14ac:dyDescent="0.25">
      <c r="A111" s="86"/>
      <c r="B111" s="887" t="s">
        <v>1300</v>
      </c>
      <c r="C111" s="888" t="s">
        <v>1301</v>
      </c>
      <c r="D111" s="887" t="s">
        <v>1095</v>
      </c>
      <c r="E111" s="468" t="s">
        <v>1302</v>
      </c>
      <c r="F111" s="423" t="s">
        <v>1303</v>
      </c>
      <c r="G111" s="463" t="s">
        <v>1026</v>
      </c>
      <c r="H111" s="467">
        <v>45754</v>
      </c>
      <c r="I111" s="466">
        <v>116.18</v>
      </c>
      <c r="J111" s="889">
        <f>AVERAGE(I111:$I$113)</f>
        <v>116.83</v>
      </c>
      <c r="K111" s="86"/>
      <c r="L111" s="388"/>
    </row>
    <row r="112" spans="1:12" ht="38.25" customHeight="1" x14ac:dyDescent="0.25">
      <c r="A112" s="86"/>
      <c r="B112" s="887"/>
      <c r="C112" s="887"/>
      <c r="D112" s="887"/>
      <c r="E112" s="422" t="s">
        <v>1304</v>
      </c>
      <c r="F112" s="423" t="s">
        <v>1305</v>
      </c>
      <c r="G112" s="424" t="s">
        <v>1026</v>
      </c>
      <c r="H112" s="425">
        <v>45754</v>
      </c>
      <c r="I112" s="288">
        <v>100.17</v>
      </c>
      <c r="J112" s="889"/>
      <c r="K112" s="86"/>
      <c r="L112" s="388"/>
    </row>
    <row r="113" spans="1:12" x14ac:dyDescent="0.25">
      <c r="A113" s="86"/>
      <c r="B113" s="887"/>
      <c r="C113" s="887"/>
      <c r="D113" s="887"/>
      <c r="E113" s="426" t="s">
        <v>1306</v>
      </c>
      <c r="F113" s="457" t="s">
        <v>1307</v>
      </c>
      <c r="G113" s="461" t="s">
        <v>1026</v>
      </c>
      <c r="H113" s="458">
        <v>45754</v>
      </c>
      <c r="I113" s="456">
        <v>134.13999999999999</v>
      </c>
      <c r="J113" s="889"/>
      <c r="K113" s="86"/>
      <c r="L113" s="388"/>
    </row>
    <row r="114" spans="1:12" ht="15" customHeight="1" x14ac:dyDescent="0.25">
      <c r="A114" s="86"/>
      <c r="B114" s="887" t="s">
        <v>1308</v>
      </c>
      <c r="C114" s="888" t="s">
        <v>1309</v>
      </c>
      <c r="D114" s="887" t="s">
        <v>1310</v>
      </c>
      <c r="E114" s="468" t="s">
        <v>1311</v>
      </c>
      <c r="F114" s="464" t="s">
        <v>1312</v>
      </c>
      <c r="G114" s="463" t="s">
        <v>1026</v>
      </c>
      <c r="H114" s="467">
        <v>45769</v>
      </c>
      <c r="I114" s="466">
        <v>3.18</v>
      </c>
      <c r="J114" s="889">
        <f>AVERAGE(I114:$I$116)</f>
        <v>3.1233333333333335</v>
      </c>
      <c r="K114" s="86"/>
      <c r="L114" s="388"/>
    </row>
    <row r="115" spans="1:12" x14ac:dyDescent="0.25">
      <c r="A115" s="86"/>
      <c r="B115" s="887"/>
      <c r="C115" s="887"/>
      <c r="D115" s="887"/>
      <c r="E115" s="422" t="s">
        <v>1313</v>
      </c>
      <c r="F115" s="423" t="s">
        <v>1314</v>
      </c>
      <c r="G115" s="438" t="s">
        <v>1026</v>
      </c>
      <c r="H115" s="425">
        <v>45769</v>
      </c>
      <c r="I115" s="288">
        <v>2.57</v>
      </c>
      <c r="J115" s="889"/>
      <c r="K115" s="86"/>
      <c r="L115" s="388"/>
    </row>
    <row r="116" spans="1:12" ht="25.5" x14ac:dyDescent="0.25">
      <c r="A116" s="86"/>
      <c r="B116" s="887"/>
      <c r="C116" s="887"/>
      <c r="D116" s="887"/>
      <c r="E116" s="426" t="s">
        <v>1315</v>
      </c>
      <c r="F116" s="457" t="s">
        <v>1316</v>
      </c>
      <c r="G116" s="461" t="s">
        <v>1026</v>
      </c>
      <c r="H116" s="458">
        <v>45769</v>
      </c>
      <c r="I116" s="456">
        <v>3.62</v>
      </c>
      <c r="J116" s="889"/>
      <c r="K116" s="86"/>
      <c r="L116" s="388"/>
    </row>
    <row r="117" spans="1:12" ht="15" customHeight="1" x14ac:dyDescent="0.25">
      <c r="A117" s="86"/>
      <c r="B117" s="887" t="s">
        <v>1317</v>
      </c>
      <c r="C117" s="888" t="s">
        <v>1318</v>
      </c>
      <c r="D117" s="887" t="s">
        <v>229</v>
      </c>
      <c r="E117" s="468" t="s">
        <v>1319</v>
      </c>
      <c r="F117" s="418" t="s">
        <v>1320</v>
      </c>
      <c r="G117" s="471" t="s">
        <v>1026</v>
      </c>
      <c r="H117" s="467">
        <v>45758</v>
      </c>
      <c r="I117" s="466">
        <v>52.39</v>
      </c>
      <c r="J117" s="889">
        <f>AVERAGE(I117:$I$119)</f>
        <v>53.346666666666664</v>
      </c>
      <c r="K117" s="86"/>
      <c r="L117" s="388"/>
    </row>
    <row r="118" spans="1:12" x14ac:dyDescent="0.25">
      <c r="A118" s="86"/>
      <c r="B118" s="887"/>
      <c r="C118" s="887"/>
      <c r="D118" s="887"/>
      <c r="E118" s="422" t="s">
        <v>1321</v>
      </c>
      <c r="F118" s="423" t="s">
        <v>1322</v>
      </c>
      <c r="G118" s="438" t="s">
        <v>1026</v>
      </c>
      <c r="H118" s="425">
        <v>45779</v>
      </c>
      <c r="I118" s="288">
        <v>55.16</v>
      </c>
      <c r="J118" s="889"/>
      <c r="K118" s="86"/>
      <c r="L118" s="388"/>
    </row>
    <row r="119" spans="1:12" ht="25.5" x14ac:dyDescent="0.25">
      <c r="A119" s="86"/>
      <c r="B119" s="887"/>
      <c r="C119" s="887"/>
      <c r="D119" s="887"/>
      <c r="E119" s="426" t="s">
        <v>1323</v>
      </c>
      <c r="F119" s="457" t="s">
        <v>1324</v>
      </c>
      <c r="G119" s="461" t="s">
        <v>1026</v>
      </c>
      <c r="H119" s="458">
        <v>45758</v>
      </c>
      <c r="I119" s="456">
        <v>52.49</v>
      </c>
      <c r="J119" s="889"/>
      <c r="K119" s="86"/>
      <c r="L119" s="388"/>
    </row>
    <row r="120" spans="1:12" ht="15" customHeight="1" x14ac:dyDescent="0.25">
      <c r="A120" s="86"/>
      <c r="B120" s="887" t="s">
        <v>1325</v>
      </c>
      <c r="C120" s="888" t="s">
        <v>1326</v>
      </c>
      <c r="D120" s="887" t="s">
        <v>229</v>
      </c>
      <c r="E120" s="468" t="s">
        <v>1248</v>
      </c>
      <c r="F120" s="472" t="s">
        <v>1249</v>
      </c>
      <c r="G120" s="463" t="s">
        <v>1026</v>
      </c>
      <c r="H120" s="467">
        <v>45769</v>
      </c>
      <c r="I120" s="466">
        <v>8.6</v>
      </c>
      <c r="J120" s="889">
        <f>AVERAGE(I120:$I$122)</f>
        <v>11.75</v>
      </c>
      <c r="K120" s="86"/>
      <c r="L120" s="388"/>
    </row>
    <row r="121" spans="1:12" x14ac:dyDescent="0.25">
      <c r="A121" s="86"/>
      <c r="B121" s="887"/>
      <c r="C121" s="887"/>
      <c r="D121" s="887"/>
      <c r="E121" s="422" t="s">
        <v>1250</v>
      </c>
      <c r="F121" s="423" t="s">
        <v>1251</v>
      </c>
      <c r="G121" s="438" t="s">
        <v>1026</v>
      </c>
      <c r="H121" s="425">
        <v>45769</v>
      </c>
      <c r="I121" s="288">
        <v>14.69</v>
      </c>
      <c r="J121" s="889"/>
      <c r="K121" s="86"/>
      <c r="L121" s="388"/>
    </row>
    <row r="122" spans="1:12" ht="25.5" x14ac:dyDescent="0.25">
      <c r="A122" s="86"/>
      <c r="B122" s="887"/>
      <c r="C122" s="887"/>
      <c r="D122" s="887"/>
      <c r="E122" s="426" t="s">
        <v>1327</v>
      </c>
      <c r="F122" s="457" t="s">
        <v>1328</v>
      </c>
      <c r="G122" s="461" t="s">
        <v>1026</v>
      </c>
      <c r="H122" s="458">
        <v>45785</v>
      </c>
      <c r="I122" s="456">
        <v>11.96</v>
      </c>
      <c r="J122" s="889"/>
      <c r="K122" s="86"/>
      <c r="L122" s="388"/>
    </row>
    <row r="123" spans="1:12" ht="15" customHeight="1" x14ac:dyDescent="0.25">
      <c r="A123" s="86"/>
      <c r="B123" s="887" t="s">
        <v>1329</v>
      </c>
      <c r="C123" s="888" t="s">
        <v>1330</v>
      </c>
      <c r="D123" s="887" t="s">
        <v>229</v>
      </c>
      <c r="E123" s="468" t="s">
        <v>1331</v>
      </c>
      <c r="F123" s="472" t="s">
        <v>1332</v>
      </c>
      <c r="G123" s="436" t="s">
        <v>1026</v>
      </c>
      <c r="H123" s="467">
        <v>45807</v>
      </c>
      <c r="I123" s="466">
        <v>1279.8499999999999</v>
      </c>
      <c r="J123" s="889">
        <f>AVERAGE(I123:$I$125)</f>
        <v>1326.83</v>
      </c>
      <c r="K123" s="86"/>
      <c r="L123" s="388"/>
    </row>
    <row r="124" spans="1:12" x14ac:dyDescent="0.25">
      <c r="A124" s="86"/>
      <c r="B124" s="887"/>
      <c r="C124" s="887"/>
      <c r="D124" s="887"/>
      <c r="E124" s="422" t="s">
        <v>1333</v>
      </c>
      <c r="F124" s="423" t="s">
        <v>1334</v>
      </c>
      <c r="G124" s="424" t="s">
        <v>1026</v>
      </c>
      <c r="H124" s="425">
        <v>45807</v>
      </c>
      <c r="I124" s="288">
        <v>1358.28</v>
      </c>
      <c r="J124" s="889"/>
      <c r="K124" s="86"/>
      <c r="L124" s="388"/>
    </row>
    <row r="125" spans="1:12" x14ac:dyDescent="0.25">
      <c r="A125" s="86"/>
      <c r="B125" s="887"/>
      <c r="C125" s="887"/>
      <c r="D125" s="887"/>
      <c r="E125" s="426" t="s">
        <v>1335</v>
      </c>
      <c r="F125" s="457" t="s">
        <v>1336</v>
      </c>
      <c r="G125" s="428" t="s">
        <v>1026</v>
      </c>
      <c r="H125" s="458">
        <v>45807</v>
      </c>
      <c r="I125" s="456">
        <v>1342.36</v>
      </c>
      <c r="J125" s="889"/>
      <c r="K125" s="86"/>
      <c r="L125" s="388"/>
    </row>
    <row r="126" spans="1:12" x14ac:dyDescent="0.25">
      <c r="A126" s="86"/>
      <c r="B126" s="411"/>
      <c r="C126" s="473"/>
      <c r="D126" s="411"/>
      <c r="E126" s="474"/>
      <c r="F126" s="411"/>
      <c r="G126" s="475"/>
      <c r="H126" s="476"/>
      <c r="I126" s="477"/>
      <c r="J126" s="477"/>
      <c r="K126" s="86"/>
    </row>
    <row r="127" spans="1:12" x14ac:dyDescent="0.25">
      <c r="A127" s="86"/>
      <c r="B127" s="411"/>
      <c r="C127" s="473"/>
      <c r="D127" s="411"/>
      <c r="E127" s="474"/>
      <c r="F127" s="411"/>
      <c r="G127" s="475"/>
      <c r="H127" s="476"/>
      <c r="I127" s="477"/>
      <c r="J127" s="477"/>
      <c r="K127" s="86"/>
    </row>
    <row r="128" spans="1:12" x14ac:dyDescent="0.25">
      <c r="A128" s="86"/>
      <c r="B128" s="906" t="s">
        <v>1337</v>
      </c>
      <c r="C128" s="906"/>
      <c r="D128" s="906"/>
      <c r="E128" s="906"/>
      <c r="F128" s="906"/>
      <c r="G128" s="906"/>
      <c r="H128" s="906"/>
      <c r="I128" s="906"/>
      <c r="J128" s="906"/>
      <c r="K128" s="86"/>
    </row>
    <row r="129" spans="1:12" x14ac:dyDescent="0.25">
      <c r="A129" s="86"/>
      <c r="B129" s="850" t="s">
        <v>1338</v>
      </c>
      <c r="C129" s="850"/>
      <c r="D129" s="850"/>
      <c r="E129" s="850"/>
      <c r="F129" s="850"/>
      <c r="G129" s="850"/>
      <c r="H129" s="850"/>
      <c r="I129" s="850"/>
      <c r="J129" s="850"/>
      <c r="K129" s="86"/>
    </row>
    <row r="130" spans="1:12" ht="25.5" x14ac:dyDescent="0.25">
      <c r="A130" s="86"/>
      <c r="B130" s="413" t="s">
        <v>1011</v>
      </c>
      <c r="C130" s="413" t="s">
        <v>1012</v>
      </c>
      <c r="D130" s="413" t="s">
        <v>22</v>
      </c>
      <c r="E130" s="413" t="s">
        <v>1013</v>
      </c>
      <c r="F130" s="413" t="s">
        <v>1014</v>
      </c>
      <c r="G130" s="413" t="s">
        <v>1015</v>
      </c>
      <c r="H130" s="414" t="s">
        <v>1016</v>
      </c>
      <c r="I130" s="413" t="s">
        <v>1017</v>
      </c>
      <c r="J130" s="414" t="s">
        <v>1018</v>
      </c>
      <c r="K130" s="86"/>
    </row>
    <row r="131" spans="1:12" ht="15" customHeight="1" x14ac:dyDescent="0.25">
      <c r="A131" s="86"/>
      <c r="B131" s="890" t="s">
        <v>1339</v>
      </c>
      <c r="C131" s="891" t="s">
        <v>1340</v>
      </c>
      <c r="D131" s="887" t="s">
        <v>229</v>
      </c>
      <c r="E131" s="479" t="s">
        <v>1341</v>
      </c>
      <c r="F131" s="422" t="s">
        <v>1342</v>
      </c>
      <c r="G131" s="422" t="s">
        <v>1026</v>
      </c>
      <c r="H131" s="467">
        <v>45750</v>
      </c>
      <c r="I131" s="295">
        <v>371338.75</v>
      </c>
      <c r="J131" s="892">
        <f>AVERAGE(I131:$I$133)</f>
        <v>428702.46333333338</v>
      </c>
      <c r="K131" s="86"/>
    </row>
    <row r="132" spans="1:12" x14ac:dyDescent="0.25">
      <c r="A132" s="86"/>
      <c r="B132" s="890"/>
      <c r="C132" s="890"/>
      <c r="D132" s="890"/>
      <c r="E132" s="422" t="s">
        <v>1343</v>
      </c>
      <c r="F132" s="423" t="s">
        <v>1344</v>
      </c>
      <c r="G132" s="423" t="s">
        <v>1026</v>
      </c>
      <c r="H132" s="425">
        <v>45775</v>
      </c>
      <c r="I132" s="288">
        <v>443507.4</v>
      </c>
      <c r="J132" s="892"/>
      <c r="K132" s="86"/>
    </row>
    <row r="133" spans="1:12" ht="25.5" x14ac:dyDescent="0.25">
      <c r="A133" s="86"/>
      <c r="B133" s="890"/>
      <c r="C133" s="890"/>
      <c r="D133" s="890"/>
      <c r="E133" s="426" t="s">
        <v>1345</v>
      </c>
      <c r="F133" s="457" t="s">
        <v>1346</v>
      </c>
      <c r="G133" s="427" t="s">
        <v>1026</v>
      </c>
      <c r="H133" s="458">
        <v>45779</v>
      </c>
      <c r="I133" s="456">
        <v>471261.24</v>
      </c>
      <c r="J133" s="892"/>
      <c r="K133" s="86"/>
    </row>
    <row r="134" spans="1:12" ht="15" customHeight="1" x14ac:dyDescent="0.25">
      <c r="A134" s="86"/>
      <c r="B134" s="887" t="s">
        <v>1347</v>
      </c>
      <c r="C134" s="888" t="s">
        <v>1348</v>
      </c>
      <c r="D134" s="887" t="s">
        <v>229</v>
      </c>
      <c r="E134" s="417" t="s">
        <v>1343</v>
      </c>
      <c r="F134" s="430" t="s">
        <v>1344</v>
      </c>
      <c r="G134" s="430" t="s">
        <v>1026</v>
      </c>
      <c r="H134" s="437">
        <v>45775</v>
      </c>
      <c r="I134" s="433">
        <v>575383.66</v>
      </c>
      <c r="J134" s="889">
        <f>AVERAGE(I134:$I$135)</f>
        <v>539031.15500000003</v>
      </c>
      <c r="K134" s="86"/>
    </row>
    <row r="135" spans="1:12" ht="25.5" x14ac:dyDescent="0.25">
      <c r="A135" s="86"/>
      <c r="B135" s="887"/>
      <c r="C135" s="887"/>
      <c r="D135" s="887"/>
      <c r="E135" s="426" t="s">
        <v>1345</v>
      </c>
      <c r="F135" s="427" t="s">
        <v>1346</v>
      </c>
      <c r="G135" s="427" t="s">
        <v>1026</v>
      </c>
      <c r="H135" s="439">
        <v>45779</v>
      </c>
      <c r="I135" s="289">
        <v>502678.65</v>
      </c>
      <c r="J135" s="889"/>
      <c r="K135" s="86"/>
    </row>
    <row r="136" spans="1:12" ht="15" customHeight="1" x14ac:dyDescent="0.25">
      <c r="A136" s="86"/>
      <c r="B136" s="890" t="s">
        <v>1349</v>
      </c>
      <c r="C136" s="891" t="s">
        <v>1350</v>
      </c>
      <c r="D136" s="890" t="s">
        <v>229</v>
      </c>
      <c r="E136" s="435" t="s">
        <v>1343</v>
      </c>
      <c r="F136" s="447" t="s">
        <v>1344</v>
      </c>
      <c r="G136" s="447" t="s">
        <v>1026</v>
      </c>
      <c r="H136" s="445">
        <v>45775</v>
      </c>
      <c r="I136" s="295">
        <v>639326.84</v>
      </c>
      <c r="J136" s="892">
        <f>AVERAGE(I136:$I$138)</f>
        <v>558700.5199999999</v>
      </c>
      <c r="K136" s="86"/>
    </row>
    <row r="137" spans="1:12" ht="25.5" x14ac:dyDescent="0.25">
      <c r="A137" s="86"/>
      <c r="B137" s="890"/>
      <c r="C137" s="890"/>
      <c r="D137" s="890"/>
      <c r="E137" s="422" t="s">
        <v>1345</v>
      </c>
      <c r="F137" s="423" t="s">
        <v>1346</v>
      </c>
      <c r="G137" s="423" t="s">
        <v>1026</v>
      </c>
      <c r="H137" s="425">
        <v>45779</v>
      </c>
      <c r="I137" s="288">
        <v>575985.96</v>
      </c>
      <c r="J137" s="892"/>
      <c r="K137" s="86"/>
    </row>
    <row r="138" spans="1:12" x14ac:dyDescent="0.25">
      <c r="A138" s="86"/>
      <c r="B138" s="890"/>
      <c r="C138" s="890"/>
      <c r="D138" s="890"/>
      <c r="E138" s="427" t="s">
        <v>1351</v>
      </c>
      <c r="F138" s="427" t="s">
        <v>1352</v>
      </c>
      <c r="G138" s="480" t="s">
        <v>1026</v>
      </c>
      <c r="H138" s="439">
        <v>45792</v>
      </c>
      <c r="I138" s="289">
        <v>460788.76</v>
      </c>
      <c r="J138" s="892"/>
      <c r="K138" s="86"/>
    </row>
    <row r="139" spans="1:12" ht="15" customHeight="1" x14ac:dyDescent="0.25">
      <c r="A139" s="86"/>
      <c r="B139" s="887" t="s">
        <v>1353</v>
      </c>
      <c r="C139" s="888" t="s">
        <v>1354</v>
      </c>
      <c r="D139" s="887" t="s">
        <v>229</v>
      </c>
      <c r="E139" s="417" t="s">
        <v>1343</v>
      </c>
      <c r="F139" s="430" t="s">
        <v>1344</v>
      </c>
      <c r="G139" s="430" t="s">
        <v>1026</v>
      </c>
      <c r="H139" s="437">
        <v>45775</v>
      </c>
      <c r="I139" s="433">
        <v>708834.87</v>
      </c>
      <c r="J139" s="889">
        <f>AVERAGE(I139:$I$140)</f>
        <v>679064.06499999994</v>
      </c>
      <c r="K139" s="86"/>
    </row>
    <row r="140" spans="1:12" ht="25.5" x14ac:dyDescent="0.25">
      <c r="A140" s="86"/>
      <c r="B140" s="887"/>
      <c r="C140" s="887"/>
      <c r="D140" s="887"/>
      <c r="E140" s="426" t="s">
        <v>1345</v>
      </c>
      <c r="F140" s="427" t="s">
        <v>1346</v>
      </c>
      <c r="G140" s="427" t="s">
        <v>1026</v>
      </c>
      <c r="H140" s="439">
        <v>45779</v>
      </c>
      <c r="I140" s="289">
        <v>649293.26</v>
      </c>
      <c r="J140" s="889"/>
      <c r="K140" s="86"/>
    </row>
    <row r="141" spans="1:12" x14ac:dyDescent="0.25">
      <c r="A141" s="86"/>
      <c r="B141" s="850" t="s">
        <v>1355</v>
      </c>
      <c r="C141" s="850"/>
      <c r="D141" s="850"/>
      <c r="E141" s="850"/>
      <c r="F141" s="850"/>
      <c r="G141" s="850"/>
      <c r="H141" s="850"/>
      <c r="I141" s="850"/>
      <c r="J141" s="850"/>
      <c r="K141" s="86"/>
      <c r="L141" s="12"/>
    </row>
    <row r="142" spans="1:12" ht="25.5" x14ac:dyDescent="0.25">
      <c r="A142" s="86"/>
      <c r="B142" s="413" t="s">
        <v>1011</v>
      </c>
      <c r="C142" s="413" t="s">
        <v>1012</v>
      </c>
      <c r="D142" s="413" t="s">
        <v>22</v>
      </c>
      <c r="E142" s="413" t="s">
        <v>1013</v>
      </c>
      <c r="F142" s="413" t="s">
        <v>1014</v>
      </c>
      <c r="G142" s="413" t="s">
        <v>1015</v>
      </c>
      <c r="H142" s="414" t="s">
        <v>1016</v>
      </c>
      <c r="I142" s="413" t="s">
        <v>1017</v>
      </c>
      <c r="J142" s="414" t="s">
        <v>1018</v>
      </c>
      <c r="K142" s="86"/>
      <c r="L142" s="12"/>
    </row>
    <row r="143" spans="1:12" ht="15" customHeight="1" x14ac:dyDescent="0.25">
      <c r="A143" s="86"/>
      <c r="B143" s="887" t="s">
        <v>1356</v>
      </c>
      <c r="C143" s="888" t="s">
        <v>1357</v>
      </c>
      <c r="D143" s="887" t="s">
        <v>229</v>
      </c>
      <c r="E143" s="417" t="s">
        <v>1358</v>
      </c>
      <c r="F143" s="481" t="s">
        <v>1359</v>
      </c>
      <c r="G143" s="417" t="s">
        <v>1026</v>
      </c>
      <c r="H143" s="437">
        <v>45750</v>
      </c>
      <c r="I143" s="482">
        <v>253462.8</v>
      </c>
      <c r="J143" s="889">
        <f>AVERAGE(I143:$I$144)</f>
        <v>236978.27</v>
      </c>
      <c r="K143" s="86"/>
      <c r="L143" s="12"/>
    </row>
    <row r="144" spans="1:12" ht="25.5" x14ac:dyDescent="0.25">
      <c r="A144" s="86"/>
      <c r="B144" s="887"/>
      <c r="C144" s="887"/>
      <c r="D144" s="887"/>
      <c r="E144" s="426" t="s">
        <v>1360</v>
      </c>
      <c r="F144" s="427" t="s">
        <v>1361</v>
      </c>
      <c r="G144" s="427" t="s">
        <v>1026</v>
      </c>
      <c r="H144" s="439">
        <v>45771</v>
      </c>
      <c r="I144" s="289">
        <v>220493.74</v>
      </c>
      <c r="J144" s="889"/>
      <c r="K144" s="86"/>
      <c r="L144" s="12"/>
    </row>
    <row r="145" spans="1:12" ht="18" customHeight="1" x14ac:dyDescent="0.25">
      <c r="A145" s="86"/>
      <c r="B145" s="415" t="s">
        <v>1362</v>
      </c>
      <c r="C145" s="483" t="s">
        <v>1363</v>
      </c>
      <c r="D145" s="415" t="s">
        <v>229</v>
      </c>
      <c r="E145" s="484" t="s">
        <v>1358</v>
      </c>
      <c r="F145" s="485" t="s">
        <v>1359</v>
      </c>
      <c r="G145" s="484" t="s">
        <v>1026</v>
      </c>
      <c r="H145" s="486">
        <v>45776</v>
      </c>
      <c r="I145" s="421">
        <v>250481.6</v>
      </c>
      <c r="J145" s="421">
        <f>AVERAGE($I$145)</f>
        <v>250481.6</v>
      </c>
      <c r="K145" s="86"/>
      <c r="L145" s="12"/>
    </row>
    <row r="146" spans="1:12" ht="15" customHeight="1" x14ac:dyDescent="0.25">
      <c r="A146" s="86"/>
      <c r="B146" s="887" t="s">
        <v>1364</v>
      </c>
      <c r="C146" s="888" t="s">
        <v>1365</v>
      </c>
      <c r="D146" s="887" t="s">
        <v>229</v>
      </c>
      <c r="E146" s="417" t="s">
        <v>1358</v>
      </c>
      <c r="F146" s="481" t="s">
        <v>1359</v>
      </c>
      <c r="G146" s="417" t="s">
        <v>1026</v>
      </c>
      <c r="H146" s="437">
        <v>45750</v>
      </c>
      <c r="I146" s="482">
        <v>280972.02</v>
      </c>
      <c r="J146" s="889">
        <f>AVERAGE(I146:$I$147)</f>
        <v>263857.505</v>
      </c>
      <c r="K146" s="86"/>
      <c r="L146" s="12"/>
    </row>
    <row r="147" spans="1:12" ht="25.5" x14ac:dyDescent="0.25">
      <c r="A147" s="86"/>
      <c r="B147" s="887"/>
      <c r="C147" s="887"/>
      <c r="D147" s="887"/>
      <c r="E147" s="426" t="s">
        <v>1360</v>
      </c>
      <c r="F147" s="427" t="s">
        <v>1361</v>
      </c>
      <c r="G147" s="427" t="s">
        <v>1026</v>
      </c>
      <c r="H147" s="439">
        <v>45771</v>
      </c>
      <c r="I147" s="289">
        <v>246742.99</v>
      </c>
      <c r="J147" s="889"/>
      <c r="K147" s="86"/>
      <c r="L147" s="12"/>
    </row>
    <row r="148" spans="1:12" ht="15" customHeight="1" x14ac:dyDescent="0.25">
      <c r="A148" s="86"/>
      <c r="B148" s="887" t="s">
        <v>1366</v>
      </c>
      <c r="C148" s="888" t="s">
        <v>1367</v>
      </c>
      <c r="D148" s="887" t="s">
        <v>229</v>
      </c>
      <c r="E148" s="417" t="s">
        <v>1358</v>
      </c>
      <c r="F148" s="481" t="s">
        <v>1359</v>
      </c>
      <c r="G148" s="417" t="s">
        <v>1026</v>
      </c>
      <c r="H148" s="437">
        <v>45750</v>
      </c>
      <c r="I148" s="482">
        <v>295146.62</v>
      </c>
      <c r="J148" s="889">
        <f>AVERAGE(I148:$I$149)</f>
        <v>281444.51</v>
      </c>
      <c r="K148" s="86"/>
      <c r="L148" s="12"/>
    </row>
    <row r="149" spans="1:12" ht="25.5" x14ac:dyDescent="0.25">
      <c r="A149" s="86"/>
      <c r="B149" s="887"/>
      <c r="C149" s="887"/>
      <c r="D149" s="887"/>
      <c r="E149" s="426" t="s">
        <v>1360</v>
      </c>
      <c r="F149" s="427" t="s">
        <v>1361</v>
      </c>
      <c r="G149" s="427" t="s">
        <v>1026</v>
      </c>
      <c r="H149" s="439">
        <v>45771</v>
      </c>
      <c r="I149" s="289">
        <v>267742.40000000002</v>
      </c>
      <c r="J149" s="889"/>
      <c r="K149" s="86"/>
      <c r="L149" s="12"/>
    </row>
    <row r="150" spans="1:12" ht="25.5" customHeight="1" x14ac:dyDescent="0.25">
      <c r="A150" s="86"/>
      <c r="B150" s="478" t="s">
        <v>1368</v>
      </c>
      <c r="C150" s="416" t="s">
        <v>1369</v>
      </c>
      <c r="D150" s="478" t="s">
        <v>229</v>
      </c>
      <c r="E150" s="469" t="s">
        <v>1358</v>
      </c>
      <c r="F150" s="457" t="s">
        <v>1359</v>
      </c>
      <c r="G150" s="457" t="s">
        <v>1026</v>
      </c>
      <c r="H150" s="458">
        <v>45750</v>
      </c>
      <c r="I150" s="456">
        <v>1289678.3700000001</v>
      </c>
      <c r="J150" s="456">
        <f>$I$150</f>
        <v>1289678.3700000001</v>
      </c>
      <c r="K150" s="86"/>
      <c r="L150" s="12"/>
    </row>
    <row r="151" spans="1:12" ht="39.75" customHeight="1" x14ac:dyDescent="0.25">
      <c r="A151" s="86"/>
      <c r="B151" s="487" t="s">
        <v>1370</v>
      </c>
      <c r="C151" s="416" t="s">
        <v>1371</v>
      </c>
      <c r="D151" s="415" t="s">
        <v>229</v>
      </c>
      <c r="E151" s="484" t="s">
        <v>1372</v>
      </c>
      <c r="F151" s="488" t="s">
        <v>1373</v>
      </c>
      <c r="G151" s="488" t="s">
        <v>1026</v>
      </c>
      <c r="H151" s="486">
        <v>45792</v>
      </c>
      <c r="I151" s="421">
        <v>37491.449999999997</v>
      </c>
      <c r="J151" s="489">
        <f>$I$151</f>
        <v>37491.449999999997</v>
      </c>
      <c r="K151" s="86"/>
      <c r="L151" s="12"/>
    </row>
    <row r="152" spans="1:12" x14ac:dyDescent="0.25">
      <c r="A152" s="86"/>
      <c r="B152" s="850" t="s">
        <v>1374</v>
      </c>
      <c r="C152" s="850"/>
      <c r="D152" s="850"/>
      <c r="E152" s="850"/>
      <c r="F152" s="850"/>
      <c r="G152" s="850"/>
      <c r="H152" s="850"/>
      <c r="I152" s="850"/>
      <c r="J152" s="850"/>
      <c r="K152" s="86"/>
    </row>
    <row r="153" spans="1:12" ht="25.5" x14ac:dyDescent="0.25">
      <c r="A153" s="86"/>
      <c r="B153" s="413" t="s">
        <v>1011</v>
      </c>
      <c r="C153" s="413" t="s">
        <v>1012</v>
      </c>
      <c r="D153" s="413" t="s">
        <v>22</v>
      </c>
      <c r="E153" s="413" t="s">
        <v>1013</v>
      </c>
      <c r="F153" s="413" t="s">
        <v>1014</v>
      </c>
      <c r="G153" s="413" t="s">
        <v>1015</v>
      </c>
      <c r="H153" s="414" t="s">
        <v>1016</v>
      </c>
      <c r="I153" s="413" t="s">
        <v>1017</v>
      </c>
      <c r="J153" s="414" t="s">
        <v>1018</v>
      </c>
      <c r="K153" s="86"/>
    </row>
    <row r="154" spans="1:12" ht="33" customHeight="1" x14ac:dyDescent="0.25">
      <c r="A154" s="86"/>
      <c r="B154" s="836" t="s">
        <v>1375</v>
      </c>
      <c r="C154" s="903" t="s">
        <v>1376</v>
      </c>
      <c r="D154" s="836" t="s">
        <v>1148</v>
      </c>
      <c r="E154" s="490" t="s">
        <v>1377</v>
      </c>
      <c r="F154" s="491" t="s">
        <v>1378</v>
      </c>
      <c r="G154" s="76" t="s">
        <v>1379</v>
      </c>
      <c r="H154" s="445">
        <v>46154</v>
      </c>
      <c r="I154" s="492">
        <v>640000</v>
      </c>
      <c r="J154" s="892">
        <f>AVERAGE(I154:$I$156)</f>
        <v>607766.66666666663</v>
      </c>
      <c r="K154" s="86"/>
    </row>
    <row r="155" spans="1:12" ht="34.5" customHeight="1" x14ac:dyDescent="0.25">
      <c r="A155" s="86"/>
      <c r="B155" s="836"/>
      <c r="C155" s="903"/>
      <c r="D155" s="836"/>
      <c r="E155" s="493" t="s">
        <v>1380</v>
      </c>
      <c r="F155" s="494" t="s">
        <v>1381</v>
      </c>
      <c r="G155" s="76" t="s">
        <v>1379</v>
      </c>
      <c r="H155" s="445" t="s">
        <v>1382</v>
      </c>
      <c r="I155" s="495">
        <v>605900</v>
      </c>
      <c r="J155" s="892"/>
      <c r="K155" s="86"/>
    </row>
    <row r="156" spans="1:12" ht="30" customHeight="1" x14ac:dyDescent="0.25">
      <c r="A156" s="86"/>
      <c r="B156" s="836"/>
      <c r="C156" s="903"/>
      <c r="D156" s="836"/>
      <c r="E156" s="496" t="s">
        <v>1383</v>
      </c>
      <c r="F156" s="497" t="s">
        <v>1384</v>
      </c>
      <c r="G156" s="498" t="s">
        <v>1379</v>
      </c>
      <c r="H156" s="465">
        <v>46154</v>
      </c>
      <c r="I156" s="499">
        <v>577400</v>
      </c>
      <c r="J156" s="892"/>
      <c r="K156" s="86"/>
      <c r="L156" s="12"/>
    </row>
    <row r="157" spans="1:12" ht="30" customHeight="1" x14ac:dyDescent="0.25">
      <c r="A157" s="86"/>
      <c r="B157" s="904" t="s">
        <v>1385</v>
      </c>
      <c r="C157" s="905" t="s">
        <v>1386</v>
      </c>
      <c r="D157" s="904" t="s">
        <v>1148</v>
      </c>
      <c r="E157" s="490" t="s">
        <v>1380</v>
      </c>
      <c r="F157" s="491" t="s">
        <v>1381</v>
      </c>
      <c r="G157" s="490" t="s">
        <v>1379</v>
      </c>
      <c r="H157" s="500">
        <v>46230</v>
      </c>
      <c r="I157" s="492">
        <v>605900</v>
      </c>
      <c r="J157" s="899">
        <f>AVERAGE(I157:$I$159)</f>
        <v>578233.33333333337</v>
      </c>
      <c r="K157" s="86"/>
    </row>
    <row r="158" spans="1:12" ht="30" customHeight="1" x14ac:dyDescent="0.25">
      <c r="A158" s="86"/>
      <c r="B158" s="904"/>
      <c r="C158" s="905"/>
      <c r="D158" s="904"/>
      <c r="E158" s="493" t="s">
        <v>1387</v>
      </c>
      <c r="F158" s="494" t="s">
        <v>1388</v>
      </c>
      <c r="G158" s="493" t="s">
        <v>1379</v>
      </c>
      <c r="H158" s="501">
        <v>46226</v>
      </c>
      <c r="I158" s="495">
        <v>575000</v>
      </c>
      <c r="J158" s="899"/>
      <c r="K158" s="86"/>
      <c r="L158" s="12"/>
    </row>
    <row r="159" spans="1:12" ht="30" customHeight="1" x14ac:dyDescent="0.25">
      <c r="A159" s="86"/>
      <c r="B159" s="904"/>
      <c r="C159" s="905"/>
      <c r="D159" s="904"/>
      <c r="E159" s="496" t="s">
        <v>1389</v>
      </c>
      <c r="F159" s="497" t="s">
        <v>1390</v>
      </c>
      <c r="G159" s="496" t="s">
        <v>1379</v>
      </c>
      <c r="H159" s="502">
        <v>46203</v>
      </c>
      <c r="I159" s="499">
        <v>553800</v>
      </c>
      <c r="J159" s="899"/>
      <c r="K159" s="86"/>
    </row>
    <row r="160" spans="1:12" ht="30" customHeight="1" x14ac:dyDescent="0.25">
      <c r="A160" s="86"/>
      <c r="B160" s="901" t="s">
        <v>1391</v>
      </c>
      <c r="C160" s="902" t="s">
        <v>1392</v>
      </c>
      <c r="D160" s="901" t="s">
        <v>1148</v>
      </c>
      <c r="E160" s="490" t="s">
        <v>1393</v>
      </c>
      <c r="F160" s="491" t="s">
        <v>1378</v>
      </c>
      <c r="G160" s="490" t="s">
        <v>1379</v>
      </c>
      <c r="H160" s="500">
        <v>46161</v>
      </c>
      <c r="I160" s="492">
        <v>769000</v>
      </c>
      <c r="J160" s="899">
        <f>AVERAGE(I160:$I$162)</f>
        <v>758000</v>
      </c>
      <c r="K160" s="86"/>
    </row>
    <row r="161" spans="1:12" ht="30" customHeight="1" x14ac:dyDescent="0.25">
      <c r="A161" s="86"/>
      <c r="B161" s="901"/>
      <c r="C161" s="902"/>
      <c r="D161" s="901"/>
      <c r="E161" s="493" t="s">
        <v>1394</v>
      </c>
      <c r="F161" s="494" t="s">
        <v>1395</v>
      </c>
      <c r="G161" s="493" t="s">
        <v>1379</v>
      </c>
      <c r="H161" s="501">
        <v>46009</v>
      </c>
      <c r="I161" s="495">
        <v>840000</v>
      </c>
      <c r="J161" s="899"/>
      <c r="K161" s="86"/>
    </row>
    <row r="162" spans="1:12" ht="39.75" customHeight="1" x14ac:dyDescent="0.25">
      <c r="A162" s="86"/>
      <c r="B162" s="901"/>
      <c r="C162" s="901"/>
      <c r="D162" s="901"/>
      <c r="E162" s="493" t="s">
        <v>1396</v>
      </c>
      <c r="F162" s="494" t="s">
        <v>1397</v>
      </c>
      <c r="G162" s="503" t="s">
        <v>1379</v>
      </c>
      <c r="H162" s="501">
        <v>45839</v>
      </c>
      <c r="I162" s="495">
        <v>665000</v>
      </c>
      <c r="J162" s="899"/>
      <c r="K162" s="86"/>
    </row>
    <row r="163" spans="1:12" ht="39.75" customHeight="1" x14ac:dyDescent="0.25">
      <c r="A163" s="86"/>
      <c r="B163" s="901" t="s">
        <v>1398</v>
      </c>
      <c r="C163" s="902" t="s">
        <v>1399</v>
      </c>
      <c r="D163" s="901" t="s">
        <v>1148</v>
      </c>
      <c r="E163" s="490" t="s">
        <v>1400</v>
      </c>
      <c r="F163" s="491" t="s">
        <v>1401</v>
      </c>
      <c r="G163" s="490" t="s">
        <v>1379</v>
      </c>
      <c r="H163" s="500">
        <v>46027</v>
      </c>
      <c r="I163" s="492">
        <v>839000</v>
      </c>
      <c r="J163" s="899">
        <f>AVERAGE(I163:$I$165)</f>
        <v>795000</v>
      </c>
      <c r="K163" s="86"/>
    </row>
    <row r="164" spans="1:12" ht="19.5" customHeight="1" x14ac:dyDescent="0.25">
      <c r="A164" s="86"/>
      <c r="B164" s="901"/>
      <c r="C164" s="902"/>
      <c r="D164" s="901"/>
      <c r="E164" s="493" t="s">
        <v>1402</v>
      </c>
      <c r="F164" s="494" t="s">
        <v>1403</v>
      </c>
      <c r="G164" s="493" t="s">
        <v>1379</v>
      </c>
      <c r="H164" s="501">
        <v>46021</v>
      </c>
      <c r="I164" s="495">
        <v>620000</v>
      </c>
      <c r="J164" s="899"/>
      <c r="K164" s="86"/>
    </row>
    <row r="165" spans="1:12" x14ac:dyDescent="0.25">
      <c r="A165" s="86"/>
      <c r="B165" s="901"/>
      <c r="C165" s="902"/>
      <c r="D165" s="902"/>
      <c r="E165" s="504" t="s">
        <v>1393</v>
      </c>
      <c r="F165" s="505" t="s">
        <v>1378</v>
      </c>
      <c r="G165" s="506" t="s">
        <v>1379</v>
      </c>
      <c r="H165" s="507">
        <v>46196</v>
      </c>
      <c r="I165" s="508">
        <v>926000</v>
      </c>
      <c r="J165" s="899"/>
      <c r="K165" s="86"/>
    </row>
    <row r="166" spans="1:12" ht="19.5" customHeight="1" x14ac:dyDescent="0.25">
      <c r="A166" s="86"/>
      <c r="B166" s="901" t="s">
        <v>1404</v>
      </c>
      <c r="C166" s="902" t="s">
        <v>1405</v>
      </c>
      <c r="D166" s="901" t="s">
        <v>1148</v>
      </c>
      <c r="E166" s="490" t="s">
        <v>1406</v>
      </c>
      <c r="F166" s="491" t="s">
        <v>1407</v>
      </c>
      <c r="G166" s="490" t="s">
        <v>1379</v>
      </c>
      <c r="H166" s="500">
        <v>46255</v>
      </c>
      <c r="I166" s="492">
        <v>514989</v>
      </c>
      <c r="J166" s="899">
        <f>AVERAGE(I166:$I$168)</f>
        <v>497963</v>
      </c>
      <c r="K166" s="86"/>
    </row>
    <row r="167" spans="1:12" ht="15" customHeight="1" x14ac:dyDescent="0.25">
      <c r="A167" s="86"/>
      <c r="B167" s="901"/>
      <c r="C167" s="902"/>
      <c r="D167" s="901"/>
      <c r="E167" s="493" t="s">
        <v>1408</v>
      </c>
      <c r="F167" s="494" t="s">
        <v>1409</v>
      </c>
      <c r="G167" s="493" t="s">
        <v>1379</v>
      </c>
      <c r="H167" s="501">
        <v>46171</v>
      </c>
      <c r="I167" s="495">
        <v>506900</v>
      </c>
      <c r="J167" s="899"/>
      <c r="K167" s="86"/>
    </row>
    <row r="168" spans="1:12" x14ac:dyDescent="0.25">
      <c r="A168" s="86"/>
      <c r="B168" s="901"/>
      <c r="C168" s="901"/>
      <c r="D168" s="901"/>
      <c r="E168" s="496" t="s">
        <v>1410</v>
      </c>
      <c r="F168" s="497" t="s">
        <v>1411</v>
      </c>
      <c r="G168" s="496" t="s">
        <v>1379</v>
      </c>
      <c r="H168" s="502">
        <v>46059</v>
      </c>
      <c r="I168" s="499">
        <v>472000</v>
      </c>
      <c r="J168" s="899"/>
      <c r="K168" s="86"/>
    </row>
    <row r="169" spans="1:12" ht="15" customHeight="1" x14ac:dyDescent="0.25">
      <c r="A169" s="86"/>
      <c r="B169" s="897" t="s">
        <v>1412</v>
      </c>
      <c r="C169" s="898" t="s">
        <v>1413</v>
      </c>
      <c r="D169" s="897" t="s">
        <v>1148</v>
      </c>
      <c r="E169" s="509" t="s">
        <v>1406</v>
      </c>
      <c r="F169" s="510" t="s">
        <v>1407</v>
      </c>
      <c r="G169" s="490" t="s">
        <v>1379</v>
      </c>
      <c r="H169" s="511">
        <v>46255</v>
      </c>
      <c r="I169" s="492">
        <v>553000</v>
      </c>
      <c r="J169" s="899">
        <f>AVERAGE(I169:$I$171)</f>
        <v>546933.33333333337</v>
      </c>
      <c r="K169" s="86"/>
    </row>
    <row r="170" spans="1:12" ht="20.25" customHeight="1" x14ac:dyDescent="0.25">
      <c r="A170" s="86"/>
      <c r="B170" s="897"/>
      <c r="C170" s="897"/>
      <c r="D170" s="897"/>
      <c r="E170" s="493" t="s">
        <v>1414</v>
      </c>
      <c r="F170" s="512" t="s">
        <v>1415</v>
      </c>
      <c r="G170" s="493" t="s">
        <v>1379</v>
      </c>
      <c r="H170" s="501">
        <v>46168</v>
      </c>
      <c r="I170" s="495">
        <v>531800</v>
      </c>
      <c r="J170" s="899"/>
      <c r="K170" s="86"/>
    </row>
    <row r="171" spans="1:12" x14ac:dyDescent="0.25">
      <c r="A171" s="86"/>
      <c r="B171" s="897"/>
      <c r="C171" s="897"/>
      <c r="D171" s="897"/>
      <c r="E171" s="504" t="s">
        <v>1416</v>
      </c>
      <c r="F171" s="513" t="s">
        <v>1417</v>
      </c>
      <c r="G171" s="504" t="s">
        <v>1379</v>
      </c>
      <c r="H171" s="507">
        <v>46219</v>
      </c>
      <c r="I171" s="508">
        <v>556000</v>
      </c>
      <c r="J171" s="899"/>
      <c r="K171" s="86"/>
    </row>
    <row r="172" spans="1:12" ht="15" customHeight="1" x14ac:dyDescent="0.25">
      <c r="A172" s="86"/>
      <c r="B172" s="897" t="s">
        <v>1418</v>
      </c>
      <c r="C172" s="898" t="s">
        <v>1419</v>
      </c>
      <c r="D172" s="897" t="s">
        <v>1148</v>
      </c>
      <c r="E172" s="509" t="s">
        <v>1414</v>
      </c>
      <c r="F172" s="510" t="s">
        <v>1420</v>
      </c>
      <c r="G172" s="490" t="s">
        <v>1379</v>
      </c>
      <c r="H172" s="511">
        <v>46255</v>
      </c>
      <c r="I172" s="492">
        <v>413900</v>
      </c>
      <c r="J172" s="900">
        <f>AVERAGE(I172:$I$174)</f>
        <v>414230</v>
      </c>
      <c r="K172" s="86"/>
    </row>
    <row r="173" spans="1:12" x14ac:dyDescent="0.25">
      <c r="A173" s="86"/>
      <c r="B173" s="897"/>
      <c r="C173" s="897"/>
      <c r="D173" s="897"/>
      <c r="E173" s="493" t="s">
        <v>1416</v>
      </c>
      <c r="F173" s="512" t="s">
        <v>1421</v>
      </c>
      <c r="G173" s="493" t="s">
        <v>1379</v>
      </c>
      <c r="H173" s="501">
        <v>46260</v>
      </c>
      <c r="I173" s="495">
        <v>432290</v>
      </c>
      <c r="J173" s="900"/>
      <c r="K173" s="86"/>
      <c r="L173" s="12"/>
    </row>
    <row r="174" spans="1:12" x14ac:dyDescent="0.25">
      <c r="A174" s="86"/>
      <c r="B174" s="897"/>
      <c r="C174" s="897"/>
      <c r="D174" s="897"/>
      <c r="E174" s="504" t="s">
        <v>1422</v>
      </c>
      <c r="F174" s="513" t="s">
        <v>1423</v>
      </c>
      <c r="G174" s="504" t="s">
        <v>1379</v>
      </c>
      <c r="H174" s="507">
        <v>46234</v>
      </c>
      <c r="I174" s="508">
        <v>396500</v>
      </c>
      <c r="J174" s="900"/>
      <c r="K174" s="86"/>
      <c r="L174" s="12"/>
    </row>
    <row r="175" spans="1:12" ht="15" customHeight="1" x14ac:dyDescent="0.25">
      <c r="A175" s="86"/>
      <c r="B175" s="897" t="s">
        <v>1424</v>
      </c>
      <c r="C175" s="898" t="s">
        <v>1425</v>
      </c>
      <c r="D175" s="897" t="s">
        <v>1148</v>
      </c>
      <c r="E175" s="490" t="s">
        <v>1426</v>
      </c>
      <c r="F175" s="510" t="s">
        <v>1427</v>
      </c>
      <c r="G175" s="490" t="s">
        <v>1379</v>
      </c>
      <c r="H175" s="500">
        <v>46107</v>
      </c>
      <c r="I175" s="492">
        <v>455000</v>
      </c>
      <c r="J175" s="900">
        <f>AVERAGE(I175:$I$177)</f>
        <v>434950</v>
      </c>
      <c r="K175" s="86"/>
      <c r="L175" s="12"/>
    </row>
    <row r="176" spans="1:12" ht="39.75" customHeight="1" x14ac:dyDescent="0.25">
      <c r="A176" s="86"/>
      <c r="B176" s="897"/>
      <c r="C176" s="897"/>
      <c r="D176" s="897"/>
      <c r="E176" s="493" t="s">
        <v>1414</v>
      </c>
      <c r="F176" s="512" t="s">
        <v>1420</v>
      </c>
      <c r="G176" s="493" t="s">
        <v>1379</v>
      </c>
      <c r="H176" s="501">
        <v>46255</v>
      </c>
      <c r="I176" s="495">
        <v>484000</v>
      </c>
      <c r="J176" s="900"/>
      <c r="K176" s="86"/>
    </row>
    <row r="177" spans="1:11" ht="39.75" customHeight="1" x14ac:dyDescent="0.25">
      <c r="A177" s="86"/>
      <c r="B177" s="897"/>
      <c r="C177" s="898"/>
      <c r="D177" s="898"/>
      <c r="E177" s="504" t="s">
        <v>1422</v>
      </c>
      <c r="F177" s="513" t="s">
        <v>1423</v>
      </c>
      <c r="G177" s="504" t="s">
        <v>1379</v>
      </c>
      <c r="H177" s="507">
        <v>46126</v>
      </c>
      <c r="I177" s="508">
        <v>365850</v>
      </c>
      <c r="J177" s="900"/>
      <c r="K177" s="86"/>
    </row>
    <row r="178" spans="1:11" ht="39.75" customHeight="1" x14ac:dyDescent="0.25">
      <c r="A178" s="86"/>
      <c r="B178" s="850" t="s">
        <v>1428</v>
      </c>
      <c r="C178" s="850"/>
      <c r="D178" s="850"/>
      <c r="E178" s="850"/>
      <c r="F178" s="850"/>
      <c r="G178" s="850"/>
      <c r="H178" s="850"/>
      <c r="I178" s="850"/>
      <c r="J178" s="850"/>
      <c r="K178" s="86"/>
    </row>
    <row r="179" spans="1:11" ht="30" customHeight="1" x14ac:dyDescent="0.25">
      <c r="A179" s="86"/>
      <c r="B179" s="413" t="s">
        <v>1011</v>
      </c>
      <c r="C179" s="413" t="s">
        <v>1012</v>
      </c>
      <c r="D179" s="413" t="s">
        <v>22</v>
      </c>
      <c r="E179" s="413" t="s">
        <v>1013</v>
      </c>
      <c r="F179" s="413" t="s">
        <v>1014</v>
      </c>
      <c r="G179" s="413" t="s">
        <v>1015</v>
      </c>
      <c r="H179" s="414" t="s">
        <v>1016</v>
      </c>
      <c r="I179" s="413" t="s">
        <v>1017</v>
      </c>
      <c r="J179" s="414" t="s">
        <v>1018</v>
      </c>
      <c r="K179" s="86"/>
    </row>
    <row r="180" spans="1:11" ht="30" customHeight="1" x14ac:dyDescent="0.25">
      <c r="A180" s="86"/>
      <c r="B180" s="890" t="s">
        <v>1429</v>
      </c>
      <c r="C180" s="891" t="s">
        <v>1430</v>
      </c>
      <c r="D180" s="890" t="s">
        <v>229</v>
      </c>
      <c r="E180" s="447" t="s">
        <v>1431</v>
      </c>
      <c r="F180" s="447" t="s">
        <v>1432</v>
      </c>
      <c r="G180" s="463" t="s">
        <v>1433</v>
      </c>
      <c r="H180" s="420">
        <v>45693</v>
      </c>
      <c r="I180" s="295">
        <v>96495.59</v>
      </c>
      <c r="J180" s="892">
        <f>AVERAGE(I180:$I$182)</f>
        <v>92215.736666666679</v>
      </c>
      <c r="K180" s="86"/>
    </row>
    <row r="181" spans="1:11" ht="30" customHeight="1" x14ac:dyDescent="0.25">
      <c r="A181" s="86"/>
      <c r="B181" s="890"/>
      <c r="C181" s="890"/>
      <c r="D181" s="890"/>
      <c r="E181" s="422" t="s">
        <v>1434</v>
      </c>
      <c r="F181" s="468" t="s">
        <v>1435</v>
      </c>
      <c r="G181" s="424" t="s">
        <v>1436</v>
      </c>
      <c r="H181" s="434">
        <v>45488</v>
      </c>
      <c r="I181" s="288">
        <v>87608.73</v>
      </c>
      <c r="J181" s="892"/>
      <c r="K181" s="86"/>
    </row>
    <row r="182" spans="1:11" ht="15" customHeight="1" x14ac:dyDescent="0.25">
      <c r="A182" s="86"/>
      <c r="B182" s="890"/>
      <c r="C182" s="890"/>
      <c r="D182" s="890"/>
      <c r="E182" s="469" t="s">
        <v>1437</v>
      </c>
      <c r="F182" s="426" t="s">
        <v>1438</v>
      </c>
      <c r="G182" s="428" t="s">
        <v>1439</v>
      </c>
      <c r="H182" s="429">
        <v>45491</v>
      </c>
      <c r="I182" s="289">
        <v>92542.89</v>
      </c>
      <c r="J182" s="892"/>
      <c r="K182" s="86"/>
    </row>
    <row r="183" spans="1:11" ht="15" customHeight="1" x14ac:dyDescent="0.25">
      <c r="A183" s="86"/>
      <c r="B183" s="890" t="s">
        <v>1440</v>
      </c>
      <c r="C183" s="891" t="s">
        <v>1441</v>
      </c>
      <c r="D183" s="890" t="s">
        <v>229</v>
      </c>
      <c r="E183" s="468" t="s">
        <v>1442</v>
      </c>
      <c r="F183" s="464" t="s">
        <v>1443</v>
      </c>
      <c r="G183" s="447" t="s">
        <v>1026</v>
      </c>
      <c r="H183" s="467">
        <v>45748</v>
      </c>
      <c r="I183" s="466">
        <v>114079.26</v>
      </c>
      <c r="J183" s="892">
        <f>AVERAGE(I183:$I$185)</f>
        <v>112802.76</v>
      </c>
      <c r="K183" s="86"/>
    </row>
    <row r="184" spans="1:11" ht="25.5" x14ac:dyDescent="0.25">
      <c r="A184" s="86"/>
      <c r="B184" s="890"/>
      <c r="C184" s="890"/>
      <c r="D184" s="890"/>
      <c r="E184" s="422" t="s">
        <v>1444</v>
      </c>
      <c r="F184" s="423" t="s">
        <v>1435</v>
      </c>
      <c r="G184" s="424" t="s">
        <v>1445</v>
      </c>
      <c r="H184" s="425">
        <v>45565</v>
      </c>
      <c r="I184" s="288">
        <v>111359.6</v>
      </c>
      <c r="J184" s="892"/>
      <c r="K184" s="86"/>
    </row>
    <row r="185" spans="1:11" ht="24" customHeight="1" x14ac:dyDescent="0.25">
      <c r="A185" s="86"/>
      <c r="B185" s="890"/>
      <c r="C185" s="890"/>
      <c r="D185" s="890"/>
      <c r="E185" s="426" t="s">
        <v>1446</v>
      </c>
      <c r="F185" s="457" t="s">
        <v>1447</v>
      </c>
      <c r="G185" s="461" t="s">
        <v>1448</v>
      </c>
      <c r="H185" s="458">
        <v>45638</v>
      </c>
      <c r="I185" s="456">
        <v>112969.42</v>
      </c>
      <c r="J185" s="892"/>
      <c r="K185" s="86"/>
    </row>
    <row r="186" spans="1:11" ht="15" customHeight="1" x14ac:dyDescent="0.25">
      <c r="A186" s="86"/>
      <c r="B186" s="890" t="s">
        <v>1449</v>
      </c>
      <c r="C186" s="888" t="s">
        <v>1450</v>
      </c>
      <c r="D186" s="887" t="s">
        <v>229</v>
      </c>
      <c r="E186" s="514" t="s">
        <v>1451</v>
      </c>
      <c r="F186" s="417" t="s">
        <v>1452</v>
      </c>
      <c r="G186" s="515" t="s">
        <v>1026</v>
      </c>
      <c r="H186" s="437">
        <v>45763</v>
      </c>
      <c r="I186" s="433">
        <v>132741.43</v>
      </c>
      <c r="J186" s="896">
        <f>AVERAGE(I186:$I$188)</f>
        <v>147494.21333333335</v>
      </c>
      <c r="K186" s="86"/>
    </row>
    <row r="187" spans="1:11" ht="45" customHeight="1" x14ac:dyDescent="0.25">
      <c r="A187" s="86"/>
      <c r="B187" s="890"/>
      <c r="C187" s="890"/>
      <c r="D187" s="890"/>
      <c r="E187" s="422" t="s">
        <v>1453</v>
      </c>
      <c r="F187" s="422" t="s">
        <v>1454</v>
      </c>
      <c r="G187" s="516" t="s">
        <v>1026</v>
      </c>
      <c r="H187" s="425">
        <v>45763</v>
      </c>
      <c r="I187" s="288">
        <v>152245.68</v>
      </c>
      <c r="J187" s="896"/>
      <c r="K187" s="86"/>
    </row>
    <row r="188" spans="1:11" x14ac:dyDescent="0.25">
      <c r="A188" s="86"/>
      <c r="B188" s="890"/>
      <c r="C188" s="890"/>
      <c r="D188" s="890"/>
      <c r="E188" s="426" t="s">
        <v>1455</v>
      </c>
      <c r="F188" s="427" t="s">
        <v>1456</v>
      </c>
      <c r="G188" s="480" t="s">
        <v>1026</v>
      </c>
      <c r="H188" s="439">
        <v>45763</v>
      </c>
      <c r="I188" s="289">
        <v>157495.53</v>
      </c>
      <c r="J188" s="896"/>
      <c r="K188" s="86"/>
    </row>
    <row r="189" spans="1:11" x14ac:dyDescent="0.25">
      <c r="A189" s="86"/>
      <c r="B189" s="850" t="s">
        <v>1457</v>
      </c>
      <c r="C189" s="850"/>
      <c r="D189" s="850"/>
      <c r="E189" s="850"/>
      <c r="F189" s="850"/>
      <c r="G189" s="850"/>
      <c r="H189" s="850"/>
      <c r="I189" s="850"/>
      <c r="J189" s="850"/>
      <c r="K189" s="86"/>
    </row>
    <row r="190" spans="1:11" ht="25.5" x14ac:dyDescent="0.25">
      <c r="A190" s="86"/>
      <c r="B190" s="413" t="s">
        <v>1011</v>
      </c>
      <c r="C190" s="413" t="s">
        <v>1012</v>
      </c>
      <c r="D190" s="413" t="s">
        <v>22</v>
      </c>
      <c r="E190" s="413" t="s">
        <v>1013</v>
      </c>
      <c r="F190" s="413" t="s">
        <v>1014</v>
      </c>
      <c r="G190" s="413" t="s">
        <v>1015</v>
      </c>
      <c r="H190" s="414" t="s">
        <v>1016</v>
      </c>
      <c r="I190" s="413" t="s">
        <v>1017</v>
      </c>
      <c r="J190" s="414" t="s">
        <v>1018</v>
      </c>
      <c r="K190" s="86"/>
    </row>
    <row r="191" spans="1:11" ht="20.85" customHeight="1" x14ac:dyDescent="0.25">
      <c r="A191" s="86"/>
      <c r="B191" s="887" t="s">
        <v>1458</v>
      </c>
      <c r="C191" s="888" t="s">
        <v>1459</v>
      </c>
      <c r="D191" s="887" t="s">
        <v>229</v>
      </c>
      <c r="E191" s="417" t="s">
        <v>1460</v>
      </c>
      <c r="F191" s="430" t="s">
        <v>1461</v>
      </c>
      <c r="G191" s="431" t="s">
        <v>1026</v>
      </c>
      <c r="H191" s="437">
        <v>45769</v>
      </c>
      <c r="I191" s="433">
        <v>1783.9</v>
      </c>
      <c r="J191" s="889">
        <f>AVERAGE(I191:$I$194)</f>
        <v>1744.5825</v>
      </c>
      <c r="K191" s="86"/>
    </row>
    <row r="192" spans="1:11" ht="25.5" x14ac:dyDescent="0.25">
      <c r="A192" s="86"/>
      <c r="B192" s="887"/>
      <c r="C192" s="887"/>
      <c r="D192" s="887"/>
      <c r="E192" s="422" t="s">
        <v>1462</v>
      </c>
      <c r="F192" s="423" t="s">
        <v>1463</v>
      </c>
      <c r="G192" s="438" t="s">
        <v>1026</v>
      </c>
      <c r="H192" s="425">
        <v>45769</v>
      </c>
      <c r="I192" s="288">
        <v>1718.37</v>
      </c>
      <c r="J192" s="889"/>
      <c r="K192" s="86"/>
    </row>
    <row r="193" spans="1:11" x14ac:dyDescent="0.25">
      <c r="A193" s="86"/>
      <c r="B193" s="887"/>
      <c r="C193" s="887"/>
      <c r="D193" s="887"/>
      <c r="E193" s="422" t="s">
        <v>1464</v>
      </c>
      <c r="F193" s="423" t="s">
        <v>1465</v>
      </c>
      <c r="G193" s="422" t="s">
        <v>1026</v>
      </c>
      <c r="H193" s="425">
        <v>45770</v>
      </c>
      <c r="I193" s="288">
        <v>1784.95</v>
      </c>
      <c r="J193" s="889"/>
      <c r="K193" s="86"/>
    </row>
    <row r="194" spans="1:11" ht="15" customHeight="1" x14ac:dyDescent="0.25">
      <c r="A194" s="86"/>
      <c r="B194" s="887"/>
      <c r="C194" s="887"/>
      <c r="D194" s="887"/>
      <c r="E194" s="426" t="s">
        <v>1466</v>
      </c>
      <c r="F194" s="427" t="s">
        <v>1467</v>
      </c>
      <c r="G194" s="428" t="s">
        <v>1468</v>
      </c>
      <c r="H194" s="439">
        <v>45527</v>
      </c>
      <c r="I194" s="289">
        <v>1691.11</v>
      </c>
      <c r="J194" s="889"/>
      <c r="K194" s="86"/>
    </row>
    <row r="195" spans="1:11" ht="15" customHeight="1" x14ac:dyDescent="0.25">
      <c r="A195" s="86"/>
      <c r="B195" s="890" t="s">
        <v>1469</v>
      </c>
      <c r="C195" s="891" t="s">
        <v>1470</v>
      </c>
      <c r="D195" s="890" t="s">
        <v>229</v>
      </c>
      <c r="E195" s="447" t="s">
        <v>1471</v>
      </c>
      <c r="F195" s="517" t="s">
        <v>1472</v>
      </c>
      <c r="G195" s="436" t="s">
        <v>1473</v>
      </c>
      <c r="H195" s="445">
        <v>45684</v>
      </c>
      <c r="I195" s="295">
        <v>278.52</v>
      </c>
      <c r="J195" s="892">
        <f>AVERAGE(I195:$I$197)</f>
        <v>287.16666666666669</v>
      </c>
      <c r="K195" s="86"/>
    </row>
    <row r="196" spans="1:11" ht="25.5" x14ac:dyDescent="0.25">
      <c r="A196" s="86"/>
      <c r="B196" s="890"/>
      <c r="C196" s="890"/>
      <c r="D196" s="890"/>
      <c r="E196" s="422" t="s">
        <v>1474</v>
      </c>
      <c r="F196" s="423" t="s">
        <v>1475</v>
      </c>
      <c r="G196" s="424" t="s">
        <v>1476</v>
      </c>
      <c r="H196" s="425">
        <v>45715</v>
      </c>
      <c r="I196" s="288">
        <v>259.69</v>
      </c>
      <c r="J196" s="892"/>
      <c r="K196" s="86"/>
    </row>
    <row r="197" spans="1:11" ht="20.25" customHeight="1" x14ac:dyDescent="0.25">
      <c r="A197" s="86"/>
      <c r="B197" s="890"/>
      <c r="C197" s="890"/>
      <c r="D197" s="890"/>
      <c r="E197" s="427" t="s">
        <v>1477</v>
      </c>
      <c r="F197" s="427" t="s">
        <v>1478</v>
      </c>
      <c r="G197" s="441" t="s">
        <v>1026</v>
      </c>
      <c r="H197" s="439">
        <v>45789</v>
      </c>
      <c r="I197" s="289">
        <v>323.29000000000002</v>
      </c>
      <c r="J197" s="892"/>
      <c r="K197" s="86"/>
    </row>
    <row r="198" spans="1:11" ht="15" customHeight="1" x14ac:dyDescent="0.25">
      <c r="A198" s="86"/>
      <c r="B198" s="890" t="s">
        <v>1479</v>
      </c>
      <c r="C198" s="891" t="s">
        <v>1480</v>
      </c>
      <c r="D198" s="890" t="s">
        <v>229</v>
      </c>
      <c r="E198" s="435" t="s">
        <v>1481</v>
      </c>
      <c r="F198" s="517" t="s">
        <v>1482</v>
      </c>
      <c r="G198" s="424" t="s">
        <v>1026</v>
      </c>
      <c r="H198" s="445">
        <v>45757</v>
      </c>
      <c r="I198" s="295">
        <v>375.48</v>
      </c>
      <c r="J198" s="892">
        <f>AVERAGE(I198:$I$200)</f>
        <v>374.19333333333338</v>
      </c>
      <c r="K198" s="86"/>
    </row>
    <row r="199" spans="1:11" x14ac:dyDescent="0.25">
      <c r="A199" s="86"/>
      <c r="B199" s="890"/>
      <c r="C199" s="890"/>
      <c r="D199" s="890"/>
      <c r="E199" s="518" t="s">
        <v>1477</v>
      </c>
      <c r="F199" s="423" t="s">
        <v>1478</v>
      </c>
      <c r="G199" s="424" t="s">
        <v>1026</v>
      </c>
      <c r="H199" s="445">
        <v>45798</v>
      </c>
      <c r="I199" s="288">
        <v>372.19</v>
      </c>
      <c r="J199" s="892"/>
      <c r="K199" s="86"/>
    </row>
    <row r="200" spans="1:11" ht="15" customHeight="1" x14ac:dyDescent="0.25">
      <c r="A200" s="86"/>
      <c r="B200" s="890"/>
      <c r="C200" s="890"/>
      <c r="D200" s="890"/>
      <c r="E200" s="519" t="s">
        <v>1483</v>
      </c>
      <c r="F200" s="427" t="s">
        <v>1484</v>
      </c>
      <c r="G200" s="441" t="s">
        <v>1026</v>
      </c>
      <c r="H200" s="439">
        <v>45790</v>
      </c>
      <c r="I200" s="289">
        <v>374.91</v>
      </c>
      <c r="J200" s="892"/>
      <c r="K200" s="86"/>
    </row>
    <row r="201" spans="1:11" ht="15" customHeight="1" x14ac:dyDescent="0.25">
      <c r="A201" s="86"/>
      <c r="B201" s="890" t="s">
        <v>1485</v>
      </c>
      <c r="C201" s="891" t="s">
        <v>1486</v>
      </c>
      <c r="D201" s="890" t="s">
        <v>229</v>
      </c>
      <c r="E201" s="422" t="s">
        <v>1487</v>
      </c>
      <c r="F201" s="423" t="s">
        <v>1488</v>
      </c>
      <c r="G201" s="418" t="s">
        <v>1489</v>
      </c>
      <c r="H201" s="445">
        <v>45715</v>
      </c>
      <c r="I201" s="288">
        <v>731.67</v>
      </c>
      <c r="J201" s="892">
        <f>AVERAGE(I201:$I$203)</f>
        <v>720.73666666666668</v>
      </c>
      <c r="K201" s="86"/>
    </row>
    <row r="202" spans="1:11" x14ac:dyDescent="0.25">
      <c r="A202" s="86"/>
      <c r="B202" s="890"/>
      <c r="C202" s="890"/>
      <c r="D202" s="890"/>
      <c r="E202" s="423" t="s">
        <v>1483</v>
      </c>
      <c r="F202" s="423" t="s">
        <v>1484</v>
      </c>
      <c r="G202" s="424" t="s">
        <v>1026</v>
      </c>
      <c r="H202" s="445">
        <v>45790</v>
      </c>
      <c r="I202" s="288">
        <v>750.88</v>
      </c>
      <c r="J202" s="892"/>
      <c r="K202" s="86"/>
    </row>
    <row r="203" spans="1:11" ht="26.25" x14ac:dyDescent="0.25">
      <c r="A203" s="86"/>
      <c r="B203" s="890"/>
      <c r="C203" s="890"/>
      <c r="D203" s="890"/>
      <c r="E203" s="519" t="s">
        <v>1490</v>
      </c>
      <c r="F203" s="427" t="s">
        <v>1491</v>
      </c>
      <c r="G203" s="441" t="s">
        <v>1026</v>
      </c>
      <c r="H203" s="439">
        <v>45790</v>
      </c>
      <c r="I203" s="289">
        <v>679.66</v>
      </c>
      <c r="J203" s="892"/>
      <c r="K203" s="86"/>
    </row>
    <row r="204" spans="1:11" ht="15" customHeight="1" x14ac:dyDescent="0.25">
      <c r="A204" s="86"/>
      <c r="B204" s="890" t="s">
        <v>1492</v>
      </c>
      <c r="C204" s="891" t="s">
        <v>1493</v>
      </c>
      <c r="D204" s="890" t="s">
        <v>229</v>
      </c>
      <c r="E204" s="422" t="s">
        <v>1483</v>
      </c>
      <c r="F204" s="423" t="s">
        <v>1484</v>
      </c>
      <c r="G204" s="424" t="s">
        <v>1026</v>
      </c>
      <c r="H204" s="445">
        <v>45775</v>
      </c>
      <c r="I204" s="288">
        <v>932.37</v>
      </c>
      <c r="J204" s="892">
        <f>AVERAGE(I204:$I$206)</f>
        <v>937.62333333333333</v>
      </c>
      <c r="K204" s="86"/>
    </row>
    <row r="205" spans="1:11" x14ac:dyDescent="0.25">
      <c r="A205" s="86"/>
      <c r="B205" s="890"/>
      <c r="C205" s="890"/>
      <c r="D205" s="890"/>
      <c r="E205" s="423" t="s">
        <v>1494</v>
      </c>
      <c r="F205" s="423" t="s">
        <v>1495</v>
      </c>
      <c r="G205" s="424" t="s">
        <v>1026</v>
      </c>
      <c r="H205" s="445">
        <v>45790</v>
      </c>
      <c r="I205" s="288">
        <v>877.36</v>
      </c>
      <c r="J205" s="892"/>
      <c r="K205" s="86"/>
    </row>
    <row r="206" spans="1:11" ht="15" customHeight="1" x14ac:dyDescent="0.25">
      <c r="A206" s="86"/>
      <c r="B206" s="890"/>
      <c r="C206" s="890"/>
      <c r="D206" s="890"/>
      <c r="E206" s="519" t="s">
        <v>1477</v>
      </c>
      <c r="F206" s="427" t="s">
        <v>1478</v>
      </c>
      <c r="G206" s="441" t="s">
        <v>1026</v>
      </c>
      <c r="H206" s="439">
        <v>45775</v>
      </c>
      <c r="I206" s="289">
        <v>1003.14</v>
      </c>
      <c r="J206" s="892"/>
      <c r="K206" s="86"/>
    </row>
    <row r="207" spans="1:11" ht="15" customHeight="1" x14ac:dyDescent="0.25">
      <c r="A207" s="86"/>
      <c r="B207" s="890" t="s">
        <v>1496</v>
      </c>
      <c r="C207" s="891" t="s">
        <v>1497</v>
      </c>
      <c r="D207" s="890" t="s">
        <v>229</v>
      </c>
      <c r="E207" s="435" t="s">
        <v>1498</v>
      </c>
      <c r="F207" s="517" t="s">
        <v>1499</v>
      </c>
      <c r="G207" s="424" t="s">
        <v>1026</v>
      </c>
      <c r="H207" s="445">
        <v>45790</v>
      </c>
      <c r="I207" s="295">
        <v>1915.42</v>
      </c>
      <c r="J207" s="892">
        <f>AVERAGE(I207:$I$209)</f>
        <v>2090.67</v>
      </c>
      <c r="K207" s="86"/>
    </row>
    <row r="208" spans="1:11" x14ac:dyDescent="0.25">
      <c r="A208" s="86"/>
      <c r="B208" s="890"/>
      <c r="C208" s="890"/>
      <c r="D208" s="890"/>
      <c r="E208" s="518" t="s">
        <v>1500</v>
      </c>
      <c r="F208" s="423" t="s">
        <v>1501</v>
      </c>
      <c r="G208" s="424" t="s">
        <v>1026</v>
      </c>
      <c r="H208" s="445">
        <v>45757</v>
      </c>
      <c r="I208" s="288">
        <v>2320.4299999999998</v>
      </c>
      <c r="J208" s="892"/>
      <c r="K208" s="86"/>
    </row>
    <row r="209" spans="1:11" ht="15" customHeight="1" x14ac:dyDescent="0.25">
      <c r="A209" s="86"/>
      <c r="B209" s="890"/>
      <c r="C209" s="890"/>
      <c r="D209" s="890"/>
      <c r="E209" s="520" t="s">
        <v>1477</v>
      </c>
      <c r="F209" s="427" t="s">
        <v>1478</v>
      </c>
      <c r="G209" s="441" t="s">
        <v>1026</v>
      </c>
      <c r="H209" s="439">
        <v>45790</v>
      </c>
      <c r="I209" s="289">
        <v>2036.16</v>
      </c>
      <c r="J209" s="892"/>
      <c r="K209" s="86"/>
    </row>
    <row r="210" spans="1:11" ht="15" customHeight="1" x14ac:dyDescent="0.25">
      <c r="A210" s="86"/>
      <c r="B210" s="890" t="s">
        <v>1502</v>
      </c>
      <c r="C210" s="891" t="s">
        <v>1503</v>
      </c>
      <c r="D210" s="890" t="s">
        <v>229</v>
      </c>
      <c r="E210" s="435" t="s">
        <v>1504</v>
      </c>
      <c r="F210" s="517" t="s">
        <v>1505</v>
      </c>
      <c r="G210" s="424" t="s">
        <v>1026</v>
      </c>
      <c r="H210" s="445">
        <v>45764</v>
      </c>
      <c r="I210" s="295">
        <v>261.33999999999997</v>
      </c>
      <c r="J210" s="892">
        <f>AVERAGE(I210:$I$212)</f>
        <v>246.76666666666665</v>
      </c>
      <c r="K210" s="86"/>
    </row>
    <row r="211" spans="1:11" x14ac:dyDescent="0.25">
      <c r="A211" s="86"/>
      <c r="B211" s="890"/>
      <c r="C211" s="890"/>
      <c r="D211" s="890"/>
      <c r="E211" s="422" t="s">
        <v>1483</v>
      </c>
      <c r="F211" s="423" t="s">
        <v>1484</v>
      </c>
      <c r="G211" s="424" t="s">
        <v>1026</v>
      </c>
      <c r="H211" s="445">
        <v>45764</v>
      </c>
      <c r="I211" s="288">
        <v>247.79</v>
      </c>
      <c r="J211" s="892"/>
      <c r="K211" s="86"/>
    </row>
    <row r="212" spans="1:11" ht="15" customHeight="1" x14ac:dyDescent="0.25">
      <c r="A212" s="86"/>
      <c r="B212" s="890"/>
      <c r="C212" s="890"/>
      <c r="D212" s="890"/>
      <c r="E212" s="427" t="s">
        <v>1494</v>
      </c>
      <c r="F212" s="427" t="s">
        <v>1495</v>
      </c>
      <c r="G212" s="428" t="s">
        <v>1026</v>
      </c>
      <c r="H212" s="439">
        <v>45764</v>
      </c>
      <c r="I212" s="289">
        <v>231.17</v>
      </c>
      <c r="J212" s="892"/>
      <c r="K212" s="86"/>
    </row>
    <row r="213" spans="1:11" ht="15" customHeight="1" x14ac:dyDescent="0.25">
      <c r="A213" s="86"/>
      <c r="B213" s="890" t="s">
        <v>1506</v>
      </c>
      <c r="C213" s="891" t="s">
        <v>1507</v>
      </c>
      <c r="D213" s="890" t="s">
        <v>258</v>
      </c>
      <c r="E213" s="447" t="s">
        <v>1508</v>
      </c>
      <c r="F213" s="447" t="s">
        <v>1509</v>
      </c>
      <c r="G213" s="471" t="s">
        <v>1026</v>
      </c>
      <c r="H213" s="445">
        <v>45743</v>
      </c>
      <c r="I213" s="295">
        <v>46.4</v>
      </c>
      <c r="J213" s="892">
        <f>AVERAGE(I213:$I$215)</f>
        <v>43.476666666666659</v>
      </c>
      <c r="K213" s="86"/>
    </row>
    <row r="214" spans="1:11" ht="25.5" x14ac:dyDescent="0.25">
      <c r="A214" s="86"/>
      <c r="B214" s="890"/>
      <c r="C214" s="890"/>
      <c r="D214" s="890"/>
      <c r="E214" s="422" t="s">
        <v>1510</v>
      </c>
      <c r="F214" s="423" t="s">
        <v>1511</v>
      </c>
      <c r="G214" s="438" t="s">
        <v>1026</v>
      </c>
      <c r="H214" s="425">
        <v>45743</v>
      </c>
      <c r="I214" s="288">
        <v>40.799999999999997</v>
      </c>
      <c r="J214" s="892"/>
      <c r="K214" s="86"/>
    </row>
    <row r="215" spans="1:11" ht="30" customHeight="1" x14ac:dyDescent="0.25">
      <c r="A215" s="86"/>
      <c r="B215" s="890"/>
      <c r="C215" s="890"/>
      <c r="D215" s="890"/>
      <c r="E215" s="426" t="s">
        <v>1331</v>
      </c>
      <c r="F215" s="427" t="s">
        <v>1332</v>
      </c>
      <c r="G215" s="441" t="s">
        <v>1026</v>
      </c>
      <c r="H215" s="439">
        <v>45743</v>
      </c>
      <c r="I215" s="289">
        <v>43.23</v>
      </c>
      <c r="J215" s="892"/>
      <c r="K215" s="86"/>
    </row>
    <row r="216" spans="1:11" ht="15" customHeight="1" x14ac:dyDescent="0.25">
      <c r="A216" s="86"/>
      <c r="B216" s="890" t="s">
        <v>1512</v>
      </c>
      <c r="C216" s="891" t="s">
        <v>1513</v>
      </c>
      <c r="D216" s="890" t="s">
        <v>258</v>
      </c>
      <c r="E216" s="435" t="s">
        <v>1514</v>
      </c>
      <c r="F216" s="517" t="s">
        <v>1332</v>
      </c>
      <c r="G216" s="424" t="s">
        <v>1026</v>
      </c>
      <c r="H216" s="445">
        <v>45790</v>
      </c>
      <c r="I216" s="295">
        <v>20.350000000000001</v>
      </c>
      <c r="J216" s="892">
        <f>AVERAGE(I216:$I$218)</f>
        <v>20.973333333333333</v>
      </c>
      <c r="K216" s="86"/>
    </row>
    <row r="217" spans="1:11" x14ac:dyDescent="0.25">
      <c r="A217" s="86"/>
      <c r="B217" s="890"/>
      <c r="C217" s="890"/>
      <c r="D217" s="890"/>
      <c r="E217" s="518" t="s">
        <v>1477</v>
      </c>
      <c r="F217" s="423" t="s">
        <v>1478</v>
      </c>
      <c r="G217" s="424" t="s">
        <v>1026</v>
      </c>
      <c r="H217" s="445">
        <v>45757</v>
      </c>
      <c r="I217" s="288">
        <v>24.2</v>
      </c>
      <c r="J217" s="892"/>
      <c r="K217" s="86"/>
    </row>
    <row r="218" spans="1:11" x14ac:dyDescent="0.25">
      <c r="A218" s="86"/>
      <c r="B218" s="890"/>
      <c r="C218" s="890"/>
      <c r="D218" s="890"/>
      <c r="E218" s="519" t="s">
        <v>1515</v>
      </c>
      <c r="F218" s="427" t="s">
        <v>1516</v>
      </c>
      <c r="G218" s="441" t="s">
        <v>1026</v>
      </c>
      <c r="H218" s="439">
        <v>45757</v>
      </c>
      <c r="I218" s="289">
        <v>18.37</v>
      </c>
      <c r="J218" s="892"/>
      <c r="K218" s="86"/>
    </row>
    <row r="219" spans="1:11" ht="15" customHeight="1" x14ac:dyDescent="0.25">
      <c r="A219" s="86"/>
      <c r="B219" s="890" t="s">
        <v>1517</v>
      </c>
      <c r="C219" s="891" t="s">
        <v>1518</v>
      </c>
      <c r="D219" s="890" t="s">
        <v>258</v>
      </c>
      <c r="E219" s="435" t="s">
        <v>1519</v>
      </c>
      <c r="F219" s="517" t="s">
        <v>1520</v>
      </c>
      <c r="G219" s="424" t="s">
        <v>1026</v>
      </c>
      <c r="H219" s="445">
        <v>45791</v>
      </c>
      <c r="I219" s="295">
        <v>31.31</v>
      </c>
      <c r="J219" s="892">
        <f>AVERAGE(I219:$I$221)</f>
        <v>34.336666666666666</v>
      </c>
      <c r="K219" s="86"/>
    </row>
    <row r="220" spans="1:11" ht="26.25" x14ac:dyDescent="0.25">
      <c r="A220" s="86"/>
      <c r="B220" s="890"/>
      <c r="C220" s="890"/>
      <c r="D220" s="890"/>
      <c r="E220" s="521" t="s">
        <v>1521</v>
      </c>
      <c r="F220" s="423" t="s">
        <v>1511</v>
      </c>
      <c r="G220" s="424" t="s">
        <v>1026</v>
      </c>
      <c r="H220" s="445">
        <v>45791</v>
      </c>
      <c r="I220" s="288">
        <v>36.29</v>
      </c>
      <c r="J220" s="892"/>
      <c r="K220" s="86"/>
    </row>
    <row r="221" spans="1:11" ht="26.25" x14ac:dyDescent="0.25">
      <c r="A221" s="86"/>
      <c r="B221" s="890"/>
      <c r="C221" s="890"/>
      <c r="D221" s="890"/>
      <c r="E221" s="519" t="s">
        <v>1522</v>
      </c>
      <c r="F221" s="427" t="s">
        <v>1523</v>
      </c>
      <c r="G221" s="441" t="s">
        <v>1026</v>
      </c>
      <c r="H221" s="439">
        <v>45791</v>
      </c>
      <c r="I221" s="289">
        <v>35.409999999999997</v>
      </c>
      <c r="J221" s="892"/>
      <c r="K221" s="86"/>
    </row>
    <row r="222" spans="1:11" ht="15" customHeight="1" x14ac:dyDescent="0.25">
      <c r="A222" s="86"/>
      <c r="B222" s="890" t="s">
        <v>1524</v>
      </c>
      <c r="C222" s="891" t="s">
        <v>1525</v>
      </c>
      <c r="D222" s="890" t="s">
        <v>258</v>
      </c>
      <c r="E222" s="435" t="s">
        <v>1526</v>
      </c>
      <c r="F222" s="517" t="s">
        <v>1527</v>
      </c>
      <c r="G222" s="424" t="s">
        <v>1026</v>
      </c>
      <c r="H222" s="445">
        <v>45791</v>
      </c>
      <c r="I222" s="295">
        <v>79.81</v>
      </c>
      <c r="J222" s="892">
        <f>AVERAGE(I222:$I$224)</f>
        <v>91.399999999999991</v>
      </c>
      <c r="K222" s="86"/>
    </row>
    <row r="223" spans="1:11" x14ac:dyDescent="0.25">
      <c r="A223" s="86"/>
      <c r="B223" s="890"/>
      <c r="C223" s="890"/>
      <c r="D223" s="890"/>
      <c r="E223" s="521" t="s">
        <v>1528</v>
      </c>
      <c r="F223" s="423" t="s">
        <v>1529</v>
      </c>
      <c r="G223" s="424" t="s">
        <v>1026</v>
      </c>
      <c r="H223" s="445">
        <v>45758</v>
      </c>
      <c r="I223" s="288">
        <v>102.89</v>
      </c>
      <c r="J223" s="892"/>
      <c r="K223" s="86"/>
    </row>
    <row r="224" spans="1:11" ht="26.25" x14ac:dyDescent="0.25">
      <c r="A224" s="86"/>
      <c r="B224" s="890"/>
      <c r="C224" s="890"/>
      <c r="D224" s="890"/>
      <c r="E224" s="519" t="s">
        <v>1530</v>
      </c>
      <c r="F224" s="427" t="s">
        <v>1531</v>
      </c>
      <c r="G224" s="441" t="s">
        <v>1026</v>
      </c>
      <c r="H224" s="439">
        <v>45758</v>
      </c>
      <c r="I224" s="289">
        <v>91.5</v>
      </c>
      <c r="J224" s="892"/>
      <c r="K224" s="86"/>
    </row>
    <row r="225" spans="1:13" ht="20.85" customHeight="1" x14ac:dyDescent="0.25">
      <c r="A225" s="86"/>
      <c r="B225" s="890" t="s">
        <v>1532</v>
      </c>
      <c r="C225" s="891" t="s">
        <v>1533</v>
      </c>
      <c r="D225" s="890" t="s">
        <v>258</v>
      </c>
      <c r="E225" s="435" t="s">
        <v>1534</v>
      </c>
      <c r="F225" s="517" t="s">
        <v>1535</v>
      </c>
      <c r="G225" s="424" t="s">
        <v>1026</v>
      </c>
      <c r="H225" s="467">
        <v>45791</v>
      </c>
      <c r="I225" s="295">
        <v>24.77</v>
      </c>
      <c r="J225" s="892">
        <f>AVERAGE(I225:$I$227)</f>
        <v>25.786666666666665</v>
      </c>
      <c r="K225" s="86"/>
    </row>
    <row r="226" spans="1:13" ht="26.25" x14ac:dyDescent="0.25">
      <c r="A226" s="86"/>
      <c r="B226" s="890"/>
      <c r="C226" s="890"/>
      <c r="D226" s="890"/>
      <c r="E226" s="521" t="s">
        <v>1536</v>
      </c>
      <c r="F226" s="423" t="s">
        <v>1537</v>
      </c>
      <c r="G226" s="424" t="s">
        <v>1026</v>
      </c>
      <c r="H226" s="425">
        <v>45757</v>
      </c>
      <c r="I226" s="288">
        <v>28.87</v>
      </c>
      <c r="J226" s="892"/>
      <c r="K226" s="86"/>
    </row>
    <row r="227" spans="1:13" ht="25.5" x14ac:dyDescent="0.25">
      <c r="A227" s="86"/>
      <c r="B227" s="890"/>
      <c r="C227" s="890"/>
      <c r="D227" s="890"/>
      <c r="E227" s="426" t="s">
        <v>1538</v>
      </c>
      <c r="F227" s="522" t="s">
        <v>1539</v>
      </c>
      <c r="G227" s="441" t="s">
        <v>1026</v>
      </c>
      <c r="H227" s="439">
        <v>45791</v>
      </c>
      <c r="I227" s="289">
        <v>23.72</v>
      </c>
      <c r="J227" s="892"/>
      <c r="K227" s="86"/>
    </row>
    <row r="228" spans="1:13" ht="15" customHeight="1" x14ac:dyDescent="0.25">
      <c r="A228" s="86"/>
      <c r="B228" s="890" t="s">
        <v>1540</v>
      </c>
      <c r="C228" s="891" t="s">
        <v>1541</v>
      </c>
      <c r="D228" s="890" t="s">
        <v>1310</v>
      </c>
      <c r="E228" s="468" t="s">
        <v>1542</v>
      </c>
      <c r="F228" s="464" t="s">
        <v>1543</v>
      </c>
      <c r="G228" s="442" t="s">
        <v>1026</v>
      </c>
      <c r="H228" s="467">
        <v>45757</v>
      </c>
      <c r="I228" s="466">
        <v>40.82</v>
      </c>
      <c r="J228" s="892">
        <f>AVERAGE(I228:$I$230)</f>
        <v>43.276666666666664</v>
      </c>
      <c r="K228" s="86"/>
    </row>
    <row r="229" spans="1:13" ht="15" customHeight="1" x14ac:dyDescent="0.25">
      <c r="A229" s="86"/>
      <c r="B229" s="890"/>
      <c r="C229" s="890"/>
      <c r="D229" s="890"/>
      <c r="E229" s="422" t="s">
        <v>1544</v>
      </c>
      <c r="F229" s="423" t="s">
        <v>1545</v>
      </c>
      <c r="G229" s="424" t="s">
        <v>1026</v>
      </c>
      <c r="H229" s="425">
        <v>45757</v>
      </c>
      <c r="I229" s="288">
        <v>40.57</v>
      </c>
      <c r="J229" s="892"/>
      <c r="K229" s="86"/>
    </row>
    <row r="230" spans="1:13" x14ac:dyDescent="0.25">
      <c r="A230" s="86"/>
      <c r="B230" s="890"/>
      <c r="C230" s="890"/>
      <c r="D230" s="890"/>
      <c r="E230" s="426" t="s">
        <v>1546</v>
      </c>
      <c r="F230" s="457" t="s">
        <v>1547</v>
      </c>
      <c r="G230" s="441" t="s">
        <v>1026</v>
      </c>
      <c r="H230" s="458">
        <v>45791</v>
      </c>
      <c r="I230" s="456">
        <v>48.44</v>
      </c>
      <c r="J230" s="892"/>
      <c r="K230" s="86"/>
    </row>
    <row r="231" spans="1:13" x14ac:dyDescent="0.25">
      <c r="A231" s="86"/>
      <c r="B231" s="850" t="s">
        <v>1548</v>
      </c>
      <c r="C231" s="850"/>
      <c r="D231" s="850"/>
      <c r="E231" s="850"/>
      <c r="F231" s="850"/>
      <c r="G231" s="850"/>
      <c r="H231" s="850"/>
      <c r="I231" s="850"/>
      <c r="J231" s="850"/>
      <c r="K231" s="86"/>
    </row>
    <row r="232" spans="1:13" ht="25.5" x14ac:dyDescent="0.25">
      <c r="A232" s="86"/>
      <c r="B232" s="413" t="s">
        <v>1011</v>
      </c>
      <c r="C232" s="413" t="s">
        <v>1012</v>
      </c>
      <c r="D232" s="413" t="s">
        <v>22</v>
      </c>
      <c r="E232" s="413" t="s">
        <v>1013</v>
      </c>
      <c r="F232" s="413" t="s">
        <v>1014</v>
      </c>
      <c r="G232" s="413" t="s">
        <v>1015</v>
      </c>
      <c r="H232" s="414" t="s">
        <v>1016</v>
      </c>
      <c r="I232" s="413" t="s">
        <v>1017</v>
      </c>
      <c r="J232" s="414" t="s">
        <v>1018</v>
      </c>
      <c r="K232" s="86"/>
    </row>
    <row r="233" spans="1:13" ht="15" customHeight="1" x14ac:dyDescent="0.25">
      <c r="A233" s="86"/>
      <c r="B233" s="890" t="s">
        <v>1549</v>
      </c>
      <c r="C233" s="891" t="s">
        <v>1550</v>
      </c>
      <c r="D233" s="890" t="s">
        <v>281</v>
      </c>
      <c r="E233" s="468" t="s">
        <v>1551</v>
      </c>
      <c r="F233" s="464" t="s">
        <v>1552</v>
      </c>
      <c r="G233" s="419" t="s">
        <v>1553</v>
      </c>
      <c r="H233" s="467">
        <v>45506</v>
      </c>
      <c r="I233" s="466">
        <v>51.87</v>
      </c>
      <c r="J233" s="892">
        <f>AVERAGE(I233:$I$235)</f>
        <v>57.093333333333334</v>
      </c>
      <c r="K233" s="86"/>
    </row>
    <row r="234" spans="1:13" ht="15" customHeight="1" x14ac:dyDescent="0.25">
      <c r="A234" s="86"/>
      <c r="B234" s="890"/>
      <c r="C234" s="890"/>
      <c r="D234" s="890"/>
      <c r="E234" s="422" t="s">
        <v>1554</v>
      </c>
      <c r="F234" s="423" t="s">
        <v>1555</v>
      </c>
      <c r="G234" s="424" t="s">
        <v>1556</v>
      </c>
      <c r="H234" s="425">
        <v>45610</v>
      </c>
      <c r="I234" s="288">
        <v>59.38</v>
      </c>
      <c r="J234" s="892"/>
      <c r="K234" s="86"/>
    </row>
    <row r="235" spans="1:13" ht="25.5" x14ac:dyDescent="0.25">
      <c r="A235" s="86"/>
      <c r="B235" s="890"/>
      <c r="C235" s="890"/>
      <c r="D235" s="890"/>
      <c r="E235" s="426" t="s">
        <v>1557</v>
      </c>
      <c r="F235" s="457" t="s">
        <v>1558</v>
      </c>
      <c r="G235" s="428" t="s">
        <v>1559</v>
      </c>
      <c r="H235" s="458">
        <v>45705</v>
      </c>
      <c r="I235" s="456">
        <v>60.03</v>
      </c>
      <c r="J235" s="892"/>
      <c r="K235" s="86"/>
    </row>
    <row r="236" spans="1:13" ht="15" customHeight="1" x14ac:dyDescent="0.25">
      <c r="A236" s="86"/>
      <c r="B236" s="893" t="s">
        <v>1560</v>
      </c>
      <c r="C236" s="888" t="s">
        <v>1561</v>
      </c>
      <c r="D236" s="895" t="s">
        <v>281</v>
      </c>
      <c r="E236" s="417" t="s">
        <v>1562</v>
      </c>
      <c r="F236" s="430" t="s">
        <v>1563</v>
      </c>
      <c r="G236" s="430" t="s">
        <v>1026</v>
      </c>
      <c r="H236" s="437">
        <v>46265</v>
      </c>
      <c r="I236" s="433">
        <v>250</v>
      </c>
      <c r="J236" s="889">
        <f>AVERAGE(I236:$I$239)</f>
        <v>414.23250000000002</v>
      </c>
      <c r="K236" s="86"/>
      <c r="M236" s="388"/>
    </row>
    <row r="237" spans="1:13" ht="15" customHeight="1" x14ac:dyDescent="0.25">
      <c r="A237" s="86"/>
      <c r="B237" s="893"/>
      <c r="C237" s="888"/>
      <c r="D237" s="895"/>
      <c r="E237" s="422" t="s">
        <v>1564</v>
      </c>
      <c r="F237" s="423" t="s">
        <v>1565</v>
      </c>
      <c r="G237" s="423" t="s">
        <v>1026</v>
      </c>
      <c r="H237" s="425">
        <v>46265</v>
      </c>
      <c r="I237" s="288">
        <v>614.79999999999995</v>
      </c>
      <c r="J237" s="889"/>
      <c r="K237" s="86"/>
      <c r="M237" s="388"/>
    </row>
    <row r="238" spans="1:13" x14ac:dyDescent="0.25">
      <c r="A238" s="86"/>
      <c r="B238" s="893"/>
      <c r="C238" s="888"/>
      <c r="D238" s="895"/>
      <c r="E238" s="422" t="s">
        <v>1566</v>
      </c>
      <c r="F238" s="423" t="s">
        <v>1567</v>
      </c>
      <c r="G238" s="423" t="s">
        <v>1026</v>
      </c>
      <c r="H238" s="425">
        <v>46265</v>
      </c>
      <c r="I238" s="288">
        <v>558.92999999999995</v>
      </c>
      <c r="J238" s="889"/>
      <c r="K238" s="86"/>
      <c r="M238" s="388"/>
    </row>
    <row r="239" spans="1:13" x14ac:dyDescent="0.25">
      <c r="A239" s="86"/>
      <c r="B239" s="893"/>
      <c r="C239" s="888"/>
      <c r="D239" s="895"/>
      <c r="E239" s="422" t="s">
        <v>1568</v>
      </c>
      <c r="F239" s="423" t="s">
        <v>1569</v>
      </c>
      <c r="G239" s="423" t="s">
        <v>1026</v>
      </c>
      <c r="H239" s="425">
        <v>46265</v>
      </c>
      <c r="I239" s="288">
        <v>233.2</v>
      </c>
      <c r="J239" s="889"/>
      <c r="K239" s="86"/>
      <c r="M239" s="388"/>
    </row>
    <row r="240" spans="1:13" ht="15" customHeight="1" x14ac:dyDescent="0.25">
      <c r="A240" s="86"/>
      <c r="B240" s="893" t="s">
        <v>1570</v>
      </c>
      <c r="C240" s="894" t="s">
        <v>1571</v>
      </c>
      <c r="D240" s="895" t="s">
        <v>281</v>
      </c>
      <c r="E240" s="417" t="s">
        <v>1572</v>
      </c>
      <c r="F240" s="430" t="s">
        <v>1573</v>
      </c>
      <c r="G240" s="430" t="s">
        <v>1026</v>
      </c>
      <c r="H240" s="437">
        <v>45762</v>
      </c>
      <c r="I240" s="433">
        <v>293.39</v>
      </c>
      <c r="J240" s="889">
        <f>AVERAGE(I240:$I$242)</f>
        <v>279.09666666666664</v>
      </c>
      <c r="K240" s="86"/>
      <c r="M240" s="388"/>
    </row>
    <row r="241" spans="1:13" x14ac:dyDescent="0.25">
      <c r="A241" s="86"/>
      <c r="B241" s="893"/>
      <c r="C241" s="894"/>
      <c r="D241" s="895"/>
      <c r="E241" s="422" t="s">
        <v>1562</v>
      </c>
      <c r="F241" s="423" t="s">
        <v>1563</v>
      </c>
      <c r="G241" s="423" t="s">
        <v>1026</v>
      </c>
      <c r="H241" s="425">
        <v>46265</v>
      </c>
      <c r="I241" s="288">
        <v>269</v>
      </c>
      <c r="J241" s="889"/>
      <c r="K241" s="86"/>
      <c r="M241" s="388"/>
    </row>
    <row r="242" spans="1:13" x14ac:dyDescent="0.25">
      <c r="A242" s="86"/>
      <c r="B242" s="893"/>
      <c r="C242" s="894"/>
      <c r="D242" s="895"/>
      <c r="E242" s="422" t="s">
        <v>1568</v>
      </c>
      <c r="F242" s="427" t="s">
        <v>1569</v>
      </c>
      <c r="G242" s="427" t="s">
        <v>1026</v>
      </c>
      <c r="H242" s="439">
        <v>46265</v>
      </c>
      <c r="I242" s="289">
        <v>274.89999999999998</v>
      </c>
      <c r="J242" s="889"/>
      <c r="K242" s="86"/>
      <c r="M242" s="388"/>
    </row>
    <row r="243" spans="1:13" ht="15" customHeight="1" x14ac:dyDescent="0.25">
      <c r="A243" s="86"/>
      <c r="B243" s="890" t="s">
        <v>1574</v>
      </c>
      <c r="C243" s="891" t="s">
        <v>1575</v>
      </c>
      <c r="D243" s="887" t="s">
        <v>281</v>
      </c>
      <c r="E243" s="417" t="s">
        <v>1576</v>
      </c>
      <c r="F243" s="447" t="s">
        <v>1577</v>
      </c>
      <c r="G243" s="435" t="s">
        <v>1026</v>
      </c>
      <c r="H243" s="445">
        <v>45775</v>
      </c>
      <c r="I243" s="295">
        <v>1551.62</v>
      </c>
      <c r="J243" s="892">
        <f>MEDIAN(I243:$I$245)</f>
        <v>1727.96</v>
      </c>
      <c r="K243" s="86"/>
    </row>
    <row r="244" spans="1:13" x14ac:dyDescent="0.25">
      <c r="A244" s="86"/>
      <c r="B244" s="890"/>
      <c r="C244" s="890"/>
      <c r="D244" s="890"/>
      <c r="E244" s="422" t="s">
        <v>1578</v>
      </c>
      <c r="F244" s="423" t="s">
        <v>1579</v>
      </c>
      <c r="G244" s="423" t="s">
        <v>1026</v>
      </c>
      <c r="H244" s="425">
        <v>45771</v>
      </c>
      <c r="I244" s="288">
        <v>4079.13</v>
      </c>
      <c r="J244" s="892"/>
      <c r="K244" s="86"/>
    </row>
    <row r="245" spans="1:13" x14ac:dyDescent="0.25">
      <c r="A245" s="86"/>
      <c r="B245" s="890"/>
      <c r="C245" s="890"/>
      <c r="D245" s="890"/>
      <c r="E245" s="469" t="s">
        <v>1580</v>
      </c>
      <c r="F245" s="457" t="s">
        <v>1581</v>
      </c>
      <c r="G245" s="457" t="s">
        <v>1026</v>
      </c>
      <c r="H245" s="458">
        <v>45779</v>
      </c>
      <c r="I245" s="456">
        <v>1727.96</v>
      </c>
      <c r="J245" s="892"/>
      <c r="K245" s="86"/>
    </row>
    <row r="246" spans="1:13" ht="15" customHeight="1" x14ac:dyDescent="0.25">
      <c r="A246" s="86"/>
      <c r="B246" s="890" t="s">
        <v>1582</v>
      </c>
      <c r="C246" s="891" t="s">
        <v>1583</v>
      </c>
      <c r="D246" s="890" t="s">
        <v>281</v>
      </c>
      <c r="E246" s="422" t="s">
        <v>1576</v>
      </c>
      <c r="F246" s="423" t="s">
        <v>1577</v>
      </c>
      <c r="G246" s="422" t="s">
        <v>1026</v>
      </c>
      <c r="H246" s="425">
        <v>45775</v>
      </c>
      <c r="I246" s="288">
        <v>326.66000000000003</v>
      </c>
      <c r="J246" s="892">
        <f>MEDIAN(I246:$I$248)</f>
        <v>147.41999999999999</v>
      </c>
      <c r="K246" s="86"/>
    </row>
    <row r="247" spans="1:13" x14ac:dyDescent="0.25">
      <c r="A247" s="86"/>
      <c r="B247" s="890"/>
      <c r="C247" s="890"/>
      <c r="D247" s="890"/>
      <c r="E247" s="422" t="s">
        <v>1578</v>
      </c>
      <c r="F247" s="423" t="s">
        <v>1579</v>
      </c>
      <c r="G247" s="423" t="s">
        <v>1026</v>
      </c>
      <c r="H247" s="425">
        <v>45771</v>
      </c>
      <c r="I247" s="288">
        <v>147.41999999999999</v>
      </c>
      <c r="J247" s="892"/>
      <c r="K247" s="86"/>
    </row>
    <row r="248" spans="1:13" x14ac:dyDescent="0.25">
      <c r="A248" s="86"/>
      <c r="B248" s="890"/>
      <c r="C248" s="890"/>
      <c r="D248" s="890"/>
      <c r="E248" s="469" t="s">
        <v>1580</v>
      </c>
      <c r="F248" s="457" t="s">
        <v>1581</v>
      </c>
      <c r="G248" s="457" t="s">
        <v>1026</v>
      </c>
      <c r="H248" s="458">
        <v>45779</v>
      </c>
      <c r="I248" s="456">
        <v>104.72</v>
      </c>
      <c r="J248" s="892"/>
      <c r="K248" s="86"/>
    </row>
    <row r="249" spans="1:13" ht="15" customHeight="1" x14ac:dyDescent="0.25">
      <c r="A249" s="86"/>
      <c r="B249" s="890" t="s">
        <v>1584</v>
      </c>
      <c r="C249" s="891" t="s">
        <v>1585</v>
      </c>
      <c r="D249" s="890" t="s">
        <v>281</v>
      </c>
      <c r="E249" s="422" t="s">
        <v>1578</v>
      </c>
      <c r="F249" s="423" t="s">
        <v>1579</v>
      </c>
      <c r="G249" s="423" t="s">
        <v>1026</v>
      </c>
      <c r="H249" s="425">
        <v>45771</v>
      </c>
      <c r="I249" s="288">
        <v>299.24</v>
      </c>
      <c r="J249" s="892">
        <f>MEDIAN(I249:$I$251)</f>
        <v>115.5</v>
      </c>
      <c r="K249" s="86"/>
    </row>
    <row r="250" spans="1:13" x14ac:dyDescent="0.25">
      <c r="A250" s="86"/>
      <c r="B250" s="890"/>
      <c r="C250" s="890"/>
      <c r="D250" s="890"/>
      <c r="E250" s="422" t="s">
        <v>1576</v>
      </c>
      <c r="F250" s="423" t="s">
        <v>1577</v>
      </c>
      <c r="G250" s="422" t="s">
        <v>1026</v>
      </c>
      <c r="H250" s="425">
        <v>45775</v>
      </c>
      <c r="I250" s="288">
        <v>115.5</v>
      </c>
      <c r="J250" s="892"/>
      <c r="K250" s="86"/>
    </row>
    <row r="251" spans="1:13" x14ac:dyDescent="0.25">
      <c r="A251" s="86"/>
      <c r="B251" s="890"/>
      <c r="C251" s="890"/>
      <c r="D251" s="890"/>
      <c r="E251" s="469" t="s">
        <v>1580</v>
      </c>
      <c r="F251" s="457" t="s">
        <v>1581</v>
      </c>
      <c r="G251" s="457" t="s">
        <v>1026</v>
      </c>
      <c r="H251" s="458">
        <v>45779</v>
      </c>
      <c r="I251" s="456">
        <v>47.13</v>
      </c>
      <c r="J251" s="892"/>
      <c r="K251" s="86"/>
      <c r="L251" s="12"/>
    </row>
    <row r="252" spans="1:13" ht="15" customHeight="1" x14ac:dyDescent="0.25">
      <c r="A252" s="86"/>
      <c r="B252" s="887" t="s">
        <v>1586</v>
      </c>
      <c r="C252" s="888" t="s">
        <v>1587</v>
      </c>
      <c r="D252" s="887" t="s">
        <v>281</v>
      </c>
      <c r="E252" s="450" t="s">
        <v>1588</v>
      </c>
      <c r="F252" s="523" t="s">
        <v>1589</v>
      </c>
      <c r="G252" s="452" t="s">
        <v>1590</v>
      </c>
      <c r="H252" s="443">
        <v>45698</v>
      </c>
      <c r="I252" s="482">
        <v>855.34</v>
      </c>
      <c r="J252" s="889">
        <f>AVERAGE(I252:$I$254)</f>
        <v>858.83333333333337</v>
      </c>
      <c r="K252" s="86"/>
    </row>
    <row r="253" spans="1:13" ht="25.5" x14ac:dyDescent="0.25">
      <c r="A253" s="86"/>
      <c r="B253" s="887"/>
      <c r="C253" s="887"/>
      <c r="D253" s="887"/>
      <c r="E253" s="422" t="s">
        <v>1591</v>
      </c>
      <c r="F253" s="423" t="s">
        <v>1592</v>
      </c>
      <c r="G253" s="424" t="s">
        <v>1593</v>
      </c>
      <c r="H253" s="425">
        <v>45533</v>
      </c>
      <c r="I253" s="288">
        <v>755.37</v>
      </c>
      <c r="J253" s="889"/>
      <c r="K253" s="86"/>
    </row>
    <row r="254" spans="1:13" x14ac:dyDescent="0.25">
      <c r="A254" s="86"/>
      <c r="B254" s="887"/>
      <c r="C254" s="887"/>
      <c r="D254" s="887"/>
      <c r="E254" s="426" t="s">
        <v>1594</v>
      </c>
      <c r="F254" s="457" t="s">
        <v>1595</v>
      </c>
      <c r="G254" s="426" t="s">
        <v>1596</v>
      </c>
      <c r="H254" s="458">
        <v>45533</v>
      </c>
      <c r="I254" s="456">
        <v>965.79</v>
      </c>
      <c r="J254" s="889"/>
      <c r="K254" s="86"/>
      <c r="L254" s="12"/>
    </row>
    <row r="255" spans="1:13" ht="15" customHeight="1" x14ac:dyDescent="0.25">
      <c r="A255" s="86"/>
      <c r="B255" s="887" t="s">
        <v>1597</v>
      </c>
      <c r="C255" s="888" t="s">
        <v>1598</v>
      </c>
      <c r="D255" s="887" t="s">
        <v>281</v>
      </c>
      <c r="E255" s="417" t="s">
        <v>1599</v>
      </c>
      <c r="F255" s="430" t="s">
        <v>1600</v>
      </c>
      <c r="G255" s="431" t="s">
        <v>1601</v>
      </c>
      <c r="H255" s="437">
        <v>45496</v>
      </c>
      <c r="I255" s="433">
        <v>2686.38</v>
      </c>
      <c r="J255" s="889">
        <f>AVERAGE(I255:$I$257)</f>
        <v>2750.0266666666666</v>
      </c>
      <c r="K255" s="86"/>
    </row>
    <row r="256" spans="1:13" ht="15" customHeight="1" x14ac:dyDescent="0.25">
      <c r="A256" s="86"/>
      <c r="B256" s="887"/>
      <c r="C256" s="887"/>
      <c r="D256" s="887"/>
      <c r="E256" s="422" t="s">
        <v>1602</v>
      </c>
      <c r="F256" s="423" t="s">
        <v>1589</v>
      </c>
      <c r="G256" s="424" t="s">
        <v>1603</v>
      </c>
      <c r="H256" s="425">
        <v>45706</v>
      </c>
      <c r="I256" s="288">
        <v>2408.12</v>
      </c>
      <c r="J256" s="889"/>
      <c r="K256" s="86"/>
      <c r="L256" s="12"/>
    </row>
    <row r="257" spans="1:12" ht="25.5" x14ac:dyDescent="0.25">
      <c r="A257" s="86"/>
      <c r="B257" s="887"/>
      <c r="C257" s="887"/>
      <c r="D257" s="887"/>
      <c r="E257" s="426" t="s">
        <v>1594</v>
      </c>
      <c r="F257" s="427" t="s">
        <v>1595</v>
      </c>
      <c r="G257" s="428" t="s">
        <v>1604</v>
      </c>
      <c r="H257" s="439">
        <v>45539</v>
      </c>
      <c r="I257" s="289">
        <v>3155.58</v>
      </c>
      <c r="J257" s="889"/>
      <c r="K257" s="86"/>
    </row>
    <row r="258" spans="1:12" ht="15" customHeight="1" x14ac:dyDescent="0.25">
      <c r="A258" s="86"/>
      <c r="B258" s="887" t="s">
        <v>1605</v>
      </c>
      <c r="C258" s="888" t="s">
        <v>1606</v>
      </c>
      <c r="D258" s="887" t="s">
        <v>281</v>
      </c>
      <c r="E258" s="417" t="s">
        <v>1607</v>
      </c>
      <c r="F258" s="430" t="s">
        <v>1608</v>
      </c>
      <c r="G258" s="419" t="s">
        <v>1609</v>
      </c>
      <c r="H258" s="437">
        <v>45688</v>
      </c>
      <c r="I258" s="433">
        <v>558.63</v>
      </c>
      <c r="J258" s="889">
        <f>AVERAGE(I258:$I$261)</f>
        <v>550.83750000000009</v>
      </c>
      <c r="K258" s="86"/>
      <c r="L258" s="12"/>
    </row>
    <row r="259" spans="1:12" ht="64.5" customHeight="1" x14ac:dyDescent="0.25">
      <c r="A259" s="86"/>
      <c r="B259" s="887"/>
      <c r="C259" s="887"/>
      <c r="D259" s="887"/>
      <c r="E259" s="422" t="s">
        <v>1610</v>
      </c>
      <c r="F259" s="423" t="s">
        <v>1611</v>
      </c>
      <c r="G259" s="424" t="s">
        <v>1612</v>
      </c>
      <c r="H259" s="425">
        <v>45505</v>
      </c>
      <c r="I259" s="288">
        <v>603.17999999999995</v>
      </c>
      <c r="J259" s="889"/>
      <c r="K259" s="86"/>
      <c r="L259" s="12"/>
    </row>
    <row r="260" spans="1:12" ht="48" customHeight="1" x14ac:dyDescent="0.25">
      <c r="A260" s="86"/>
      <c r="B260" s="887"/>
      <c r="C260" s="887"/>
      <c r="D260" s="887"/>
      <c r="E260" s="422" t="s">
        <v>1613</v>
      </c>
      <c r="F260" s="423" t="s">
        <v>1614</v>
      </c>
      <c r="G260" s="424" t="s">
        <v>1615</v>
      </c>
      <c r="H260" s="467">
        <v>45621</v>
      </c>
      <c r="I260" s="466">
        <v>577.57000000000005</v>
      </c>
      <c r="J260" s="889"/>
      <c r="K260" s="86"/>
    </row>
    <row r="261" spans="1:12" ht="25.5" x14ac:dyDescent="0.25">
      <c r="A261" s="86"/>
      <c r="B261" s="887"/>
      <c r="C261" s="887"/>
      <c r="D261" s="887"/>
      <c r="E261" s="469" t="s">
        <v>1616</v>
      </c>
      <c r="F261" s="457" t="s">
        <v>1617</v>
      </c>
      <c r="G261" s="461" t="s">
        <v>1618</v>
      </c>
      <c r="H261" s="439">
        <v>45747</v>
      </c>
      <c r="I261" s="289">
        <v>463.97</v>
      </c>
      <c r="J261" s="889"/>
      <c r="K261" s="86"/>
    </row>
    <row r="262" spans="1:12" ht="48.75" customHeight="1" x14ac:dyDescent="0.25">
      <c r="A262" s="86"/>
      <c r="B262" s="890" t="s">
        <v>1619</v>
      </c>
      <c r="C262" s="891" t="s">
        <v>1620</v>
      </c>
      <c r="D262" s="890" t="s">
        <v>281</v>
      </c>
      <c r="E262" s="435" t="s">
        <v>1621</v>
      </c>
      <c r="F262" s="447" t="s">
        <v>1622</v>
      </c>
      <c r="G262" s="436" t="s">
        <v>1623</v>
      </c>
      <c r="H262" s="445">
        <v>45707</v>
      </c>
      <c r="I262" s="295">
        <v>455.97</v>
      </c>
      <c r="J262" s="892">
        <f>AVERAGE(I262:$I$264)</f>
        <v>521.98</v>
      </c>
      <c r="K262" s="86"/>
    </row>
    <row r="263" spans="1:12" ht="25.5" x14ac:dyDescent="0.25">
      <c r="A263" s="86"/>
      <c r="B263" s="890"/>
      <c r="C263" s="890"/>
      <c r="D263" s="890"/>
      <c r="E263" s="422" t="s">
        <v>1624</v>
      </c>
      <c r="F263" s="423" t="s">
        <v>1625</v>
      </c>
      <c r="G263" s="424" t="s">
        <v>1626</v>
      </c>
      <c r="H263" s="425">
        <v>45762</v>
      </c>
      <c r="I263" s="288">
        <v>582.73</v>
      </c>
      <c r="J263" s="892"/>
      <c r="K263" s="86"/>
    </row>
    <row r="264" spans="1:12" ht="48.75" customHeight="1" x14ac:dyDescent="0.25">
      <c r="A264" s="86"/>
      <c r="B264" s="890"/>
      <c r="C264" s="890"/>
      <c r="D264" s="890"/>
      <c r="E264" s="426" t="s">
        <v>1627</v>
      </c>
      <c r="F264" s="427" t="s">
        <v>1628</v>
      </c>
      <c r="G264" s="428" t="s">
        <v>1629</v>
      </c>
      <c r="H264" s="439">
        <v>45741</v>
      </c>
      <c r="I264" s="289">
        <v>527.24</v>
      </c>
      <c r="J264" s="892"/>
      <c r="K264" s="86"/>
    </row>
    <row r="265" spans="1:12" ht="15" customHeight="1" x14ac:dyDescent="0.25">
      <c r="A265" s="86"/>
      <c r="B265" s="887" t="s">
        <v>1630</v>
      </c>
      <c r="C265" s="888" t="s">
        <v>1631</v>
      </c>
      <c r="D265" s="887" t="s">
        <v>281</v>
      </c>
      <c r="E265" s="417" t="s">
        <v>1632</v>
      </c>
      <c r="F265" s="430" t="s">
        <v>1633</v>
      </c>
      <c r="G265" s="436" t="s">
        <v>1634</v>
      </c>
      <c r="H265" s="437">
        <v>45784</v>
      </c>
      <c r="I265" s="433">
        <v>356.06</v>
      </c>
      <c r="J265" s="889">
        <f>AVERAGE(I265:$I$267)</f>
        <v>427.38333333333338</v>
      </c>
      <c r="K265" s="86"/>
    </row>
    <row r="266" spans="1:12" ht="15" customHeight="1" x14ac:dyDescent="0.25">
      <c r="A266" s="86"/>
      <c r="B266" s="887"/>
      <c r="C266" s="887"/>
      <c r="D266" s="887"/>
      <c r="E266" s="422" t="s">
        <v>1635</v>
      </c>
      <c r="F266" s="423" t="s">
        <v>1636</v>
      </c>
      <c r="G266" s="419" t="s">
        <v>1618</v>
      </c>
      <c r="H266" s="425">
        <v>45747</v>
      </c>
      <c r="I266" s="288">
        <v>453.43</v>
      </c>
      <c r="J266" s="889"/>
      <c r="K266" s="86"/>
    </row>
    <row r="267" spans="1:12" ht="15" customHeight="1" x14ac:dyDescent="0.25">
      <c r="A267" s="86"/>
      <c r="B267" s="887"/>
      <c r="C267" s="887"/>
      <c r="D267" s="887"/>
      <c r="E267" s="426" t="s">
        <v>1613</v>
      </c>
      <c r="F267" s="427" t="s">
        <v>1614</v>
      </c>
      <c r="G267" s="428" t="s">
        <v>1615</v>
      </c>
      <c r="H267" s="439">
        <v>45621</v>
      </c>
      <c r="I267" s="289">
        <v>472.66</v>
      </c>
      <c r="J267" s="889"/>
      <c r="K267" s="86"/>
    </row>
    <row r="268" spans="1:12" ht="75" customHeight="1" x14ac:dyDescent="0.25">
      <c r="A268" s="86"/>
      <c r="B268" s="885" t="s">
        <v>1637</v>
      </c>
      <c r="C268" s="885"/>
      <c r="D268" s="885"/>
      <c r="E268" s="885"/>
      <c r="F268" s="885"/>
      <c r="G268" s="885"/>
      <c r="H268" s="885"/>
      <c r="I268" s="885"/>
      <c r="J268" s="885"/>
      <c r="K268" s="86"/>
    </row>
    <row r="269" spans="1:12" ht="45" customHeight="1" x14ac:dyDescent="0.25">
      <c r="A269" s="86"/>
      <c r="B269" s="885" t="s">
        <v>1638</v>
      </c>
      <c r="C269" s="885"/>
      <c r="D269" s="885"/>
      <c r="E269" s="885"/>
      <c r="F269" s="885"/>
      <c r="G269" s="885"/>
      <c r="H269" s="885"/>
      <c r="I269" s="885"/>
      <c r="J269" s="885"/>
      <c r="K269" s="86"/>
    </row>
    <row r="270" spans="1:12" ht="15" customHeight="1" x14ac:dyDescent="0.25">
      <c r="A270" s="86"/>
      <c r="B270" s="885" t="s">
        <v>1639</v>
      </c>
      <c r="C270" s="885"/>
      <c r="D270" s="885"/>
      <c r="E270" s="885"/>
      <c r="F270" s="885"/>
      <c r="G270" s="885"/>
      <c r="H270" s="885"/>
      <c r="I270" s="885"/>
      <c r="J270" s="885"/>
      <c r="K270" s="86"/>
    </row>
    <row r="271" spans="1:12" ht="31.5" customHeight="1" x14ac:dyDescent="0.25">
      <c r="A271" s="86"/>
      <c r="B271" s="885" t="s">
        <v>1640</v>
      </c>
      <c r="C271" s="885"/>
      <c r="D271" s="885"/>
      <c r="E271" s="885"/>
      <c r="F271" s="885"/>
      <c r="G271" s="885"/>
      <c r="H271" s="885"/>
      <c r="I271" s="885"/>
      <c r="J271" s="885"/>
      <c r="K271" s="86"/>
    </row>
    <row r="272" spans="1:12" ht="24" customHeight="1" x14ac:dyDescent="0.25">
      <c r="A272" s="86"/>
      <c r="B272" s="886" t="s">
        <v>1641</v>
      </c>
      <c r="C272" s="886"/>
      <c r="D272" s="886"/>
      <c r="E272" s="886"/>
      <c r="F272" s="886"/>
      <c r="G272" s="886"/>
      <c r="H272" s="886"/>
      <c r="I272" s="886"/>
      <c r="J272" s="886"/>
      <c r="K272" s="86"/>
    </row>
    <row r="273" spans="1:11" ht="25.5" customHeight="1" x14ac:dyDescent="0.25">
      <c r="A273" s="86"/>
      <c r="B273" s="885" t="s">
        <v>1642</v>
      </c>
      <c r="C273" s="885"/>
      <c r="D273" s="885"/>
      <c r="E273" s="885"/>
      <c r="F273" s="885"/>
      <c r="G273" s="885"/>
      <c r="H273" s="885"/>
      <c r="I273" s="885"/>
      <c r="J273" s="885"/>
      <c r="K273" s="86"/>
    </row>
    <row r="274" spans="1:11" ht="23.25" customHeight="1" x14ac:dyDescent="0.25">
      <c r="A274" s="86"/>
      <c r="B274" s="885" t="s">
        <v>1643</v>
      </c>
      <c r="C274" s="885"/>
      <c r="D274" s="885"/>
      <c r="E274" s="885"/>
      <c r="F274" s="885"/>
      <c r="G274" s="885"/>
      <c r="H274" s="885"/>
      <c r="I274" s="885"/>
      <c r="J274" s="885"/>
      <c r="K274" s="86"/>
    </row>
    <row r="275" spans="1:11" ht="16.5" customHeight="1" x14ac:dyDescent="0.25">
      <c r="A275" s="86"/>
      <c r="B275" s="524" t="s">
        <v>1644</v>
      </c>
      <c r="C275" s="525"/>
      <c r="D275" s="525"/>
      <c r="E275" s="526"/>
      <c r="F275" s="527"/>
      <c r="G275" s="527"/>
      <c r="H275" s="527"/>
      <c r="I275" s="527"/>
      <c r="J275" s="528"/>
      <c r="K275" s="86"/>
    </row>
    <row r="276" spans="1:11" ht="15" customHeight="1" x14ac:dyDescent="0.25">
      <c r="A276" s="86"/>
      <c r="B276" s="86"/>
      <c r="C276" s="86"/>
      <c r="D276" s="86"/>
      <c r="E276" s="86"/>
      <c r="F276" s="411"/>
      <c r="G276" s="411"/>
      <c r="H276" s="411"/>
      <c r="I276" s="411"/>
      <c r="J276" s="252"/>
      <c r="K276" s="86"/>
    </row>
    <row r="277" spans="1:11" ht="15" customHeight="1" x14ac:dyDescent="0.25">
      <c r="A277" s="86"/>
      <c r="B277" s="86"/>
      <c r="C277" s="86"/>
      <c r="D277" s="86"/>
      <c r="E277" s="86"/>
      <c r="F277" s="411"/>
      <c r="G277" s="411"/>
      <c r="H277" s="411"/>
      <c r="I277" s="411"/>
      <c r="J277" s="252"/>
      <c r="K277" s="86"/>
    </row>
    <row r="1048575" ht="12.75" customHeight="1" x14ac:dyDescent="0.25"/>
    <row r="1048576" ht="12.75" customHeight="1" x14ac:dyDescent="0.25"/>
  </sheetData>
  <mergeCells count="344">
    <mergeCell ref="B2:J2"/>
    <mergeCell ref="B4:J4"/>
    <mergeCell ref="B6:B8"/>
    <mergeCell ref="C6:C8"/>
    <mergeCell ref="D6:D8"/>
    <mergeCell ref="J6:J8"/>
    <mergeCell ref="B9:B11"/>
    <mergeCell ref="C9:C11"/>
    <mergeCell ref="D9:D11"/>
    <mergeCell ref="J9:J11"/>
    <mergeCell ref="B12:B14"/>
    <mergeCell ref="C12:C14"/>
    <mergeCell ref="D12:D14"/>
    <mergeCell ref="J12:J14"/>
    <mergeCell ref="B15:B17"/>
    <mergeCell ref="C15:C17"/>
    <mergeCell ref="D15:D17"/>
    <mergeCell ref="J15:J17"/>
    <mergeCell ref="B18:B20"/>
    <mergeCell ref="C18:C20"/>
    <mergeCell ref="D18:D20"/>
    <mergeCell ref="J18:J20"/>
    <mergeCell ref="B21:B23"/>
    <mergeCell ref="C21:C23"/>
    <mergeCell ref="D21:D23"/>
    <mergeCell ref="J21:J23"/>
    <mergeCell ref="B24:B26"/>
    <mergeCell ref="C24:C26"/>
    <mergeCell ref="D24:D26"/>
    <mergeCell ref="J24:J26"/>
    <mergeCell ref="B27:B29"/>
    <mergeCell ref="C27:C29"/>
    <mergeCell ref="D27:D29"/>
    <mergeCell ref="J27:J29"/>
    <mergeCell ref="B30:B32"/>
    <mergeCell ref="C30:C32"/>
    <mergeCell ref="D30:D32"/>
    <mergeCell ref="J30:J32"/>
    <mergeCell ref="B33:B35"/>
    <mergeCell ref="C33:C35"/>
    <mergeCell ref="D33:D35"/>
    <mergeCell ref="J33:J35"/>
    <mergeCell ref="B36:B38"/>
    <mergeCell ref="C36:C38"/>
    <mergeCell ref="D36:D38"/>
    <mergeCell ref="J36:J38"/>
    <mergeCell ref="B39:B41"/>
    <mergeCell ref="C39:C41"/>
    <mergeCell ref="D39:D41"/>
    <mergeCell ref="J39:J41"/>
    <mergeCell ref="B42:B44"/>
    <mergeCell ref="C42:C44"/>
    <mergeCell ref="D42:D44"/>
    <mergeCell ref="J42:J44"/>
    <mergeCell ref="B45:B47"/>
    <mergeCell ref="C45:C47"/>
    <mergeCell ref="D45:D47"/>
    <mergeCell ref="J45:J47"/>
    <mergeCell ref="B48:B50"/>
    <mergeCell ref="C48:C50"/>
    <mergeCell ref="D48:D50"/>
    <mergeCell ref="J48:J50"/>
    <mergeCell ref="B51:B53"/>
    <mergeCell ref="C51:C53"/>
    <mergeCell ref="D51:D53"/>
    <mergeCell ref="J51:J53"/>
    <mergeCell ref="B54:B56"/>
    <mergeCell ref="C54:C56"/>
    <mergeCell ref="D54:D56"/>
    <mergeCell ref="J54:J56"/>
    <mergeCell ref="B57:B59"/>
    <mergeCell ref="C57:C59"/>
    <mergeCell ref="D57:D59"/>
    <mergeCell ref="J57:J59"/>
    <mergeCell ref="B60:B62"/>
    <mergeCell ref="C60:C62"/>
    <mergeCell ref="D60:D62"/>
    <mergeCell ref="J60:J62"/>
    <mergeCell ref="B63:B65"/>
    <mergeCell ref="C63:C65"/>
    <mergeCell ref="D63:D65"/>
    <mergeCell ref="J63:J65"/>
    <mergeCell ref="B66:B68"/>
    <mergeCell ref="C66:C68"/>
    <mergeCell ref="D66:D68"/>
    <mergeCell ref="J66:J68"/>
    <mergeCell ref="B69:B71"/>
    <mergeCell ref="C69:C71"/>
    <mergeCell ref="D69:D71"/>
    <mergeCell ref="J69:J71"/>
    <mergeCell ref="B72:B74"/>
    <mergeCell ref="C72:C74"/>
    <mergeCell ref="D72:D74"/>
    <mergeCell ref="J72:J74"/>
    <mergeCell ref="B75:B77"/>
    <mergeCell ref="C75:C77"/>
    <mergeCell ref="D75:D77"/>
    <mergeCell ref="J75:J77"/>
    <mergeCell ref="B78:B80"/>
    <mergeCell ref="C78:C80"/>
    <mergeCell ref="D78:D80"/>
    <mergeCell ref="J78:J80"/>
    <mergeCell ref="B81:B83"/>
    <mergeCell ref="C81:C83"/>
    <mergeCell ref="D81:D83"/>
    <mergeCell ref="J81:J83"/>
    <mergeCell ref="B84:B86"/>
    <mergeCell ref="C84:C86"/>
    <mergeCell ref="D84:D86"/>
    <mergeCell ref="J84:J86"/>
    <mergeCell ref="B87:B89"/>
    <mergeCell ref="C87:C89"/>
    <mergeCell ref="D87:D89"/>
    <mergeCell ref="J87:J89"/>
    <mergeCell ref="B90:B92"/>
    <mergeCell ref="C90:C92"/>
    <mergeCell ref="D90:D92"/>
    <mergeCell ref="J90:J92"/>
    <mergeCell ref="B93:B95"/>
    <mergeCell ref="C93:C95"/>
    <mergeCell ref="D93:D95"/>
    <mergeCell ref="J93:J95"/>
    <mergeCell ref="B96:B98"/>
    <mergeCell ref="C96:C98"/>
    <mergeCell ref="D96:D98"/>
    <mergeCell ref="J96:J98"/>
    <mergeCell ref="B99:B101"/>
    <mergeCell ref="C99:C101"/>
    <mergeCell ref="D99:D101"/>
    <mergeCell ref="J99:J101"/>
    <mergeCell ref="B102:B104"/>
    <mergeCell ref="C102:C104"/>
    <mergeCell ref="D102:D104"/>
    <mergeCell ref="J102:J104"/>
    <mergeCell ref="B105:B107"/>
    <mergeCell ref="C105:C107"/>
    <mergeCell ref="D105:D107"/>
    <mergeCell ref="J105:J107"/>
    <mergeCell ref="B108:B110"/>
    <mergeCell ref="C108:C110"/>
    <mergeCell ref="D108:D110"/>
    <mergeCell ref="J108:J110"/>
    <mergeCell ref="B111:B113"/>
    <mergeCell ref="C111:C113"/>
    <mergeCell ref="D111:D113"/>
    <mergeCell ref="J111:J113"/>
    <mergeCell ref="B114:B116"/>
    <mergeCell ref="C114:C116"/>
    <mergeCell ref="D114:D116"/>
    <mergeCell ref="J114:J116"/>
    <mergeCell ref="B117:B119"/>
    <mergeCell ref="C117:C119"/>
    <mergeCell ref="D117:D119"/>
    <mergeCell ref="J117:J119"/>
    <mergeCell ref="B120:B122"/>
    <mergeCell ref="C120:C122"/>
    <mergeCell ref="D120:D122"/>
    <mergeCell ref="J120:J122"/>
    <mergeCell ref="B123:B125"/>
    <mergeCell ref="C123:C125"/>
    <mergeCell ref="D123:D125"/>
    <mergeCell ref="J123:J125"/>
    <mergeCell ref="B128:J128"/>
    <mergeCell ref="B129:J129"/>
    <mergeCell ref="B131:B133"/>
    <mergeCell ref="C131:C133"/>
    <mergeCell ref="D131:D133"/>
    <mergeCell ref="J131:J133"/>
    <mergeCell ref="B134:B135"/>
    <mergeCell ref="C134:C135"/>
    <mergeCell ref="D134:D135"/>
    <mergeCell ref="J134:J135"/>
    <mergeCell ref="B136:B138"/>
    <mergeCell ref="C136:C138"/>
    <mergeCell ref="D136:D138"/>
    <mergeCell ref="J136:J138"/>
    <mergeCell ref="B139:B140"/>
    <mergeCell ref="C139:C140"/>
    <mergeCell ref="D139:D140"/>
    <mergeCell ref="J139:J140"/>
    <mergeCell ref="B141:J141"/>
    <mergeCell ref="B143:B144"/>
    <mergeCell ref="C143:C144"/>
    <mergeCell ref="D143:D144"/>
    <mergeCell ref="J143:J144"/>
    <mergeCell ref="B146:B147"/>
    <mergeCell ref="C146:C147"/>
    <mergeCell ref="D146:D147"/>
    <mergeCell ref="J146:J147"/>
    <mergeCell ref="B148:B149"/>
    <mergeCell ref="C148:C149"/>
    <mergeCell ref="D148:D149"/>
    <mergeCell ref="J148:J149"/>
    <mergeCell ref="B152:J152"/>
    <mergeCell ref="B154:B156"/>
    <mergeCell ref="C154:C156"/>
    <mergeCell ref="D154:D156"/>
    <mergeCell ref="J154:J156"/>
    <mergeCell ref="B157:B159"/>
    <mergeCell ref="C157:C159"/>
    <mergeCell ref="D157:D159"/>
    <mergeCell ref="J157:J159"/>
    <mergeCell ref="B160:B162"/>
    <mergeCell ref="C160:C162"/>
    <mergeCell ref="D160:D162"/>
    <mergeCell ref="J160:J162"/>
    <mergeCell ref="B163:B165"/>
    <mergeCell ref="C163:C165"/>
    <mergeCell ref="D163:D165"/>
    <mergeCell ref="J163:J165"/>
    <mergeCell ref="B166:B168"/>
    <mergeCell ref="C166:C168"/>
    <mergeCell ref="D166:D168"/>
    <mergeCell ref="J166:J168"/>
    <mergeCell ref="B169:B171"/>
    <mergeCell ref="C169:C171"/>
    <mergeCell ref="D169:D171"/>
    <mergeCell ref="J169:J171"/>
    <mergeCell ref="B172:B174"/>
    <mergeCell ref="C172:C174"/>
    <mergeCell ref="D172:D174"/>
    <mergeCell ref="J172:J174"/>
    <mergeCell ref="B175:B177"/>
    <mergeCell ref="C175:C177"/>
    <mergeCell ref="D175:D177"/>
    <mergeCell ref="J175:J177"/>
    <mergeCell ref="B178:J178"/>
    <mergeCell ref="B180:B182"/>
    <mergeCell ref="C180:C182"/>
    <mergeCell ref="D180:D182"/>
    <mergeCell ref="J180:J182"/>
    <mergeCell ref="B183:B185"/>
    <mergeCell ref="C183:C185"/>
    <mergeCell ref="D183:D185"/>
    <mergeCell ref="J183:J185"/>
    <mergeCell ref="B186:B188"/>
    <mergeCell ref="C186:C188"/>
    <mergeCell ref="D186:D188"/>
    <mergeCell ref="J186:J188"/>
    <mergeCell ref="B189:J189"/>
    <mergeCell ref="B191:B194"/>
    <mergeCell ref="C191:C194"/>
    <mergeCell ref="D191:D194"/>
    <mergeCell ref="J191:J194"/>
    <mergeCell ref="B195:B197"/>
    <mergeCell ref="C195:C197"/>
    <mergeCell ref="D195:D197"/>
    <mergeCell ref="J195:J197"/>
    <mergeCell ref="B198:B200"/>
    <mergeCell ref="C198:C200"/>
    <mergeCell ref="D198:D200"/>
    <mergeCell ref="J198:J200"/>
    <mergeCell ref="B201:B203"/>
    <mergeCell ref="C201:C203"/>
    <mergeCell ref="D201:D203"/>
    <mergeCell ref="J201:J203"/>
    <mergeCell ref="B204:B206"/>
    <mergeCell ref="C204:C206"/>
    <mergeCell ref="D204:D206"/>
    <mergeCell ref="J204:J206"/>
    <mergeCell ref="B207:B209"/>
    <mergeCell ref="C207:C209"/>
    <mergeCell ref="D207:D209"/>
    <mergeCell ref="J207:J209"/>
    <mergeCell ref="B210:B212"/>
    <mergeCell ref="C210:C212"/>
    <mergeCell ref="D210:D212"/>
    <mergeCell ref="J210:J212"/>
    <mergeCell ref="B213:B215"/>
    <mergeCell ref="C213:C215"/>
    <mergeCell ref="D213:D215"/>
    <mergeCell ref="J213:J215"/>
    <mergeCell ref="B216:B218"/>
    <mergeCell ref="C216:C218"/>
    <mergeCell ref="D216:D218"/>
    <mergeCell ref="J216:J218"/>
    <mergeCell ref="B219:B221"/>
    <mergeCell ref="C219:C221"/>
    <mergeCell ref="D219:D221"/>
    <mergeCell ref="J219:J221"/>
    <mergeCell ref="B222:B224"/>
    <mergeCell ref="C222:C224"/>
    <mergeCell ref="D222:D224"/>
    <mergeCell ref="J222:J224"/>
    <mergeCell ref="B225:B227"/>
    <mergeCell ref="C225:C227"/>
    <mergeCell ref="D225:D227"/>
    <mergeCell ref="J225:J227"/>
    <mergeCell ref="B228:B230"/>
    <mergeCell ref="C228:C230"/>
    <mergeCell ref="D228:D230"/>
    <mergeCell ref="J228:J230"/>
    <mergeCell ref="B231:J231"/>
    <mergeCell ref="B233:B235"/>
    <mergeCell ref="C233:C235"/>
    <mergeCell ref="D233:D235"/>
    <mergeCell ref="J233:J235"/>
    <mergeCell ref="B236:B239"/>
    <mergeCell ref="C236:C239"/>
    <mergeCell ref="D236:D239"/>
    <mergeCell ref="J236:J239"/>
    <mergeCell ref="B240:B242"/>
    <mergeCell ref="C240:C242"/>
    <mergeCell ref="D240:D242"/>
    <mergeCell ref="J240:J242"/>
    <mergeCell ref="B243:B245"/>
    <mergeCell ref="C243:C245"/>
    <mergeCell ref="D243:D245"/>
    <mergeCell ref="J243:J245"/>
    <mergeCell ref="B246:B248"/>
    <mergeCell ref="C246:C248"/>
    <mergeCell ref="D246:D248"/>
    <mergeCell ref="J246:J248"/>
    <mergeCell ref="B249:B251"/>
    <mergeCell ref="C249:C251"/>
    <mergeCell ref="D249:D251"/>
    <mergeCell ref="J249:J251"/>
    <mergeCell ref="B252:B254"/>
    <mergeCell ref="C252:C254"/>
    <mergeCell ref="D252:D254"/>
    <mergeCell ref="J252:J254"/>
    <mergeCell ref="B255:B257"/>
    <mergeCell ref="C255:C257"/>
    <mergeCell ref="D255:D257"/>
    <mergeCell ref="J255:J257"/>
    <mergeCell ref="B268:J268"/>
    <mergeCell ref="B269:J269"/>
    <mergeCell ref="B270:J270"/>
    <mergeCell ref="B271:J271"/>
    <mergeCell ref="B272:J272"/>
    <mergeCell ref="B273:J273"/>
    <mergeCell ref="B274:J274"/>
    <mergeCell ref="B258:B261"/>
    <mergeCell ref="C258:C261"/>
    <mergeCell ref="D258:D261"/>
    <mergeCell ref="J258:J261"/>
    <mergeCell ref="B262:B264"/>
    <mergeCell ref="C262:C264"/>
    <mergeCell ref="D262:D264"/>
    <mergeCell ref="J262:J264"/>
    <mergeCell ref="B265:B267"/>
    <mergeCell ref="C265:C267"/>
    <mergeCell ref="D265:D267"/>
    <mergeCell ref="J265:J267"/>
  </mergeCells>
  <hyperlinks>
    <hyperlink ref="G6" r:id="rId1" xr:uid="{00000000-0004-0000-0D00-000000000000}"/>
    <hyperlink ref="G7" r:id="rId2" xr:uid="{00000000-0004-0000-0D00-000001000000}"/>
    <hyperlink ref="G8" r:id="rId3" xr:uid="{00000000-0004-0000-0D00-000002000000}"/>
    <hyperlink ref="G9" r:id="rId4" xr:uid="{00000000-0004-0000-0D00-000003000000}"/>
    <hyperlink ref="G10" r:id="rId5" xr:uid="{00000000-0004-0000-0D00-000004000000}"/>
    <hyperlink ref="G11" r:id="rId6" xr:uid="{00000000-0004-0000-0D00-000005000000}"/>
    <hyperlink ref="G12" r:id="rId7" xr:uid="{00000000-0004-0000-0D00-000006000000}"/>
    <hyperlink ref="G13" r:id="rId8" xr:uid="{00000000-0004-0000-0D00-000007000000}"/>
    <hyperlink ref="G14" r:id="rId9" xr:uid="{00000000-0004-0000-0D00-000008000000}"/>
    <hyperlink ref="G15" r:id="rId10" xr:uid="{00000000-0004-0000-0D00-000009000000}"/>
    <hyperlink ref="G16" r:id="rId11" xr:uid="{00000000-0004-0000-0D00-00000A000000}"/>
    <hyperlink ref="G17" r:id="rId12" xr:uid="{00000000-0004-0000-0D00-00000B000000}"/>
    <hyperlink ref="G18" r:id="rId13" xr:uid="{00000000-0004-0000-0D00-00000C000000}"/>
    <hyperlink ref="G19" r:id="rId14" xr:uid="{00000000-0004-0000-0D00-00000D000000}"/>
    <hyperlink ref="G20" r:id="rId15" xr:uid="{00000000-0004-0000-0D00-00000E000000}"/>
    <hyperlink ref="G21" r:id="rId16" xr:uid="{00000000-0004-0000-0D00-00000F000000}"/>
    <hyperlink ref="G22" r:id="rId17" xr:uid="{00000000-0004-0000-0D00-000010000000}"/>
    <hyperlink ref="G23" r:id="rId18" xr:uid="{00000000-0004-0000-0D00-000011000000}"/>
    <hyperlink ref="G24" r:id="rId19" xr:uid="{00000000-0004-0000-0D00-000012000000}"/>
    <hyperlink ref="G25" r:id="rId20" xr:uid="{00000000-0004-0000-0D00-000013000000}"/>
    <hyperlink ref="G26" r:id="rId21" xr:uid="{00000000-0004-0000-0D00-000014000000}"/>
    <hyperlink ref="G27" r:id="rId22" xr:uid="{00000000-0004-0000-0D00-000015000000}"/>
    <hyperlink ref="G28" r:id="rId23" xr:uid="{00000000-0004-0000-0D00-000016000000}"/>
    <hyperlink ref="G29" r:id="rId24" xr:uid="{00000000-0004-0000-0D00-000017000000}"/>
    <hyperlink ref="G30" r:id="rId25" xr:uid="{00000000-0004-0000-0D00-000018000000}"/>
    <hyperlink ref="G31" r:id="rId26" xr:uid="{00000000-0004-0000-0D00-000019000000}"/>
    <hyperlink ref="G32" r:id="rId27" xr:uid="{00000000-0004-0000-0D00-00001A000000}"/>
    <hyperlink ref="G33" r:id="rId28" xr:uid="{00000000-0004-0000-0D00-00001B000000}"/>
    <hyperlink ref="G34" r:id="rId29" xr:uid="{00000000-0004-0000-0D00-00001C000000}"/>
    <hyperlink ref="G35" r:id="rId30" xr:uid="{00000000-0004-0000-0D00-00001D000000}"/>
    <hyperlink ref="G36" r:id="rId31" xr:uid="{00000000-0004-0000-0D00-00001E000000}"/>
    <hyperlink ref="G37" r:id="rId32" xr:uid="{00000000-0004-0000-0D00-00001F000000}"/>
    <hyperlink ref="G38" r:id="rId33" xr:uid="{00000000-0004-0000-0D00-000020000000}"/>
    <hyperlink ref="G39" r:id="rId34" xr:uid="{00000000-0004-0000-0D00-000021000000}"/>
    <hyperlink ref="G40" r:id="rId35" xr:uid="{00000000-0004-0000-0D00-000022000000}"/>
    <hyperlink ref="G41" r:id="rId36" xr:uid="{00000000-0004-0000-0D00-000023000000}"/>
    <hyperlink ref="G42" r:id="rId37" xr:uid="{00000000-0004-0000-0D00-000024000000}"/>
    <hyperlink ref="G43" r:id="rId38" xr:uid="{00000000-0004-0000-0D00-000025000000}"/>
    <hyperlink ref="G44" r:id="rId39" xr:uid="{00000000-0004-0000-0D00-000026000000}"/>
    <hyperlink ref="G45" r:id="rId40" xr:uid="{00000000-0004-0000-0D00-000027000000}"/>
    <hyperlink ref="G46" r:id="rId41" xr:uid="{00000000-0004-0000-0D00-000028000000}"/>
    <hyperlink ref="G47" r:id="rId42" xr:uid="{00000000-0004-0000-0D00-000029000000}"/>
    <hyperlink ref="G48" r:id="rId43" xr:uid="{00000000-0004-0000-0D00-00002A000000}"/>
    <hyperlink ref="G49" r:id="rId44" xr:uid="{00000000-0004-0000-0D00-00002B000000}"/>
    <hyperlink ref="G50" r:id="rId45" xr:uid="{00000000-0004-0000-0D00-00002C000000}"/>
    <hyperlink ref="G51" r:id="rId46" xr:uid="{00000000-0004-0000-0D00-00002D000000}"/>
    <hyperlink ref="G52" r:id="rId47" xr:uid="{00000000-0004-0000-0D00-00002E000000}"/>
    <hyperlink ref="G53" r:id="rId48" xr:uid="{00000000-0004-0000-0D00-00002F000000}"/>
    <hyperlink ref="G54" r:id="rId49" xr:uid="{00000000-0004-0000-0D00-000030000000}"/>
    <hyperlink ref="G55" r:id="rId50" xr:uid="{00000000-0004-0000-0D00-000031000000}"/>
    <hyperlink ref="G56" r:id="rId51" xr:uid="{00000000-0004-0000-0D00-000032000000}"/>
    <hyperlink ref="G57" r:id="rId52" xr:uid="{00000000-0004-0000-0D00-000033000000}"/>
    <hyperlink ref="G58" r:id="rId53" xr:uid="{00000000-0004-0000-0D00-000034000000}"/>
    <hyperlink ref="G59" r:id="rId54" xr:uid="{00000000-0004-0000-0D00-000035000000}"/>
    <hyperlink ref="G60" r:id="rId55" xr:uid="{00000000-0004-0000-0D00-000036000000}"/>
    <hyperlink ref="G61" r:id="rId56" xr:uid="{00000000-0004-0000-0D00-000037000000}"/>
    <hyperlink ref="G62" r:id="rId57" xr:uid="{00000000-0004-0000-0D00-000038000000}"/>
    <hyperlink ref="G63" r:id="rId58" xr:uid="{00000000-0004-0000-0D00-000039000000}"/>
    <hyperlink ref="G64" r:id="rId59" xr:uid="{00000000-0004-0000-0D00-00003A000000}"/>
    <hyperlink ref="G65" r:id="rId60" xr:uid="{00000000-0004-0000-0D00-00003B000000}"/>
    <hyperlink ref="G66" r:id="rId61" xr:uid="{00000000-0004-0000-0D00-00003C000000}"/>
    <hyperlink ref="G67" r:id="rId62" xr:uid="{00000000-0004-0000-0D00-00003D000000}"/>
    <hyperlink ref="G68" r:id="rId63" xr:uid="{00000000-0004-0000-0D00-00003E000000}"/>
    <hyperlink ref="G69" r:id="rId64" xr:uid="{00000000-0004-0000-0D00-00003F000000}"/>
    <hyperlink ref="G70" r:id="rId65" xr:uid="{00000000-0004-0000-0D00-000040000000}"/>
    <hyperlink ref="G71" r:id="rId66" xr:uid="{00000000-0004-0000-0D00-000041000000}"/>
    <hyperlink ref="G72" r:id="rId67" xr:uid="{00000000-0004-0000-0D00-000042000000}"/>
    <hyperlink ref="G73" r:id="rId68" xr:uid="{00000000-0004-0000-0D00-000043000000}"/>
    <hyperlink ref="G74" r:id="rId69" xr:uid="{00000000-0004-0000-0D00-000044000000}"/>
    <hyperlink ref="G75" r:id="rId70" xr:uid="{00000000-0004-0000-0D00-000045000000}"/>
    <hyperlink ref="G76" r:id="rId71" xr:uid="{00000000-0004-0000-0D00-000046000000}"/>
    <hyperlink ref="G77" r:id="rId72" xr:uid="{00000000-0004-0000-0D00-000047000000}"/>
    <hyperlink ref="G78" r:id="rId73" xr:uid="{00000000-0004-0000-0D00-000048000000}"/>
    <hyperlink ref="G79" r:id="rId74" xr:uid="{00000000-0004-0000-0D00-000049000000}"/>
    <hyperlink ref="G80" r:id="rId75" xr:uid="{00000000-0004-0000-0D00-00004A000000}"/>
    <hyperlink ref="G81" r:id="rId76" xr:uid="{00000000-0004-0000-0D00-00004B000000}"/>
    <hyperlink ref="G82" r:id="rId77" xr:uid="{00000000-0004-0000-0D00-00004C000000}"/>
    <hyperlink ref="G83" r:id="rId78" xr:uid="{00000000-0004-0000-0D00-00004D000000}"/>
    <hyperlink ref="G84" r:id="rId79" xr:uid="{00000000-0004-0000-0D00-00004E000000}"/>
    <hyperlink ref="G85" r:id="rId80" xr:uid="{00000000-0004-0000-0D00-00004F000000}"/>
    <hyperlink ref="G86" r:id="rId81" xr:uid="{00000000-0004-0000-0D00-000050000000}"/>
    <hyperlink ref="G87" r:id="rId82" xr:uid="{00000000-0004-0000-0D00-000051000000}"/>
    <hyperlink ref="G88" r:id="rId83" xr:uid="{00000000-0004-0000-0D00-000052000000}"/>
    <hyperlink ref="G89" r:id="rId84" xr:uid="{00000000-0004-0000-0D00-000053000000}"/>
    <hyperlink ref="G90" r:id="rId85" xr:uid="{00000000-0004-0000-0D00-000054000000}"/>
    <hyperlink ref="G91" r:id="rId86" xr:uid="{00000000-0004-0000-0D00-000055000000}"/>
    <hyperlink ref="G92" r:id="rId87" xr:uid="{00000000-0004-0000-0D00-000056000000}"/>
    <hyperlink ref="G93" r:id="rId88" xr:uid="{00000000-0004-0000-0D00-000057000000}"/>
    <hyperlink ref="G94" r:id="rId89" xr:uid="{00000000-0004-0000-0D00-000058000000}"/>
    <hyperlink ref="G95" r:id="rId90" xr:uid="{00000000-0004-0000-0D00-000059000000}"/>
    <hyperlink ref="G96" r:id="rId91" xr:uid="{00000000-0004-0000-0D00-00005A000000}"/>
    <hyperlink ref="G97" r:id="rId92" xr:uid="{00000000-0004-0000-0D00-00005B000000}"/>
    <hyperlink ref="G98" r:id="rId93" xr:uid="{00000000-0004-0000-0D00-00005C000000}"/>
    <hyperlink ref="G99" r:id="rId94" xr:uid="{00000000-0004-0000-0D00-00005D000000}"/>
    <hyperlink ref="G100" r:id="rId95" xr:uid="{00000000-0004-0000-0D00-00005E000000}"/>
    <hyperlink ref="G101" r:id="rId96" xr:uid="{00000000-0004-0000-0D00-00005F000000}"/>
    <hyperlink ref="G105" r:id="rId97" xr:uid="{00000000-0004-0000-0D00-000060000000}"/>
    <hyperlink ref="G106" r:id="rId98" xr:uid="{00000000-0004-0000-0D00-000061000000}"/>
    <hyperlink ref="G107" r:id="rId99" xr:uid="{00000000-0004-0000-0D00-000062000000}"/>
    <hyperlink ref="G108" r:id="rId100" xr:uid="{00000000-0004-0000-0D00-000063000000}"/>
    <hyperlink ref="G109" r:id="rId101" xr:uid="{00000000-0004-0000-0D00-000064000000}"/>
    <hyperlink ref="G110" r:id="rId102" xr:uid="{00000000-0004-0000-0D00-000065000000}"/>
    <hyperlink ref="G111" r:id="rId103" xr:uid="{00000000-0004-0000-0D00-000066000000}"/>
    <hyperlink ref="G112" r:id="rId104" xr:uid="{00000000-0004-0000-0D00-000067000000}"/>
    <hyperlink ref="G113" r:id="rId105" xr:uid="{00000000-0004-0000-0D00-000068000000}"/>
    <hyperlink ref="G114" r:id="rId106" xr:uid="{00000000-0004-0000-0D00-000069000000}"/>
    <hyperlink ref="G115" r:id="rId107" xr:uid="{00000000-0004-0000-0D00-00006A000000}"/>
    <hyperlink ref="G116" r:id="rId108" xr:uid="{00000000-0004-0000-0D00-00006B000000}"/>
    <hyperlink ref="G117" r:id="rId109" xr:uid="{00000000-0004-0000-0D00-00006C000000}"/>
    <hyperlink ref="G118" r:id="rId110" xr:uid="{00000000-0004-0000-0D00-00006D000000}"/>
    <hyperlink ref="G119" r:id="rId111" xr:uid="{00000000-0004-0000-0D00-00006E000000}"/>
    <hyperlink ref="G120" r:id="rId112" xr:uid="{00000000-0004-0000-0D00-00006F000000}"/>
    <hyperlink ref="G121" r:id="rId113" xr:uid="{00000000-0004-0000-0D00-000070000000}"/>
    <hyperlink ref="G122" r:id="rId114" xr:uid="{00000000-0004-0000-0D00-000071000000}"/>
    <hyperlink ref="G123" r:id="rId115" xr:uid="{00000000-0004-0000-0D00-000072000000}"/>
    <hyperlink ref="G124" r:id="rId116" xr:uid="{00000000-0004-0000-0D00-000073000000}"/>
    <hyperlink ref="G125" r:id="rId117" xr:uid="{00000000-0004-0000-0D00-000074000000}"/>
    <hyperlink ref="G180" r:id="rId118" xr:uid="{00000000-0004-0000-0D00-000075000000}"/>
    <hyperlink ref="G181" r:id="rId119" xr:uid="{00000000-0004-0000-0D00-000076000000}"/>
    <hyperlink ref="G182" r:id="rId120" xr:uid="{00000000-0004-0000-0D00-000077000000}"/>
    <hyperlink ref="G184" r:id="rId121" xr:uid="{00000000-0004-0000-0D00-000078000000}"/>
    <hyperlink ref="G185" r:id="rId122" xr:uid="{00000000-0004-0000-0D00-000079000000}"/>
    <hyperlink ref="G186" r:id="rId123" xr:uid="{00000000-0004-0000-0D00-00007A000000}"/>
    <hyperlink ref="G191" r:id="rId124" xr:uid="{00000000-0004-0000-0D00-00007B000000}"/>
    <hyperlink ref="G192" r:id="rId125" xr:uid="{00000000-0004-0000-0D00-00007C000000}"/>
    <hyperlink ref="G194" r:id="rId126" xr:uid="{00000000-0004-0000-0D00-00007D000000}"/>
    <hyperlink ref="G195" r:id="rId127" xr:uid="{00000000-0004-0000-0D00-00007E000000}"/>
    <hyperlink ref="G196" r:id="rId128" xr:uid="{00000000-0004-0000-0D00-00007F000000}"/>
    <hyperlink ref="G197" r:id="rId129" xr:uid="{00000000-0004-0000-0D00-000080000000}"/>
    <hyperlink ref="G198" r:id="rId130" xr:uid="{00000000-0004-0000-0D00-000081000000}"/>
    <hyperlink ref="G199" r:id="rId131" xr:uid="{00000000-0004-0000-0D00-000082000000}"/>
    <hyperlink ref="G200" r:id="rId132" xr:uid="{00000000-0004-0000-0D00-000083000000}"/>
    <hyperlink ref="G202" r:id="rId133" xr:uid="{00000000-0004-0000-0D00-000084000000}"/>
    <hyperlink ref="G203" r:id="rId134" xr:uid="{00000000-0004-0000-0D00-000085000000}"/>
    <hyperlink ref="G204" r:id="rId135" xr:uid="{00000000-0004-0000-0D00-000086000000}"/>
    <hyperlink ref="G205" r:id="rId136" location="derivacao=8" xr:uid="{00000000-0004-0000-0D00-000087000000}"/>
    <hyperlink ref="G206" r:id="rId137" xr:uid="{00000000-0004-0000-0D00-000088000000}"/>
    <hyperlink ref="G207" r:id="rId138" xr:uid="{00000000-0004-0000-0D00-000089000000}"/>
    <hyperlink ref="G208" r:id="rId139" xr:uid="{00000000-0004-0000-0D00-00008A000000}"/>
    <hyperlink ref="G209" r:id="rId140" xr:uid="{00000000-0004-0000-0D00-00008B000000}"/>
    <hyperlink ref="G210" r:id="rId141" xr:uid="{00000000-0004-0000-0D00-00008C000000}"/>
    <hyperlink ref="G211" r:id="rId142" xr:uid="{00000000-0004-0000-0D00-00008D000000}"/>
    <hyperlink ref="G212" r:id="rId143" location="derivacao=8" xr:uid="{00000000-0004-0000-0D00-00008E000000}"/>
    <hyperlink ref="G213" r:id="rId144" xr:uid="{00000000-0004-0000-0D00-00008F000000}"/>
    <hyperlink ref="G214" r:id="rId145" xr:uid="{00000000-0004-0000-0D00-000090000000}"/>
    <hyperlink ref="G215" r:id="rId146" xr:uid="{00000000-0004-0000-0D00-000091000000}"/>
    <hyperlink ref="G216" r:id="rId147" xr:uid="{00000000-0004-0000-0D00-000092000000}"/>
    <hyperlink ref="G217" r:id="rId148" xr:uid="{00000000-0004-0000-0D00-000093000000}"/>
    <hyperlink ref="G218" r:id="rId149" xr:uid="{00000000-0004-0000-0D00-000094000000}"/>
    <hyperlink ref="G219" r:id="rId150" xr:uid="{00000000-0004-0000-0D00-000095000000}"/>
    <hyperlink ref="G220" r:id="rId151" xr:uid="{00000000-0004-0000-0D00-000096000000}"/>
    <hyperlink ref="G221" r:id="rId152" xr:uid="{00000000-0004-0000-0D00-000097000000}"/>
    <hyperlink ref="G222" r:id="rId153" xr:uid="{00000000-0004-0000-0D00-000098000000}"/>
    <hyperlink ref="G223" r:id="rId154" xr:uid="{00000000-0004-0000-0D00-000099000000}"/>
    <hyperlink ref="G224" r:id="rId155" xr:uid="{00000000-0004-0000-0D00-00009A000000}"/>
    <hyperlink ref="G225" r:id="rId156" xr:uid="{00000000-0004-0000-0D00-00009B000000}"/>
    <hyperlink ref="G226" r:id="rId157" xr:uid="{00000000-0004-0000-0D00-00009C000000}"/>
    <hyperlink ref="G227" r:id="rId158" xr:uid="{00000000-0004-0000-0D00-00009D000000}"/>
    <hyperlink ref="G228" r:id="rId159" xr:uid="{00000000-0004-0000-0D00-00009E000000}"/>
    <hyperlink ref="G229" r:id="rId160" xr:uid="{00000000-0004-0000-0D00-00009F000000}"/>
    <hyperlink ref="G230" r:id="rId161" xr:uid="{00000000-0004-0000-0D00-0000A0000000}"/>
    <hyperlink ref="G233" r:id="rId162" xr:uid="{00000000-0004-0000-0D00-0000A1000000}"/>
    <hyperlink ref="G234" r:id="rId163" xr:uid="{00000000-0004-0000-0D00-0000A2000000}"/>
    <hyperlink ref="G235" r:id="rId164" xr:uid="{00000000-0004-0000-0D00-0000A3000000}"/>
    <hyperlink ref="G252" r:id="rId165" xr:uid="{00000000-0004-0000-0D00-0000A4000000}"/>
    <hyperlink ref="G253" r:id="rId166" xr:uid="{00000000-0004-0000-0D00-0000A5000000}"/>
    <hyperlink ref="G255" r:id="rId167" xr:uid="{00000000-0004-0000-0D00-0000A6000000}"/>
    <hyperlink ref="G256" r:id="rId168" xr:uid="{00000000-0004-0000-0D00-0000A7000000}"/>
    <hyperlink ref="G257" r:id="rId169" xr:uid="{00000000-0004-0000-0D00-0000A8000000}"/>
    <hyperlink ref="G258" r:id="rId170" xr:uid="{00000000-0004-0000-0D00-0000A9000000}"/>
    <hyperlink ref="G259" r:id="rId171" xr:uid="{00000000-0004-0000-0D00-0000AA000000}"/>
    <hyperlink ref="G260" r:id="rId172" xr:uid="{00000000-0004-0000-0D00-0000AB000000}"/>
    <hyperlink ref="G261" r:id="rId173" xr:uid="{00000000-0004-0000-0D00-0000AC000000}"/>
    <hyperlink ref="G262" r:id="rId174" xr:uid="{00000000-0004-0000-0D00-0000AD000000}"/>
    <hyperlink ref="G263" r:id="rId175" xr:uid="{00000000-0004-0000-0D00-0000AE000000}"/>
    <hyperlink ref="G264" r:id="rId176" xr:uid="{00000000-0004-0000-0D00-0000AF000000}"/>
    <hyperlink ref="G265" r:id="rId177" xr:uid="{00000000-0004-0000-0D00-0000B0000000}"/>
    <hyperlink ref="G266" r:id="rId178" xr:uid="{00000000-0004-0000-0D00-0000B1000000}"/>
    <hyperlink ref="G267" r:id="rId179" xr:uid="{00000000-0004-0000-0D00-0000B2000000}"/>
  </hyperlinks>
  <pageMargins left="0.51180555555555596" right="0.51180555555555596" top="0.78749999999999998" bottom="0.78749999999999998" header="0.511811023622047" footer="0.31527777777777799"/>
  <pageSetup paperSize="9" firstPageNumber="41" fitToHeight="0" orientation="portrait" useFirstPageNumber="1" horizontalDpi="300" verticalDpi="300"/>
  <headerFooter>
    <oddFooter>&amp;R&amp;P de 45</oddFooter>
  </headerFooter>
  <rowBreaks count="2" manualBreakCount="2">
    <brk id="127" max="16383" man="1"/>
    <brk id="178" max="16383" man="1"/>
  </rowBreaks>
  <ignoredErrors>
    <ignoredError sqref="J9 J12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1048576"/>
  <sheetViews>
    <sheetView zoomScale="110" zoomScaleNormal="110" workbookViewId="0">
      <selection activeCell="A31" sqref="A31"/>
    </sheetView>
  </sheetViews>
  <sheetFormatPr defaultColWidth="17.85546875" defaultRowHeight="26.25" customHeight="1" x14ac:dyDescent="0.25"/>
  <cols>
    <col min="1" max="1" width="17.85546875" style="4"/>
    <col min="2" max="2" width="17.85546875" style="1"/>
    <col min="3" max="3" width="23.42578125" style="1" customWidth="1"/>
    <col min="4" max="4" width="22" style="1" customWidth="1"/>
    <col min="5" max="12" width="17.85546875" style="1"/>
    <col min="13" max="13" width="14" style="1" customWidth="1"/>
    <col min="14" max="14" width="17" style="1" customWidth="1"/>
    <col min="15" max="16384" width="17.85546875" style="1"/>
  </cols>
  <sheetData>
    <row r="1" spans="1:14" s="18" customFormat="1" ht="26.25" customHeight="1" x14ac:dyDescent="0.25">
      <c r="A1" s="529" t="s">
        <v>1645</v>
      </c>
      <c r="B1" s="529" t="s">
        <v>1646</v>
      </c>
      <c r="C1" s="529" t="s">
        <v>1647</v>
      </c>
      <c r="D1" s="529" t="s">
        <v>1648</v>
      </c>
      <c r="E1" s="910"/>
      <c r="F1" s="910"/>
      <c r="G1" s="910"/>
      <c r="H1" s="910"/>
      <c r="I1" s="910"/>
      <c r="J1" s="910"/>
      <c r="K1" s="910"/>
      <c r="L1" s="910"/>
      <c r="M1" s="910"/>
      <c r="N1" s="910"/>
    </row>
    <row r="2" spans="1:14" s="18" customFormat="1" ht="26.25" customHeight="1" x14ac:dyDescent="0.25">
      <c r="A2" s="530" t="s">
        <v>1649</v>
      </c>
      <c r="B2" s="531">
        <v>6801.72</v>
      </c>
      <c r="C2" s="8"/>
      <c r="D2" s="66">
        <f t="shared" ref="D2:D30" si="0">C2/B2*$B$30</f>
        <v>0</v>
      </c>
    </row>
    <row r="3" spans="1:14" s="18" customFormat="1" ht="26.25" customHeight="1" x14ac:dyDescent="0.25">
      <c r="A3" s="4" t="s">
        <v>1650</v>
      </c>
      <c r="B3" s="531">
        <v>6858.17</v>
      </c>
      <c r="C3" s="8"/>
      <c r="D3" s="66">
        <f t="shared" si="0"/>
        <v>0</v>
      </c>
    </row>
    <row r="4" spans="1:14" s="18" customFormat="1" ht="26.25" customHeight="1" x14ac:dyDescent="0.25">
      <c r="A4" s="4" t="s">
        <v>1651</v>
      </c>
      <c r="B4" s="531">
        <v>6869.14</v>
      </c>
      <c r="C4" s="8"/>
      <c r="D4" s="66">
        <f t="shared" si="0"/>
        <v>0</v>
      </c>
    </row>
    <row r="5" spans="1:14" s="18" customFormat="1" ht="26.25" customHeight="1" x14ac:dyDescent="0.25">
      <c r="A5" s="4" t="s">
        <v>1652</v>
      </c>
      <c r="B5" s="531">
        <v>6895.24</v>
      </c>
      <c r="C5" s="8"/>
      <c r="D5" s="66">
        <f t="shared" si="0"/>
        <v>0</v>
      </c>
    </row>
    <row r="6" spans="1:14" s="18" customFormat="1" ht="26.25" customHeight="1" x14ac:dyDescent="0.25">
      <c r="A6" s="4" t="s">
        <v>1653</v>
      </c>
      <c r="B6" s="531">
        <v>6926.96</v>
      </c>
      <c r="C6" s="8"/>
      <c r="D6" s="66">
        <f t="shared" si="0"/>
        <v>0</v>
      </c>
    </row>
    <row r="7" spans="1:14" ht="26.25" customHeight="1" x14ac:dyDescent="0.25">
      <c r="A7" s="4" t="s">
        <v>1654</v>
      </c>
      <c r="B7" s="531">
        <v>6941.51</v>
      </c>
      <c r="C7" s="4">
        <v>44.5</v>
      </c>
      <c r="D7" s="66">
        <f t="shared" si="0"/>
        <v>48.978777672293198</v>
      </c>
    </row>
    <row r="8" spans="1:14" ht="26.25" customHeight="1" x14ac:dyDescent="0.25">
      <c r="A8" s="4" t="s">
        <v>1655</v>
      </c>
      <c r="B8" s="531">
        <v>6967.89</v>
      </c>
      <c r="C8" s="4">
        <v>36.57</v>
      </c>
      <c r="D8" s="66">
        <f t="shared" si="0"/>
        <v>40.098262960523193</v>
      </c>
    </row>
    <row r="9" spans="1:14" ht="26.25" customHeight="1" x14ac:dyDescent="0.25">
      <c r="A9" s="4" t="s">
        <v>1656</v>
      </c>
      <c r="B9" s="531">
        <v>6966.5</v>
      </c>
      <c r="C9" s="4"/>
      <c r="D9" s="66">
        <f t="shared" si="0"/>
        <v>0</v>
      </c>
    </row>
    <row r="10" spans="1:14" ht="26.25" customHeight="1" x14ac:dyDescent="0.25">
      <c r="A10" s="4" t="s">
        <v>1657</v>
      </c>
      <c r="B10" s="531">
        <v>6997.15</v>
      </c>
      <c r="C10" s="4"/>
      <c r="D10" s="66">
        <f t="shared" si="0"/>
        <v>0</v>
      </c>
    </row>
    <row r="11" spans="1:14" ht="26.25" customHeight="1" x14ac:dyDescent="0.25">
      <c r="A11" s="4" t="s">
        <v>1658</v>
      </c>
      <c r="B11" s="531">
        <v>7036.33</v>
      </c>
      <c r="C11" s="4">
        <v>8.6</v>
      </c>
      <c r="D11" s="66">
        <f t="shared" si="0"/>
        <v>9.338005750156686</v>
      </c>
    </row>
    <row r="12" spans="1:14" ht="26.25" customHeight="1" x14ac:dyDescent="0.25">
      <c r="A12" s="4" t="s">
        <v>1659</v>
      </c>
      <c r="B12" s="531">
        <v>7063.77</v>
      </c>
      <c r="C12" s="4">
        <v>8.36</v>
      </c>
      <c r="D12" s="66">
        <f t="shared" si="0"/>
        <v>9.0421480314336389</v>
      </c>
    </row>
    <row r="13" spans="1:14" ht="26.25" customHeight="1" x14ac:dyDescent="0.25">
      <c r="A13" s="4" t="s">
        <v>1660</v>
      </c>
      <c r="B13" s="531">
        <v>7100.5</v>
      </c>
      <c r="C13" s="4">
        <v>8</v>
      </c>
      <c r="D13" s="66">
        <f t="shared" si="0"/>
        <v>8.6080135201746355</v>
      </c>
    </row>
    <row r="14" spans="1:14" ht="26.25" customHeight="1" x14ac:dyDescent="0.25">
      <c r="A14" s="532" t="s">
        <v>1661</v>
      </c>
      <c r="B14" s="531">
        <v>7111.86</v>
      </c>
      <c r="C14" s="4"/>
      <c r="D14" s="66">
        <f t="shared" si="0"/>
        <v>0</v>
      </c>
    </row>
    <row r="15" spans="1:14" ht="26.25" customHeight="1" x14ac:dyDescent="0.25">
      <c r="A15" s="4" t="s">
        <v>1662</v>
      </c>
      <c r="B15" s="531">
        <v>7205.03</v>
      </c>
      <c r="C15" s="4"/>
      <c r="D15" s="66">
        <f t="shared" si="0"/>
        <v>0</v>
      </c>
    </row>
    <row r="16" spans="1:14" ht="26.25" customHeight="1" x14ac:dyDescent="0.25">
      <c r="A16" s="4" t="s">
        <v>1663</v>
      </c>
      <c r="B16" s="531">
        <v>7245.38</v>
      </c>
      <c r="C16" s="4"/>
      <c r="D16" s="66">
        <f t="shared" si="0"/>
        <v>0</v>
      </c>
    </row>
    <row r="17" spans="1:4" ht="26.25" customHeight="1" x14ac:dyDescent="0.25">
      <c r="A17" s="4" t="s">
        <v>1664</v>
      </c>
      <c r="B17" s="531">
        <v>7276.54</v>
      </c>
      <c r="C17" s="66">
        <v>85</v>
      </c>
      <c r="D17" s="66">
        <f t="shared" si="0"/>
        <v>89.247465141399616</v>
      </c>
    </row>
    <row r="18" spans="1:4" ht="26.25" customHeight="1" x14ac:dyDescent="0.25">
      <c r="A18" s="4" t="s">
        <v>1665</v>
      </c>
      <c r="B18" s="531">
        <v>7295.46</v>
      </c>
      <c r="C18" s="4"/>
      <c r="D18" s="66">
        <f t="shared" si="0"/>
        <v>0</v>
      </c>
    </row>
    <row r="19" spans="1:4" ht="26.25" customHeight="1" x14ac:dyDescent="0.25">
      <c r="A19" s="4" t="s">
        <v>1666</v>
      </c>
      <c r="B19" s="531">
        <v>7312.97</v>
      </c>
      <c r="C19" s="4">
        <v>7.85</v>
      </c>
      <c r="D19" s="66">
        <f t="shared" si="0"/>
        <v>8.2012065549291169</v>
      </c>
    </row>
    <row r="20" spans="1:4" ht="26.25" customHeight="1" x14ac:dyDescent="0.25">
      <c r="A20" s="4" t="s">
        <v>1667</v>
      </c>
      <c r="B20" s="531">
        <v>7331.98</v>
      </c>
      <c r="C20" s="4"/>
      <c r="D20" s="66">
        <f t="shared" si="0"/>
        <v>0</v>
      </c>
    </row>
    <row r="21" spans="1:4" ht="26.25" customHeight="1" x14ac:dyDescent="0.25">
      <c r="A21" s="4" t="s">
        <v>1668</v>
      </c>
      <c r="B21" s="531">
        <v>7323.91</v>
      </c>
      <c r="C21" s="4"/>
      <c r="D21" s="66">
        <f t="shared" si="0"/>
        <v>0</v>
      </c>
    </row>
    <row r="22" spans="1:4" ht="26.25" customHeight="1" x14ac:dyDescent="0.25">
      <c r="A22" s="4" t="s">
        <v>1669</v>
      </c>
      <c r="B22" s="531">
        <v>7359.06</v>
      </c>
      <c r="C22" s="4"/>
      <c r="D22" s="66">
        <f t="shared" si="0"/>
        <v>0</v>
      </c>
    </row>
    <row r="23" spans="1:4" ht="26.25" customHeight="1" x14ac:dyDescent="0.25">
      <c r="A23" s="4" t="s">
        <v>1670</v>
      </c>
      <c r="B23" s="531">
        <v>7365.68</v>
      </c>
      <c r="C23" s="4"/>
      <c r="D23" s="66">
        <f t="shared" si="0"/>
        <v>0</v>
      </c>
    </row>
    <row r="24" spans="1:4" ht="26.25" customHeight="1" x14ac:dyDescent="0.25">
      <c r="A24" s="4" t="s">
        <v>1671</v>
      </c>
      <c r="B24" s="531">
        <v>7378.94</v>
      </c>
      <c r="C24" s="4">
        <v>37.020000000000003</v>
      </c>
      <c r="D24" s="66">
        <f t="shared" si="0"/>
        <v>38.330485543994129</v>
      </c>
    </row>
    <row r="25" spans="1:4" ht="26.25" customHeight="1" x14ac:dyDescent="0.25">
      <c r="A25" s="4" t="s">
        <v>1672</v>
      </c>
      <c r="B25" s="531">
        <v>7403.29</v>
      </c>
      <c r="C25" s="4"/>
      <c r="D25" s="66">
        <f t="shared" si="0"/>
        <v>0</v>
      </c>
    </row>
    <row r="26" spans="1:4" ht="26.25" customHeight="1" x14ac:dyDescent="0.25">
      <c r="A26" s="533" t="s">
        <v>1673</v>
      </c>
      <c r="B26" s="531">
        <v>7427.72</v>
      </c>
      <c r="C26" s="4"/>
      <c r="D26" s="66">
        <f t="shared" si="0"/>
        <v>0</v>
      </c>
    </row>
    <row r="27" spans="1:4" ht="26.25" customHeight="1" x14ac:dyDescent="0.25">
      <c r="A27" s="4" t="s">
        <v>1674</v>
      </c>
      <c r="B27" s="531">
        <v>7479.71</v>
      </c>
      <c r="C27" s="4"/>
      <c r="D27" s="66">
        <f t="shared" si="0"/>
        <v>0</v>
      </c>
    </row>
    <row r="28" spans="1:4" ht="26.25" customHeight="1" x14ac:dyDescent="0.25">
      <c r="A28" s="4" t="s">
        <v>1675</v>
      </c>
      <c r="B28" s="531">
        <v>7545.53</v>
      </c>
      <c r="C28" s="4"/>
      <c r="D28" s="66">
        <f t="shared" si="0"/>
        <v>0</v>
      </c>
    </row>
    <row r="29" spans="1:4" ht="26.25" customHeight="1" x14ac:dyDescent="0.25">
      <c r="A29" s="4" t="s">
        <v>1676</v>
      </c>
      <c r="B29" s="531">
        <v>7596.09</v>
      </c>
      <c r="C29" s="4"/>
      <c r="D29" s="66">
        <f t="shared" si="0"/>
        <v>0</v>
      </c>
    </row>
    <row r="30" spans="1:4" ht="26.25" customHeight="1" x14ac:dyDescent="0.25">
      <c r="A30" s="4" t="s">
        <v>1677</v>
      </c>
      <c r="B30" s="531">
        <v>7640.15</v>
      </c>
      <c r="C30" s="4"/>
      <c r="D30" s="66">
        <f t="shared" si="0"/>
        <v>0</v>
      </c>
    </row>
    <row r="31" spans="1:4" ht="26.25" customHeight="1" x14ac:dyDescent="0.25">
      <c r="B31" s="4"/>
      <c r="C31" s="4"/>
      <c r="D31" s="4"/>
    </row>
    <row r="32" spans="1:4" ht="26.25" customHeight="1" x14ac:dyDescent="0.25">
      <c r="B32" s="4"/>
      <c r="C32" s="4"/>
      <c r="D32" s="4"/>
    </row>
    <row r="33" spans="2:4" ht="26.25" customHeight="1" x14ac:dyDescent="0.25">
      <c r="B33" s="4"/>
      <c r="C33" s="4"/>
      <c r="D33" s="4"/>
    </row>
    <row r="34" spans="2:4" ht="26.25" customHeight="1" x14ac:dyDescent="0.25">
      <c r="B34" s="4"/>
      <c r="C34" s="4"/>
      <c r="D34" s="4"/>
    </row>
    <row r="35" spans="2:4" ht="26.25" customHeight="1" x14ac:dyDescent="0.25">
      <c r="B35" s="4"/>
      <c r="C35" s="4"/>
      <c r="D35" s="4"/>
    </row>
    <row r="36" spans="2:4" ht="26.25" customHeight="1" x14ac:dyDescent="0.25">
      <c r="B36" s="4"/>
      <c r="C36" s="4"/>
      <c r="D36" s="4"/>
    </row>
    <row r="37" spans="2:4" ht="26.25" customHeight="1" x14ac:dyDescent="0.25">
      <c r="B37" s="4"/>
      <c r="C37" s="4"/>
      <c r="D37" s="4"/>
    </row>
    <row r="38" spans="2:4" ht="26.25" customHeight="1" x14ac:dyDescent="0.25">
      <c r="B38" s="4"/>
      <c r="C38" s="4"/>
      <c r="D38" s="4"/>
    </row>
    <row r="39" spans="2:4" ht="26.25" customHeight="1" x14ac:dyDescent="0.25">
      <c r="B39" s="4"/>
      <c r="C39" s="4"/>
      <c r="D39" s="4"/>
    </row>
    <row r="40" spans="2:4" ht="26.25" customHeight="1" x14ac:dyDescent="0.25">
      <c r="B40" s="4"/>
      <c r="C40" s="4"/>
      <c r="D40" s="4"/>
    </row>
    <row r="41" spans="2:4" ht="26.25" customHeight="1" x14ac:dyDescent="0.25">
      <c r="B41" s="4"/>
      <c r="C41" s="4"/>
      <c r="D41" s="4"/>
    </row>
    <row r="42" spans="2:4" ht="26.25" customHeight="1" x14ac:dyDescent="0.25">
      <c r="B42" s="4"/>
      <c r="C42" s="4"/>
      <c r="D42" s="4"/>
    </row>
    <row r="43" spans="2:4" ht="26.25" customHeight="1" x14ac:dyDescent="0.25">
      <c r="B43" s="4"/>
      <c r="C43" s="4"/>
      <c r="D43" s="4"/>
    </row>
    <row r="44" spans="2:4" ht="26.25" customHeight="1" x14ac:dyDescent="0.25">
      <c r="B44" s="4"/>
      <c r="C44" s="4"/>
      <c r="D44" s="4"/>
    </row>
    <row r="45" spans="2:4" ht="26.25" customHeight="1" x14ac:dyDescent="0.25">
      <c r="B45" s="4"/>
      <c r="C45" s="4"/>
      <c r="D45" s="4"/>
    </row>
    <row r="46" spans="2:4" ht="26.25" customHeight="1" x14ac:dyDescent="0.25">
      <c r="B46" s="4"/>
      <c r="C46" s="4"/>
      <c r="D46" s="4"/>
    </row>
    <row r="47" spans="2:4" ht="26.25" customHeight="1" x14ac:dyDescent="0.25">
      <c r="B47" s="4"/>
      <c r="C47" s="4"/>
      <c r="D47" s="4"/>
    </row>
    <row r="48" spans="2:4" ht="26.25" customHeight="1" x14ac:dyDescent="0.25">
      <c r="B48" s="4"/>
      <c r="C48" s="4"/>
      <c r="D48" s="4"/>
    </row>
    <row r="49" spans="2:4" ht="26.25" customHeight="1" x14ac:dyDescent="0.25">
      <c r="B49" s="4"/>
      <c r="C49" s="4"/>
      <c r="D49" s="4"/>
    </row>
    <row r="50" spans="2:4" ht="26.25" customHeight="1" x14ac:dyDescent="0.25">
      <c r="B50" s="4"/>
      <c r="C50" s="4"/>
      <c r="D50" s="4"/>
    </row>
    <row r="51" spans="2:4" ht="26.25" customHeight="1" x14ac:dyDescent="0.25">
      <c r="B51" s="4"/>
      <c r="C51" s="4"/>
      <c r="D51" s="4"/>
    </row>
    <row r="52" spans="2:4" ht="26.25" customHeight="1" x14ac:dyDescent="0.25">
      <c r="B52" s="4"/>
      <c r="C52" s="4"/>
      <c r="D52" s="4"/>
    </row>
    <row r="53" spans="2:4" ht="26.25" customHeight="1" x14ac:dyDescent="0.25">
      <c r="B53" s="4"/>
      <c r="C53" s="4"/>
      <c r="D53" s="4"/>
    </row>
    <row r="54" spans="2:4" ht="26.25" customHeight="1" x14ac:dyDescent="0.25">
      <c r="B54" s="4"/>
      <c r="C54" s="4"/>
      <c r="D54" s="4"/>
    </row>
    <row r="55" spans="2:4" ht="26.25" customHeight="1" x14ac:dyDescent="0.25">
      <c r="B55" s="4"/>
      <c r="C55" s="4"/>
      <c r="D55" s="4"/>
    </row>
    <row r="56" spans="2:4" ht="26.25" customHeight="1" x14ac:dyDescent="0.25">
      <c r="B56" s="4"/>
      <c r="C56" s="4"/>
      <c r="D56" s="4"/>
    </row>
    <row r="57" spans="2:4" ht="26.25" customHeight="1" x14ac:dyDescent="0.25">
      <c r="B57" s="4"/>
      <c r="C57" s="4"/>
      <c r="D57" s="4"/>
    </row>
    <row r="58" spans="2:4" ht="26.25" customHeight="1" x14ac:dyDescent="0.25">
      <c r="B58" s="4"/>
      <c r="C58" s="4"/>
      <c r="D58" s="4"/>
    </row>
    <row r="59" spans="2:4" ht="26.25" customHeight="1" x14ac:dyDescent="0.25">
      <c r="B59" s="4"/>
      <c r="C59" s="4"/>
      <c r="D59" s="4"/>
    </row>
    <row r="60" spans="2:4" ht="26.25" customHeight="1" x14ac:dyDescent="0.25">
      <c r="B60" s="4"/>
      <c r="C60" s="4"/>
      <c r="D60" s="4"/>
    </row>
    <row r="61" spans="2:4" ht="26.25" customHeight="1" x14ac:dyDescent="0.25">
      <c r="B61" s="4"/>
      <c r="C61" s="4"/>
      <c r="D61" s="4"/>
    </row>
    <row r="62" spans="2:4" ht="26.25" customHeight="1" x14ac:dyDescent="0.25">
      <c r="B62" s="4"/>
      <c r="C62" s="4"/>
      <c r="D62" s="4"/>
    </row>
    <row r="63" spans="2:4" ht="26.25" customHeight="1" x14ac:dyDescent="0.25">
      <c r="B63" s="4"/>
      <c r="C63" s="4"/>
      <c r="D63" s="4"/>
    </row>
    <row r="64" spans="2:4" ht="26.25" customHeight="1" x14ac:dyDescent="0.25">
      <c r="B64" s="4"/>
      <c r="C64" s="4"/>
      <c r="D64" s="4"/>
    </row>
    <row r="65" spans="2:4" ht="26.25" customHeight="1" x14ac:dyDescent="0.25">
      <c r="B65" s="4"/>
      <c r="C65" s="4"/>
      <c r="D65" s="4"/>
    </row>
    <row r="66" spans="2:4" ht="26.25" customHeight="1" x14ac:dyDescent="0.25">
      <c r="B66" s="4"/>
      <c r="C66" s="4"/>
      <c r="D66" s="4"/>
    </row>
    <row r="67" spans="2:4" ht="26.25" customHeight="1" x14ac:dyDescent="0.25">
      <c r="B67" s="4"/>
      <c r="C67" s="4"/>
      <c r="D67" s="4"/>
    </row>
    <row r="68" spans="2:4" ht="26.25" customHeight="1" x14ac:dyDescent="0.25">
      <c r="B68" s="4"/>
      <c r="C68" s="4"/>
      <c r="D68" s="4"/>
    </row>
    <row r="69" spans="2:4" ht="26.25" customHeight="1" x14ac:dyDescent="0.25">
      <c r="B69" s="4"/>
      <c r="C69" s="4"/>
      <c r="D69" s="4"/>
    </row>
    <row r="70" spans="2:4" ht="26.25" customHeight="1" x14ac:dyDescent="0.25">
      <c r="B70" s="4"/>
      <c r="C70" s="4"/>
      <c r="D70" s="4"/>
    </row>
    <row r="71" spans="2:4" ht="26.25" customHeight="1" x14ac:dyDescent="0.25">
      <c r="B71" s="4"/>
      <c r="C71" s="4"/>
      <c r="D71" s="4"/>
    </row>
    <row r="72" spans="2:4" ht="26.25" customHeight="1" x14ac:dyDescent="0.25">
      <c r="B72" s="4"/>
      <c r="C72" s="4"/>
      <c r="D72" s="4"/>
    </row>
    <row r="73" spans="2:4" ht="26.25" customHeight="1" x14ac:dyDescent="0.25">
      <c r="B73" s="4"/>
      <c r="C73" s="4"/>
      <c r="D73" s="4"/>
    </row>
    <row r="74" spans="2:4" ht="26.25" customHeight="1" x14ac:dyDescent="0.25">
      <c r="B74" s="4"/>
      <c r="C74" s="4"/>
      <c r="D74" s="4"/>
    </row>
    <row r="75" spans="2:4" ht="26.25" customHeight="1" x14ac:dyDescent="0.25">
      <c r="B75" s="4"/>
      <c r="C75" s="4"/>
      <c r="D75" s="4"/>
    </row>
    <row r="76" spans="2:4" ht="26.25" customHeight="1" x14ac:dyDescent="0.25">
      <c r="B76" s="4"/>
      <c r="C76" s="4"/>
      <c r="D76" s="4"/>
    </row>
    <row r="77" spans="2:4" ht="26.25" customHeight="1" x14ac:dyDescent="0.25">
      <c r="B77" s="4"/>
      <c r="C77" s="4"/>
      <c r="D77" s="4"/>
    </row>
    <row r="78" spans="2:4" ht="26.25" customHeight="1" x14ac:dyDescent="0.25">
      <c r="B78" s="4"/>
      <c r="C78" s="4"/>
      <c r="D78" s="4"/>
    </row>
    <row r="79" spans="2:4" ht="26.25" customHeight="1" x14ac:dyDescent="0.25">
      <c r="B79" s="4"/>
      <c r="C79" s="4"/>
      <c r="D79" s="4"/>
    </row>
    <row r="80" spans="2:4" ht="26.25" customHeight="1" x14ac:dyDescent="0.25">
      <c r="B80" s="4"/>
      <c r="C80" s="4"/>
      <c r="D80" s="4"/>
    </row>
    <row r="81" spans="2:4" ht="26.25" customHeight="1" x14ac:dyDescent="0.25">
      <c r="B81" s="4"/>
      <c r="C81" s="4"/>
      <c r="D81" s="4"/>
    </row>
    <row r="82" spans="2:4" ht="26.25" customHeight="1" x14ac:dyDescent="0.25">
      <c r="B82" s="4"/>
      <c r="C82" s="4"/>
      <c r="D82" s="4"/>
    </row>
    <row r="83" spans="2:4" ht="26.25" customHeight="1" x14ac:dyDescent="0.25">
      <c r="B83" s="4"/>
      <c r="C83" s="4"/>
      <c r="D83" s="4"/>
    </row>
    <row r="84" spans="2:4" ht="26.25" customHeight="1" x14ac:dyDescent="0.25">
      <c r="B84" s="4"/>
      <c r="C84" s="4"/>
      <c r="D84" s="4"/>
    </row>
    <row r="85" spans="2:4" ht="26.25" customHeight="1" x14ac:dyDescent="0.25">
      <c r="B85" s="4"/>
      <c r="C85" s="4"/>
      <c r="D85" s="4"/>
    </row>
    <row r="86" spans="2:4" ht="26.25" customHeight="1" x14ac:dyDescent="0.25">
      <c r="B86" s="4"/>
      <c r="C86" s="4"/>
      <c r="D86" s="4"/>
    </row>
    <row r="87" spans="2:4" ht="26.25" customHeight="1" x14ac:dyDescent="0.25">
      <c r="B87" s="4"/>
      <c r="C87" s="4"/>
      <c r="D87" s="4"/>
    </row>
    <row r="88" spans="2:4" ht="26.25" customHeight="1" x14ac:dyDescent="0.25">
      <c r="B88" s="4"/>
      <c r="C88" s="4"/>
      <c r="D88" s="4"/>
    </row>
    <row r="89" spans="2:4" ht="26.25" customHeight="1" x14ac:dyDescent="0.25">
      <c r="B89" s="4"/>
      <c r="C89" s="4"/>
      <c r="D89" s="4"/>
    </row>
    <row r="90" spans="2:4" ht="26.25" customHeight="1" x14ac:dyDescent="0.25">
      <c r="B90" s="4"/>
      <c r="C90" s="4"/>
      <c r="D90" s="4"/>
    </row>
    <row r="91" spans="2:4" ht="26.25" customHeight="1" x14ac:dyDescent="0.25">
      <c r="B91" s="4"/>
      <c r="C91" s="4"/>
      <c r="D91" s="4"/>
    </row>
    <row r="92" spans="2:4" ht="26.25" customHeight="1" x14ac:dyDescent="0.25">
      <c r="B92" s="4"/>
      <c r="C92" s="4"/>
      <c r="D92" s="4"/>
    </row>
    <row r="93" spans="2:4" ht="26.25" customHeight="1" x14ac:dyDescent="0.25">
      <c r="B93" s="4"/>
      <c r="C93" s="4"/>
      <c r="D93" s="4"/>
    </row>
    <row r="94" spans="2:4" ht="26.25" customHeight="1" x14ac:dyDescent="0.25">
      <c r="B94" s="4"/>
      <c r="C94" s="4"/>
      <c r="D94" s="4"/>
    </row>
    <row r="95" spans="2:4" ht="26.25" customHeight="1" x14ac:dyDescent="0.25">
      <c r="B95" s="4"/>
      <c r="C95" s="4"/>
      <c r="D95" s="4"/>
    </row>
    <row r="96" spans="2:4" ht="26.25" customHeight="1" x14ac:dyDescent="0.25">
      <c r="B96" s="4"/>
      <c r="C96" s="4"/>
      <c r="D96" s="4"/>
    </row>
    <row r="97" spans="2:4" ht="26.25" customHeight="1" x14ac:dyDescent="0.25">
      <c r="B97" s="4"/>
      <c r="C97" s="4"/>
      <c r="D97" s="4"/>
    </row>
    <row r="98" spans="2:4" ht="26.25" customHeight="1" x14ac:dyDescent="0.25">
      <c r="B98" s="4"/>
      <c r="C98" s="4"/>
      <c r="D98" s="4"/>
    </row>
    <row r="99" spans="2:4" ht="26.25" customHeight="1" x14ac:dyDescent="0.25">
      <c r="B99" s="4"/>
      <c r="C99" s="4"/>
      <c r="D99" s="4"/>
    </row>
    <row r="100" spans="2:4" ht="26.25" customHeight="1" x14ac:dyDescent="0.25">
      <c r="B100" s="4"/>
      <c r="C100" s="4"/>
      <c r="D100" s="4"/>
    </row>
    <row r="101" spans="2:4" ht="26.25" customHeight="1" x14ac:dyDescent="0.25">
      <c r="B101" s="4"/>
      <c r="C101" s="4"/>
      <c r="D101" s="4"/>
    </row>
    <row r="102" spans="2:4" ht="26.25" customHeight="1" x14ac:dyDescent="0.25">
      <c r="B102" s="4"/>
      <c r="C102" s="4"/>
      <c r="D102" s="4"/>
    </row>
    <row r="103" spans="2:4" ht="26.25" customHeight="1" x14ac:dyDescent="0.25">
      <c r="B103" s="4"/>
      <c r="C103" s="4"/>
      <c r="D103" s="4"/>
    </row>
    <row r="104" spans="2:4" ht="26.25" customHeight="1" x14ac:dyDescent="0.25">
      <c r="B104" s="4"/>
      <c r="C104" s="4"/>
      <c r="D104" s="4"/>
    </row>
    <row r="105" spans="2:4" ht="26.25" customHeight="1" x14ac:dyDescent="0.25">
      <c r="B105" s="4"/>
      <c r="C105" s="4"/>
      <c r="D105" s="4"/>
    </row>
    <row r="106" spans="2:4" ht="26.25" customHeight="1" x14ac:dyDescent="0.25">
      <c r="B106" s="4"/>
      <c r="C106" s="4"/>
      <c r="D106" s="4"/>
    </row>
    <row r="107" spans="2:4" ht="26.25" customHeight="1" x14ac:dyDescent="0.25">
      <c r="B107" s="4"/>
      <c r="C107" s="4"/>
      <c r="D107" s="4"/>
    </row>
    <row r="108" spans="2:4" ht="26.25" customHeight="1" x14ac:dyDescent="0.25">
      <c r="B108" s="4"/>
      <c r="C108" s="4"/>
      <c r="D108" s="4"/>
    </row>
    <row r="109" spans="2:4" ht="26.25" customHeight="1" x14ac:dyDescent="0.25">
      <c r="B109" s="4"/>
      <c r="C109" s="4"/>
      <c r="D109" s="4"/>
    </row>
    <row r="110" spans="2:4" ht="26.25" customHeight="1" x14ac:dyDescent="0.25">
      <c r="B110" s="4"/>
      <c r="C110" s="4"/>
      <c r="D110" s="4"/>
    </row>
    <row r="111" spans="2:4" ht="26.25" customHeight="1" x14ac:dyDescent="0.25">
      <c r="B111" s="4"/>
      <c r="C111" s="4"/>
      <c r="D111" s="4"/>
    </row>
    <row r="112" spans="2:4" ht="26.25" customHeight="1" x14ac:dyDescent="0.25">
      <c r="B112" s="4"/>
      <c r="C112" s="4"/>
      <c r="D112" s="4"/>
    </row>
    <row r="113" spans="2:4" ht="26.25" customHeight="1" x14ac:dyDescent="0.25">
      <c r="B113" s="4"/>
      <c r="C113" s="4"/>
      <c r="D113" s="4"/>
    </row>
    <row r="114" spans="2:4" ht="26.25" customHeight="1" x14ac:dyDescent="0.25">
      <c r="B114" s="4"/>
      <c r="C114" s="4"/>
      <c r="D114" s="4"/>
    </row>
    <row r="115" spans="2:4" ht="26.25" customHeight="1" x14ac:dyDescent="0.25">
      <c r="B115" s="4"/>
      <c r="C115" s="4"/>
      <c r="D115" s="4"/>
    </row>
    <row r="116" spans="2:4" ht="26.25" customHeight="1" x14ac:dyDescent="0.25">
      <c r="B116" s="4"/>
      <c r="C116" s="4"/>
      <c r="D116" s="4"/>
    </row>
    <row r="117" spans="2:4" ht="26.25" customHeight="1" x14ac:dyDescent="0.25">
      <c r="B117" s="4"/>
      <c r="C117" s="4"/>
      <c r="D117" s="4"/>
    </row>
    <row r="118" spans="2:4" ht="26.25" customHeight="1" x14ac:dyDescent="0.25">
      <c r="B118" s="4"/>
      <c r="C118" s="4"/>
      <c r="D118" s="4"/>
    </row>
    <row r="119" spans="2:4" ht="26.25" customHeight="1" x14ac:dyDescent="0.25">
      <c r="B119" s="4"/>
      <c r="C119" s="4"/>
      <c r="D119" s="4"/>
    </row>
    <row r="120" spans="2:4" ht="26.25" customHeight="1" x14ac:dyDescent="0.25">
      <c r="B120" s="4"/>
      <c r="C120" s="4"/>
      <c r="D120" s="4"/>
    </row>
    <row r="121" spans="2:4" ht="26.25" customHeight="1" x14ac:dyDescent="0.25">
      <c r="B121" s="4"/>
      <c r="C121" s="4"/>
      <c r="D121" s="4"/>
    </row>
    <row r="122" spans="2:4" ht="26.25" customHeight="1" x14ac:dyDescent="0.25">
      <c r="B122" s="4"/>
      <c r="C122" s="4"/>
      <c r="D122" s="4"/>
    </row>
    <row r="123" spans="2:4" ht="26.25" customHeight="1" x14ac:dyDescent="0.25">
      <c r="B123" s="4"/>
      <c r="C123" s="4"/>
      <c r="D123" s="4"/>
    </row>
    <row r="124" spans="2:4" ht="26.25" customHeight="1" x14ac:dyDescent="0.25">
      <c r="B124" s="4"/>
      <c r="C124" s="4"/>
      <c r="D124" s="4"/>
    </row>
    <row r="125" spans="2:4" ht="26.25" customHeight="1" x14ac:dyDescent="0.25">
      <c r="B125" s="4"/>
      <c r="C125" s="4"/>
      <c r="D125" s="4"/>
    </row>
    <row r="126" spans="2:4" ht="26.25" customHeight="1" x14ac:dyDescent="0.25">
      <c r="B126" s="4"/>
      <c r="C126" s="4"/>
      <c r="D126" s="4"/>
    </row>
    <row r="127" spans="2:4" ht="26.25" customHeight="1" x14ac:dyDescent="0.25">
      <c r="B127" s="4"/>
      <c r="C127" s="4"/>
      <c r="D127" s="4"/>
    </row>
    <row r="128" spans="2:4" ht="26.25" customHeight="1" x14ac:dyDescent="0.25">
      <c r="B128" s="4"/>
      <c r="C128" s="4"/>
      <c r="D128" s="4"/>
    </row>
    <row r="129" spans="2:4" ht="26.25" customHeight="1" x14ac:dyDescent="0.25">
      <c r="B129" s="4"/>
      <c r="C129" s="4"/>
      <c r="D129" s="4"/>
    </row>
    <row r="130" spans="2:4" ht="26.25" customHeight="1" x14ac:dyDescent="0.25">
      <c r="B130" s="4"/>
      <c r="C130" s="4"/>
      <c r="D130" s="4"/>
    </row>
    <row r="131" spans="2:4" ht="26.25" customHeight="1" x14ac:dyDescent="0.25">
      <c r="B131" s="4"/>
      <c r="C131" s="4"/>
      <c r="D131" s="4"/>
    </row>
    <row r="132" spans="2:4" ht="26.25" customHeight="1" x14ac:dyDescent="0.25">
      <c r="B132" s="4"/>
      <c r="C132" s="4"/>
      <c r="D132" s="4"/>
    </row>
    <row r="133" spans="2:4" ht="26.25" customHeight="1" x14ac:dyDescent="0.25">
      <c r="B133" s="4"/>
      <c r="C133" s="4"/>
      <c r="D133" s="4"/>
    </row>
    <row r="134" spans="2:4" ht="26.25" customHeight="1" x14ac:dyDescent="0.25">
      <c r="B134" s="4"/>
      <c r="C134" s="4"/>
      <c r="D134" s="4"/>
    </row>
    <row r="135" spans="2:4" ht="26.25" customHeight="1" x14ac:dyDescent="0.25">
      <c r="B135" s="4"/>
      <c r="C135" s="4"/>
      <c r="D135" s="4"/>
    </row>
    <row r="136" spans="2:4" ht="26.25" customHeight="1" x14ac:dyDescent="0.25">
      <c r="B136" s="4"/>
      <c r="C136" s="4"/>
      <c r="D136" s="4"/>
    </row>
    <row r="137" spans="2:4" ht="26.25" customHeight="1" x14ac:dyDescent="0.25">
      <c r="B137" s="4"/>
      <c r="C137" s="4"/>
      <c r="D137" s="4"/>
    </row>
    <row r="138" spans="2:4" ht="26.25" customHeight="1" x14ac:dyDescent="0.25">
      <c r="B138" s="4"/>
      <c r="C138" s="4"/>
      <c r="D138" s="4"/>
    </row>
    <row r="139" spans="2:4" ht="26.25" customHeight="1" x14ac:dyDescent="0.25">
      <c r="B139" s="4"/>
      <c r="C139" s="4"/>
      <c r="D139" s="4"/>
    </row>
    <row r="140" spans="2:4" ht="26.25" customHeight="1" x14ac:dyDescent="0.25">
      <c r="B140" s="4"/>
      <c r="C140" s="4"/>
      <c r="D140" s="4"/>
    </row>
    <row r="141" spans="2:4" ht="26.25" customHeight="1" x14ac:dyDescent="0.25">
      <c r="B141" s="4"/>
      <c r="C141" s="4"/>
      <c r="D141" s="4"/>
    </row>
    <row r="142" spans="2:4" ht="26.25" customHeight="1" x14ac:dyDescent="0.25">
      <c r="B142" s="4"/>
      <c r="C142" s="4"/>
      <c r="D142" s="4"/>
    </row>
    <row r="143" spans="2:4" ht="26.25" customHeight="1" x14ac:dyDescent="0.25">
      <c r="B143" s="4"/>
      <c r="C143" s="4"/>
      <c r="D143" s="4"/>
    </row>
    <row r="144" spans="2:4" ht="26.25" customHeight="1" x14ac:dyDescent="0.25">
      <c r="B144" s="4"/>
      <c r="C144" s="4"/>
      <c r="D144" s="4"/>
    </row>
    <row r="145" spans="2:4" ht="26.25" customHeight="1" x14ac:dyDescent="0.25">
      <c r="B145" s="4"/>
      <c r="C145" s="4"/>
      <c r="D145" s="4"/>
    </row>
    <row r="146" spans="2:4" ht="26.25" customHeight="1" x14ac:dyDescent="0.25">
      <c r="B146" s="4"/>
      <c r="C146" s="4"/>
      <c r="D146" s="4"/>
    </row>
    <row r="147" spans="2:4" ht="26.25" customHeight="1" x14ac:dyDescent="0.25">
      <c r="B147" s="4"/>
      <c r="C147" s="4"/>
      <c r="D147" s="4"/>
    </row>
    <row r="148" spans="2:4" ht="26.25" customHeight="1" x14ac:dyDescent="0.25">
      <c r="B148" s="4"/>
      <c r="C148" s="4"/>
      <c r="D148" s="4"/>
    </row>
    <row r="149" spans="2:4" ht="26.25" customHeight="1" x14ac:dyDescent="0.25">
      <c r="B149" s="4"/>
      <c r="C149" s="4"/>
      <c r="D149" s="4"/>
    </row>
    <row r="150" spans="2:4" ht="26.25" customHeight="1" x14ac:dyDescent="0.25">
      <c r="B150" s="4"/>
      <c r="C150" s="4"/>
      <c r="D150" s="4"/>
    </row>
    <row r="151" spans="2:4" ht="26.25" customHeight="1" x14ac:dyDescent="0.25">
      <c r="B151" s="4"/>
      <c r="C151" s="4"/>
      <c r="D151" s="4"/>
    </row>
    <row r="152" spans="2:4" ht="26.25" customHeight="1" x14ac:dyDescent="0.25">
      <c r="B152" s="4"/>
      <c r="C152" s="4"/>
      <c r="D152" s="4"/>
    </row>
    <row r="153" spans="2:4" ht="26.25" customHeight="1" x14ac:dyDescent="0.25">
      <c r="B153" s="4"/>
      <c r="C153" s="4"/>
      <c r="D153" s="4"/>
    </row>
    <row r="154" spans="2:4" ht="26.25" customHeight="1" x14ac:dyDescent="0.25">
      <c r="B154" s="4"/>
      <c r="C154" s="4"/>
      <c r="D154" s="4"/>
    </row>
    <row r="155" spans="2:4" ht="26.25" customHeight="1" x14ac:dyDescent="0.25">
      <c r="B155" s="4"/>
      <c r="C155" s="4"/>
      <c r="D155" s="4"/>
    </row>
    <row r="156" spans="2:4" ht="26.25" customHeight="1" x14ac:dyDescent="0.25">
      <c r="B156" s="4"/>
      <c r="C156" s="4"/>
      <c r="D156" s="4"/>
    </row>
    <row r="157" spans="2:4" ht="26.25" customHeight="1" x14ac:dyDescent="0.25">
      <c r="B157" s="4"/>
      <c r="C157" s="4"/>
      <c r="D157" s="4"/>
    </row>
    <row r="158" spans="2:4" ht="26.25" customHeight="1" x14ac:dyDescent="0.25">
      <c r="B158" s="4"/>
      <c r="C158" s="4"/>
      <c r="D158" s="4"/>
    </row>
    <row r="159" spans="2:4" ht="26.25" customHeight="1" x14ac:dyDescent="0.25">
      <c r="B159" s="4"/>
      <c r="C159" s="4"/>
      <c r="D159" s="4"/>
    </row>
    <row r="160" spans="2:4" ht="26.25" customHeight="1" x14ac:dyDescent="0.25">
      <c r="B160" s="4"/>
      <c r="C160" s="4"/>
      <c r="D160" s="4"/>
    </row>
    <row r="161" spans="2:4" ht="26.25" customHeight="1" x14ac:dyDescent="0.25">
      <c r="B161" s="4"/>
      <c r="C161" s="4"/>
      <c r="D161" s="4"/>
    </row>
    <row r="162" spans="2:4" ht="26.25" customHeight="1" x14ac:dyDescent="0.25">
      <c r="B162" s="4"/>
      <c r="C162" s="4"/>
      <c r="D162" s="4"/>
    </row>
    <row r="163" spans="2:4" ht="26.25" customHeight="1" x14ac:dyDescent="0.25">
      <c r="B163" s="4"/>
      <c r="C163" s="4"/>
      <c r="D163" s="4"/>
    </row>
    <row r="164" spans="2:4" ht="26.25" customHeight="1" x14ac:dyDescent="0.25">
      <c r="B164" s="4"/>
      <c r="C164" s="4"/>
      <c r="D164" s="4"/>
    </row>
    <row r="165" spans="2:4" ht="26.25" customHeight="1" x14ac:dyDescent="0.25">
      <c r="B165" s="4"/>
      <c r="C165" s="4"/>
      <c r="D165" s="4"/>
    </row>
    <row r="166" spans="2:4" ht="26.25" customHeight="1" x14ac:dyDescent="0.25">
      <c r="B166" s="4"/>
      <c r="C166" s="4"/>
      <c r="D166" s="4"/>
    </row>
    <row r="167" spans="2:4" ht="26.25" customHeight="1" x14ac:dyDescent="0.25">
      <c r="B167" s="4"/>
      <c r="C167" s="4"/>
      <c r="D167" s="4"/>
    </row>
    <row r="168" spans="2:4" ht="26.25" customHeight="1" x14ac:dyDescent="0.25">
      <c r="B168" s="4"/>
      <c r="C168" s="4"/>
      <c r="D168" s="4"/>
    </row>
    <row r="169" spans="2:4" ht="26.25" customHeight="1" x14ac:dyDescent="0.25">
      <c r="B169" s="4"/>
      <c r="C169" s="4"/>
      <c r="D169" s="4"/>
    </row>
    <row r="170" spans="2:4" ht="26.25" customHeight="1" x14ac:dyDescent="0.25">
      <c r="B170" s="4"/>
      <c r="C170" s="4"/>
      <c r="D170" s="4"/>
    </row>
    <row r="171" spans="2:4" ht="26.25" customHeight="1" x14ac:dyDescent="0.25">
      <c r="B171" s="4"/>
      <c r="C171" s="4"/>
      <c r="D171" s="4"/>
    </row>
    <row r="172" spans="2:4" ht="26.25" customHeight="1" x14ac:dyDescent="0.25">
      <c r="B172" s="4"/>
      <c r="C172" s="4"/>
      <c r="D172" s="4"/>
    </row>
    <row r="173" spans="2:4" ht="26.25" customHeight="1" x14ac:dyDescent="0.25">
      <c r="B173" s="4"/>
      <c r="C173" s="4"/>
      <c r="D173" s="4"/>
    </row>
    <row r="174" spans="2:4" ht="26.25" customHeight="1" x14ac:dyDescent="0.25">
      <c r="B174" s="4"/>
      <c r="C174" s="4"/>
      <c r="D174" s="4"/>
    </row>
    <row r="175" spans="2:4" ht="26.25" customHeight="1" x14ac:dyDescent="0.25">
      <c r="B175" s="4"/>
      <c r="C175" s="4"/>
      <c r="D175" s="4"/>
    </row>
    <row r="176" spans="2:4" ht="26.25" customHeight="1" x14ac:dyDescent="0.25">
      <c r="B176" s="4"/>
      <c r="C176" s="4"/>
      <c r="D176" s="4"/>
    </row>
    <row r="177" spans="2:4" ht="26.25" customHeight="1" x14ac:dyDescent="0.25">
      <c r="B177" s="4"/>
      <c r="C177" s="4"/>
      <c r="D177" s="4"/>
    </row>
    <row r="178" spans="2:4" ht="26.25" customHeight="1" x14ac:dyDescent="0.25">
      <c r="B178" s="4"/>
      <c r="C178" s="4"/>
      <c r="D178" s="4"/>
    </row>
    <row r="179" spans="2:4" ht="26.25" customHeight="1" x14ac:dyDescent="0.25">
      <c r="B179" s="4"/>
      <c r="C179" s="4"/>
      <c r="D179" s="4"/>
    </row>
    <row r="180" spans="2:4" ht="26.25" customHeight="1" x14ac:dyDescent="0.25">
      <c r="B180" s="4"/>
      <c r="C180" s="4"/>
      <c r="D180" s="4"/>
    </row>
    <row r="181" spans="2:4" ht="26.25" customHeight="1" x14ac:dyDescent="0.25">
      <c r="B181" s="4"/>
      <c r="C181" s="4"/>
      <c r="D181" s="4"/>
    </row>
    <row r="182" spans="2:4" ht="26.25" customHeight="1" x14ac:dyDescent="0.25">
      <c r="B182" s="4"/>
      <c r="C182" s="4"/>
      <c r="D182" s="4"/>
    </row>
    <row r="183" spans="2:4" ht="26.25" customHeight="1" x14ac:dyDescent="0.25">
      <c r="B183" s="4"/>
      <c r="C183" s="4"/>
      <c r="D183" s="4"/>
    </row>
    <row r="184" spans="2:4" ht="26.25" customHeight="1" x14ac:dyDescent="0.25">
      <c r="B184" s="4"/>
      <c r="C184" s="4"/>
      <c r="D184" s="4"/>
    </row>
    <row r="185" spans="2:4" ht="26.25" customHeight="1" x14ac:dyDescent="0.25">
      <c r="B185" s="4"/>
      <c r="C185" s="4"/>
      <c r="D185" s="4"/>
    </row>
    <row r="186" spans="2:4" ht="26.25" customHeight="1" x14ac:dyDescent="0.25">
      <c r="B186" s="4"/>
      <c r="C186" s="4"/>
      <c r="D186" s="4"/>
    </row>
    <row r="187" spans="2:4" ht="26.25" customHeight="1" x14ac:dyDescent="0.25">
      <c r="B187" s="4"/>
      <c r="C187" s="4"/>
      <c r="D187" s="4"/>
    </row>
    <row r="188" spans="2:4" ht="26.25" customHeight="1" x14ac:dyDescent="0.25">
      <c r="B188" s="4"/>
      <c r="C188" s="4"/>
      <c r="D188" s="4"/>
    </row>
    <row r="189" spans="2:4" ht="26.25" customHeight="1" x14ac:dyDescent="0.25">
      <c r="B189" s="4"/>
      <c r="C189" s="4"/>
      <c r="D189" s="4"/>
    </row>
    <row r="190" spans="2:4" ht="26.25" customHeight="1" x14ac:dyDescent="0.25">
      <c r="B190" s="4"/>
      <c r="C190" s="4"/>
      <c r="D190" s="4"/>
    </row>
    <row r="191" spans="2:4" ht="26.25" customHeight="1" x14ac:dyDescent="0.25">
      <c r="B191" s="4"/>
      <c r="C191" s="4"/>
      <c r="D191" s="4"/>
    </row>
    <row r="192" spans="2:4" ht="26.25" customHeight="1" x14ac:dyDescent="0.25">
      <c r="B192" s="4"/>
      <c r="C192" s="4"/>
      <c r="D192" s="4"/>
    </row>
    <row r="193" spans="2:4" ht="26.25" customHeight="1" x14ac:dyDescent="0.25">
      <c r="B193" s="4"/>
      <c r="C193" s="4"/>
      <c r="D193" s="4"/>
    </row>
    <row r="194" spans="2:4" ht="26.25" customHeight="1" x14ac:dyDescent="0.25">
      <c r="B194" s="4"/>
      <c r="C194" s="4"/>
      <c r="D194" s="4"/>
    </row>
    <row r="195" spans="2:4" ht="26.25" customHeight="1" x14ac:dyDescent="0.25">
      <c r="B195" s="4"/>
      <c r="C195" s="4"/>
      <c r="D195" s="4"/>
    </row>
    <row r="196" spans="2:4" ht="26.25" customHeight="1" x14ac:dyDescent="0.25">
      <c r="B196" s="4"/>
      <c r="C196" s="4"/>
      <c r="D196" s="4"/>
    </row>
    <row r="197" spans="2:4" ht="26.25" customHeight="1" x14ac:dyDescent="0.25">
      <c r="B197" s="4"/>
      <c r="C197" s="4"/>
      <c r="D197" s="4"/>
    </row>
    <row r="198" spans="2:4" ht="26.25" customHeight="1" x14ac:dyDescent="0.25">
      <c r="B198" s="4"/>
      <c r="C198" s="4"/>
      <c r="D198" s="4"/>
    </row>
    <row r="199" spans="2:4" ht="26.25" customHeight="1" x14ac:dyDescent="0.25">
      <c r="B199" s="4"/>
      <c r="C199" s="4"/>
      <c r="D199" s="4"/>
    </row>
    <row r="200" spans="2:4" ht="26.25" customHeight="1" x14ac:dyDescent="0.25">
      <c r="B200" s="4"/>
      <c r="C200" s="4"/>
      <c r="D200" s="4"/>
    </row>
    <row r="201" spans="2:4" ht="26.25" customHeight="1" x14ac:dyDescent="0.25">
      <c r="B201" s="4"/>
      <c r="C201" s="4"/>
      <c r="D201" s="4"/>
    </row>
    <row r="202" spans="2:4" ht="26.25" customHeight="1" x14ac:dyDescent="0.25">
      <c r="B202" s="4"/>
      <c r="C202" s="4"/>
      <c r="D202" s="4"/>
    </row>
    <row r="203" spans="2:4" ht="26.25" customHeight="1" x14ac:dyDescent="0.25">
      <c r="B203" s="4"/>
      <c r="C203" s="4"/>
      <c r="D203" s="4"/>
    </row>
    <row r="204" spans="2:4" ht="26.25" customHeight="1" x14ac:dyDescent="0.25">
      <c r="B204" s="4"/>
      <c r="C204" s="4"/>
      <c r="D204" s="4"/>
    </row>
    <row r="205" spans="2:4" ht="26.25" customHeight="1" x14ac:dyDescent="0.25">
      <c r="B205" s="4"/>
      <c r="C205" s="4"/>
      <c r="D205" s="4"/>
    </row>
    <row r="206" spans="2:4" ht="26.25" customHeight="1" x14ac:dyDescent="0.25">
      <c r="B206" s="4"/>
      <c r="C206" s="4"/>
      <c r="D206" s="4"/>
    </row>
    <row r="207" spans="2:4" ht="26.25" customHeight="1" x14ac:dyDescent="0.25">
      <c r="B207" s="4"/>
      <c r="C207" s="4"/>
      <c r="D207" s="4"/>
    </row>
    <row r="208" spans="2:4" ht="26.25" customHeight="1" x14ac:dyDescent="0.25">
      <c r="B208" s="4"/>
      <c r="C208" s="4"/>
      <c r="D208" s="4"/>
    </row>
    <row r="209" spans="2:4" ht="26.25" customHeight="1" x14ac:dyDescent="0.25">
      <c r="B209" s="4"/>
      <c r="C209" s="4"/>
      <c r="D209" s="4"/>
    </row>
    <row r="210" spans="2:4" ht="26.25" customHeight="1" x14ac:dyDescent="0.25">
      <c r="B210" s="4"/>
      <c r="C210" s="4"/>
      <c r="D210" s="4"/>
    </row>
    <row r="211" spans="2:4" ht="26.25" customHeight="1" x14ac:dyDescent="0.25">
      <c r="B211" s="4"/>
      <c r="C211" s="4"/>
      <c r="D211" s="4"/>
    </row>
    <row r="212" spans="2:4" ht="26.25" customHeight="1" x14ac:dyDescent="0.25">
      <c r="B212" s="4"/>
      <c r="C212" s="4"/>
      <c r="D212" s="4"/>
    </row>
    <row r="213" spans="2:4" ht="26.25" customHeight="1" x14ac:dyDescent="0.25">
      <c r="B213" s="4"/>
      <c r="C213" s="4"/>
      <c r="D213" s="4"/>
    </row>
    <row r="214" spans="2:4" ht="26.25" customHeight="1" x14ac:dyDescent="0.25">
      <c r="B214" s="4"/>
      <c r="C214" s="4"/>
      <c r="D214" s="4"/>
    </row>
    <row r="215" spans="2:4" ht="26.25" customHeight="1" x14ac:dyDescent="0.25">
      <c r="B215" s="4"/>
      <c r="C215" s="4"/>
      <c r="D215" s="4"/>
    </row>
    <row r="216" spans="2:4" ht="26.25" customHeight="1" x14ac:dyDescent="0.25">
      <c r="B216" s="4"/>
      <c r="C216" s="4"/>
      <c r="D216" s="4"/>
    </row>
    <row r="217" spans="2:4" ht="26.25" customHeight="1" x14ac:dyDescent="0.25">
      <c r="B217" s="4"/>
      <c r="C217" s="4"/>
      <c r="D217" s="4"/>
    </row>
    <row r="218" spans="2:4" ht="26.25" customHeight="1" x14ac:dyDescent="0.25">
      <c r="B218" s="4"/>
      <c r="C218" s="4"/>
      <c r="D218" s="4"/>
    </row>
    <row r="219" spans="2:4" ht="26.25" customHeight="1" x14ac:dyDescent="0.25">
      <c r="B219" s="4"/>
      <c r="C219" s="4"/>
      <c r="D219" s="4"/>
    </row>
    <row r="220" spans="2:4" ht="26.25" customHeight="1" x14ac:dyDescent="0.25">
      <c r="B220" s="4"/>
      <c r="C220" s="4"/>
      <c r="D220" s="4"/>
    </row>
    <row r="221" spans="2:4" ht="26.25" customHeight="1" x14ac:dyDescent="0.25">
      <c r="B221" s="4"/>
      <c r="C221" s="4"/>
      <c r="D221" s="4"/>
    </row>
    <row r="222" spans="2:4" ht="26.25" customHeight="1" x14ac:dyDescent="0.25">
      <c r="B222" s="4"/>
      <c r="C222" s="4"/>
      <c r="D222" s="4"/>
    </row>
    <row r="223" spans="2:4" ht="26.25" customHeight="1" x14ac:dyDescent="0.25">
      <c r="B223" s="4"/>
      <c r="C223" s="4"/>
      <c r="D223" s="4"/>
    </row>
    <row r="224" spans="2:4" ht="26.25" customHeight="1" x14ac:dyDescent="0.25">
      <c r="B224" s="4"/>
      <c r="C224" s="4"/>
      <c r="D224" s="4"/>
    </row>
    <row r="225" spans="2:4" ht="26.25" customHeight="1" x14ac:dyDescent="0.25">
      <c r="B225" s="4"/>
      <c r="C225" s="4"/>
      <c r="D225" s="4"/>
    </row>
    <row r="226" spans="2:4" ht="26.25" customHeight="1" x14ac:dyDescent="0.25">
      <c r="B226" s="4"/>
      <c r="C226" s="4"/>
      <c r="D226" s="4"/>
    </row>
    <row r="227" spans="2:4" ht="26.25" customHeight="1" x14ac:dyDescent="0.25">
      <c r="B227" s="4"/>
      <c r="C227" s="4"/>
      <c r="D227" s="4"/>
    </row>
    <row r="228" spans="2:4" ht="26.25" customHeight="1" x14ac:dyDescent="0.25">
      <c r="B228" s="4"/>
      <c r="C228" s="4"/>
      <c r="D228" s="4"/>
    </row>
    <row r="229" spans="2:4" ht="26.25" customHeight="1" x14ac:dyDescent="0.25">
      <c r="B229" s="4"/>
      <c r="C229" s="4"/>
      <c r="D229" s="4"/>
    </row>
    <row r="230" spans="2:4" ht="26.25" customHeight="1" x14ac:dyDescent="0.25">
      <c r="B230" s="4"/>
      <c r="C230" s="4"/>
      <c r="D230" s="4"/>
    </row>
    <row r="231" spans="2:4" ht="26.25" customHeight="1" x14ac:dyDescent="0.25">
      <c r="B231" s="4"/>
      <c r="C231" s="4"/>
      <c r="D231" s="4"/>
    </row>
    <row r="232" spans="2:4" ht="26.25" customHeight="1" x14ac:dyDescent="0.25">
      <c r="B232" s="4"/>
      <c r="C232" s="4"/>
      <c r="D232" s="4"/>
    </row>
    <row r="233" spans="2:4" ht="26.25" customHeight="1" x14ac:dyDescent="0.25">
      <c r="B233" s="4"/>
      <c r="C233" s="4"/>
      <c r="D233" s="4"/>
    </row>
    <row r="234" spans="2:4" ht="26.25" customHeight="1" x14ac:dyDescent="0.25">
      <c r="B234" s="4"/>
      <c r="C234" s="4"/>
      <c r="D234" s="4"/>
    </row>
    <row r="235" spans="2:4" ht="26.25" customHeight="1" x14ac:dyDescent="0.25">
      <c r="B235" s="4"/>
      <c r="C235" s="4"/>
      <c r="D235" s="4"/>
    </row>
    <row r="236" spans="2:4" ht="26.25" customHeight="1" x14ac:dyDescent="0.25">
      <c r="B236" s="4"/>
      <c r="C236" s="4"/>
      <c r="D236" s="4"/>
    </row>
    <row r="237" spans="2:4" ht="26.25" customHeight="1" x14ac:dyDescent="0.25">
      <c r="B237" s="4"/>
      <c r="C237" s="4"/>
      <c r="D237" s="4"/>
    </row>
    <row r="238" spans="2:4" ht="26.25" customHeight="1" x14ac:dyDescent="0.25">
      <c r="B238" s="4"/>
      <c r="C238" s="4"/>
      <c r="D238" s="4"/>
    </row>
    <row r="239" spans="2:4" ht="26.25" customHeight="1" x14ac:dyDescent="0.25">
      <c r="B239" s="4"/>
      <c r="C239" s="4"/>
      <c r="D239" s="4"/>
    </row>
    <row r="240" spans="2:4" ht="26.25" customHeight="1" x14ac:dyDescent="0.25">
      <c r="B240" s="4"/>
      <c r="C240" s="4"/>
      <c r="D240" s="4"/>
    </row>
    <row r="241" spans="2:4" ht="26.25" customHeight="1" x14ac:dyDescent="0.25">
      <c r="B241" s="4"/>
      <c r="C241" s="4"/>
      <c r="D241" s="4"/>
    </row>
    <row r="242" spans="2:4" ht="26.25" customHeight="1" x14ac:dyDescent="0.25">
      <c r="B242" s="4"/>
      <c r="C242" s="4"/>
      <c r="D242" s="4"/>
    </row>
    <row r="243" spans="2:4" ht="26.25" customHeight="1" x14ac:dyDescent="0.25">
      <c r="B243" s="4"/>
      <c r="C243" s="4"/>
      <c r="D243" s="4"/>
    </row>
    <row r="244" spans="2:4" ht="26.25" customHeight="1" x14ac:dyDescent="0.25">
      <c r="B244" s="4"/>
      <c r="C244" s="4"/>
      <c r="D244" s="4"/>
    </row>
    <row r="245" spans="2:4" ht="26.25" customHeight="1" x14ac:dyDescent="0.25">
      <c r="B245" s="4"/>
      <c r="C245" s="4"/>
      <c r="D245" s="4"/>
    </row>
    <row r="246" spans="2:4" ht="26.25" customHeight="1" x14ac:dyDescent="0.25">
      <c r="B246" s="4"/>
      <c r="C246" s="4"/>
      <c r="D246" s="4"/>
    </row>
    <row r="247" spans="2:4" ht="26.25" customHeight="1" x14ac:dyDescent="0.25">
      <c r="B247" s="4"/>
      <c r="C247" s="4"/>
      <c r="D247" s="4"/>
    </row>
    <row r="248" spans="2:4" ht="26.25" customHeight="1" x14ac:dyDescent="0.25">
      <c r="B248" s="4"/>
      <c r="C248" s="4"/>
      <c r="D248" s="4"/>
    </row>
    <row r="249" spans="2:4" ht="26.25" customHeight="1" x14ac:dyDescent="0.25">
      <c r="B249" s="4"/>
      <c r="C249" s="4"/>
      <c r="D249" s="4"/>
    </row>
    <row r="250" spans="2:4" ht="26.25" customHeight="1" x14ac:dyDescent="0.25">
      <c r="B250" s="4"/>
      <c r="C250" s="4"/>
      <c r="D250" s="4"/>
    </row>
    <row r="251" spans="2:4" ht="26.25" customHeight="1" x14ac:dyDescent="0.25">
      <c r="B251" s="4"/>
      <c r="C251" s="4"/>
      <c r="D251" s="4"/>
    </row>
    <row r="252" spans="2:4" ht="26.25" customHeight="1" x14ac:dyDescent="0.25">
      <c r="B252" s="4"/>
      <c r="C252" s="4"/>
      <c r="D252" s="4"/>
    </row>
    <row r="253" spans="2:4" ht="26.25" customHeight="1" x14ac:dyDescent="0.25">
      <c r="B253" s="4"/>
      <c r="C253" s="4"/>
      <c r="D253" s="4"/>
    </row>
    <row r="254" spans="2:4" ht="26.25" customHeight="1" x14ac:dyDescent="0.25">
      <c r="B254" s="4"/>
      <c r="C254" s="4"/>
      <c r="D254" s="4"/>
    </row>
    <row r="255" spans="2:4" ht="26.25" customHeight="1" x14ac:dyDescent="0.25">
      <c r="B255" s="4"/>
      <c r="C255" s="4"/>
      <c r="D255" s="4"/>
    </row>
    <row r="256" spans="2:4" ht="26.25" customHeight="1" x14ac:dyDescent="0.25">
      <c r="B256" s="4"/>
      <c r="C256" s="4"/>
      <c r="D256" s="4"/>
    </row>
    <row r="257" spans="2:4" ht="26.25" customHeight="1" x14ac:dyDescent="0.25">
      <c r="B257" s="4"/>
      <c r="C257" s="4"/>
      <c r="D257" s="4"/>
    </row>
    <row r="258" spans="2:4" ht="26.25" customHeight="1" x14ac:dyDescent="0.25">
      <c r="B258" s="4"/>
      <c r="C258" s="4"/>
      <c r="D258" s="4"/>
    </row>
    <row r="259" spans="2:4" ht="26.25" customHeight="1" x14ac:dyDescent="0.25">
      <c r="B259" s="4"/>
      <c r="C259" s="4"/>
      <c r="D259" s="4"/>
    </row>
    <row r="260" spans="2:4" ht="26.25" customHeight="1" x14ac:dyDescent="0.25">
      <c r="B260" s="4"/>
      <c r="C260" s="4"/>
      <c r="D260" s="4"/>
    </row>
    <row r="261" spans="2:4" ht="26.25" customHeight="1" x14ac:dyDescent="0.25">
      <c r="B261" s="4"/>
      <c r="C261" s="4"/>
      <c r="D261" s="4"/>
    </row>
    <row r="262" spans="2:4" ht="26.25" customHeight="1" x14ac:dyDescent="0.25">
      <c r="B262" s="4"/>
      <c r="C262" s="4"/>
      <c r="D262" s="4"/>
    </row>
    <row r="263" spans="2:4" ht="26.25" customHeight="1" x14ac:dyDescent="0.25">
      <c r="B263" s="4"/>
      <c r="C263" s="4"/>
      <c r="D263" s="4"/>
    </row>
    <row r="264" spans="2:4" ht="26.25" customHeight="1" x14ac:dyDescent="0.25">
      <c r="B264" s="4"/>
      <c r="C264" s="4"/>
      <c r="D264" s="4"/>
    </row>
    <row r="265" spans="2:4" ht="26.25" customHeight="1" x14ac:dyDescent="0.25">
      <c r="B265" s="4"/>
      <c r="C265" s="4"/>
      <c r="D265" s="4"/>
    </row>
    <row r="266" spans="2:4" ht="26.25" customHeight="1" x14ac:dyDescent="0.25">
      <c r="B266" s="4"/>
      <c r="C266" s="4"/>
      <c r="D266" s="4"/>
    </row>
    <row r="267" spans="2:4" ht="26.25" customHeight="1" x14ac:dyDescent="0.25">
      <c r="B267" s="4"/>
      <c r="C267" s="4"/>
      <c r="D267" s="4"/>
    </row>
    <row r="268" spans="2:4" ht="26.25" customHeight="1" x14ac:dyDescent="0.25">
      <c r="B268" s="4"/>
      <c r="C268" s="4"/>
      <c r="D268" s="4"/>
    </row>
    <row r="269" spans="2:4" ht="26.25" customHeight="1" x14ac:dyDescent="0.25">
      <c r="B269" s="4"/>
      <c r="C269" s="4"/>
      <c r="D269" s="4"/>
    </row>
    <row r="270" spans="2:4" ht="26.25" customHeight="1" x14ac:dyDescent="0.25">
      <c r="B270" s="4"/>
      <c r="C270" s="4"/>
      <c r="D270" s="4"/>
    </row>
    <row r="271" spans="2:4" ht="26.25" customHeight="1" x14ac:dyDescent="0.25">
      <c r="B271" s="4"/>
      <c r="C271" s="4"/>
      <c r="D271" s="4"/>
    </row>
    <row r="272" spans="2:4" ht="26.25" customHeight="1" x14ac:dyDescent="0.25">
      <c r="B272" s="4"/>
      <c r="C272" s="4"/>
      <c r="D272" s="4"/>
    </row>
    <row r="273" spans="2:4" ht="26.25" customHeight="1" x14ac:dyDescent="0.25">
      <c r="B273" s="4"/>
      <c r="C273" s="4"/>
      <c r="D273" s="4"/>
    </row>
    <row r="274" spans="2:4" ht="26.25" customHeight="1" x14ac:dyDescent="0.25">
      <c r="B274" s="4"/>
      <c r="C274" s="4"/>
      <c r="D274" s="4"/>
    </row>
    <row r="275" spans="2:4" ht="26.25" customHeight="1" x14ac:dyDescent="0.25">
      <c r="B275" s="4"/>
      <c r="C275" s="4"/>
      <c r="D275" s="4"/>
    </row>
    <row r="276" spans="2:4" ht="26.25" customHeight="1" x14ac:dyDescent="0.25">
      <c r="B276" s="4"/>
      <c r="C276" s="4"/>
      <c r="D276" s="4"/>
    </row>
    <row r="277" spans="2:4" ht="26.25" customHeight="1" x14ac:dyDescent="0.25">
      <c r="B277" s="4"/>
      <c r="C277" s="4"/>
      <c r="D277" s="4"/>
    </row>
    <row r="278" spans="2:4" ht="26.25" customHeight="1" x14ac:dyDescent="0.25">
      <c r="B278" s="4"/>
      <c r="C278" s="4"/>
      <c r="D278" s="4"/>
    </row>
    <row r="279" spans="2:4" ht="26.25" customHeight="1" x14ac:dyDescent="0.25">
      <c r="B279" s="4"/>
      <c r="C279" s="4"/>
      <c r="D279" s="4"/>
    </row>
    <row r="280" spans="2:4" ht="26.25" customHeight="1" x14ac:dyDescent="0.25">
      <c r="B280" s="4"/>
      <c r="C280" s="4"/>
      <c r="D280" s="4"/>
    </row>
    <row r="281" spans="2:4" ht="26.25" customHeight="1" x14ac:dyDescent="0.25">
      <c r="B281" s="4"/>
      <c r="C281" s="4"/>
      <c r="D281" s="4"/>
    </row>
    <row r="282" spans="2:4" ht="26.25" customHeight="1" x14ac:dyDescent="0.25">
      <c r="B282" s="4"/>
      <c r="C282" s="4"/>
      <c r="D282" s="4"/>
    </row>
    <row r="283" spans="2:4" ht="26.25" customHeight="1" x14ac:dyDescent="0.25">
      <c r="B283" s="4"/>
      <c r="C283" s="4"/>
      <c r="D283" s="4"/>
    </row>
    <row r="284" spans="2:4" ht="26.25" customHeight="1" x14ac:dyDescent="0.25">
      <c r="B284" s="4"/>
      <c r="C284" s="4"/>
      <c r="D284" s="4"/>
    </row>
    <row r="285" spans="2:4" ht="26.25" customHeight="1" x14ac:dyDescent="0.25">
      <c r="B285" s="4"/>
      <c r="C285" s="4"/>
      <c r="D285" s="4"/>
    </row>
    <row r="286" spans="2:4" ht="26.25" customHeight="1" x14ac:dyDescent="0.25">
      <c r="B286" s="4"/>
      <c r="C286" s="4"/>
      <c r="D286" s="4"/>
    </row>
    <row r="287" spans="2:4" ht="26.25" customHeight="1" x14ac:dyDescent="0.25">
      <c r="B287" s="4"/>
      <c r="C287" s="4"/>
      <c r="D287" s="4"/>
    </row>
    <row r="288" spans="2:4" ht="26.25" customHeight="1" x14ac:dyDescent="0.25">
      <c r="B288" s="4"/>
      <c r="C288" s="4"/>
      <c r="D288" s="4"/>
    </row>
    <row r="289" spans="2:4" ht="26.25" customHeight="1" x14ac:dyDescent="0.25">
      <c r="B289" s="4"/>
      <c r="C289" s="4"/>
      <c r="D289" s="4"/>
    </row>
    <row r="290" spans="2:4" ht="26.25" customHeight="1" x14ac:dyDescent="0.25">
      <c r="B290" s="4"/>
      <c r="C290" s="4"/>
      <c r="D290" s="4"/>
    </row>
    <row r="291" spans="2:4" ht="26.25" customHeight="1" x14ac:dyDescent="0.25">
      <c r="B291" s="4"/>
      <c r="C291" s="4"/>
      <c r="D291" s="4"/>
    </row>
    <row r="292" spans="2:4" ht="26.25" customHeight="1" x14ac:dyDescent="0.25">
      <c r="B292" s="4"/>
      <c r="C292" s="4"/>
      <c r="D292" s="4"/>
    </row>
    <row r="293" spans="2:4" ht="26.25" customHeight="1" x14ac:dyDescent="0.25">
      <c r="B293" s="4"/>
      <c r="C293" s="4"/>
      <c r="D293" s="4"/>
    </row>
    <row r="294" spans="2:4" ht="26.25" customHeight="1" x14ac:dyDescent="0.25">
      <c r="B294" s="4"/>
      <c r="C294" s="4"/>
      <c r="D294" s="4"/>
    </row>
    <row r="295" spans="2:4" ht="26.25" customHeight="1" x14ac:dyDescent="0.25">
      <c r="B295" s="4"/>
      <c r="C295" s="4"/>
      <c r="D295" s="4"/>
    </row>
    <row r="296" spans="2:4" ht="26.25" customHeight="1" x14ac:dyDescent="0.25">
      <c r="B296" s="4"/>
      <c r="C296" s="4"/>
      <c r="D296" s="4"/>
    </row>
    <row r="297" spans="2:4" ht="26.25" customHeight="1" x14ac:dyDescent="0.25">
      <c r="B297" s="4"/>
      <c r="C297" s="4"/>
      <c r="D297" s="4"/>
    </row>
    <row r="298" spans="2:4" ht="26.25" customHeight="1" x14ac:dyDescent="0.25">
      <c r="B298" s="4"/>
      <c r="C298" s="4"/>
      <c r="D298" s="4"/>
    </row>
    <row r="299" spans="2:4" ht="26.25" customHeight="1" x14ac:dyDescent="0.25">
      <c r="B299" s="4"/>
      <c r="C299" s="4"/>
      <c r="D299" s="4"/>
    </row>
    <row r="300" spans="2:4" ht="26.25" customHeight="1" x14ac:dyDescent="0.25">
      <c r="B300" s="4"/>
      <c r="C300" s="4"/>
      <c r="D300" s="4"/>
    </row>
    <row r="301" spans="2:4" ht="26.25" customHeight="1" x14ac:dyDescent="0.25">
      <c r="B301" s="4"/>
      <c r="C301" s="4"/>
      <c r="D301" s="4"/>
    </row>
    <row r="302" spans="2:4" ht="26.25" customHeight="1" x14ac:dyDescent="0.25">
      <c r="B302" s="4"/>
      <c r="C302" s="4"/>
      <c r="D302" s="4"/>
    </row>
    <row r="303" spans="2:4" ht="26.25" customHeight="1" x14ac:dyDescent="0.25">
      <c r="B303" s="4"/>
      <c r="C303" s="4"/>
      <c r="D303" s="4"/>
    </row>
    <row r="304" spans="2:4" ht="26.25" customHeight="1" x14ac:dyDescent="0.25">
      <c r="B304" s="4"/>
      <c r="C304" s="4"/>
      <c r="D304" s="4"/>
    </row>
    <row r="305" spans="2:4" ht="26.25" customHeight="1" x14ac:dyDescent="0.25">
      <c r="B305" s="4"/>
      <c r="C305" s="4"/>
      <c r="D305" s="4"/>
    </row>
    <row r="306" spans="2:4" ht="26.25" customHeight="1" x14ac:dyDescent="0.25">
      <c r="B306" s="4"/>
      <c r="C306" s="4"/>
      <c r="D306" s="4"/>
    </row>
    <row r="307" spans="2:4" ht="26.25" customHeight="1" x14ac:dyDescent="0.25">
      <c r="B307" s="4"/>
      <c r="C307" s="4"/>
      <c r="D307" s="4"/>
    </row>
    <row r="308" spans="2:4" ht="26.25" customHeight="1" x14ac:dyDescent="0.25">
      <c r="B308" s="4"/>
      <c r="C308" s="4"/>
      <c r="D308" s="4"/>
    </row>
    <row r="309" spans="2:4" ht="26.25" customHeight="1" x14ac:dyDescent="0.25">
      <c r="B309" s="4"/>
      <c r="C309" s="4"/>
      <c r="D309" s="4"/>
    </row>
    <row r="310" spans="2:4" ht="26.25" customHeight="1" x14ac:dyDescent="0.25">
      <c r="B310" s="4"/>
      <c r="C310" s="4"/>
      <c r="D310" s="4"/>
    </row>
    <row r="311" spans="2:4" ht="26.25" customHeight="1" x14ac:dyDescent="0.25">
      <c r="B311" s="4"/>
      <c r="C311" s="4"/>
      <c r="D311" s="4"/>
    </row>
    <row r="312" spans="2:4" ht="26.25" customHeight="1" x14ac:dyDescent="0.25">
      <c r="B312" s="4"/>
      <c r="C312" s="4"/>
      <c r="D312" s="4"/>
    </row>
    <row r="313" spans="2:4" ht="26.25" customHeight="1" x14ac:dyDescent="0.25">
      <c r="B313" s="4"/>
      <c r="C313" s="4"/>
      <c r="D313" s="4"/>
    </row>
    <row r="314" spans="2:4" ht="26.25" customHeight="1" x14ac:dyDescent="0.25">
      <c r="B314" s="4"/>
      <c r="C314" s="4"/>
      <c r="D314" s="4"/>
    </row>
    <row r="315" spans="2:4" ht="26.25" customHeight="1" x14ac:dyDescent="0.25">
      <c r="B315" s="4"/>
      <c r="C315" s="4"/>
      <c r="D315" s="4"/>
    </row>
    <row r="316" spans="2:4" ht="26.25" customHeight="1" x14ac:dyDescent="0.25">
      <c r="B316" s="4"/>
      <c r="C316" s="4"/>
      <c r="D316" s="4"/>
    </row>
    <row r="317" spans="2:4" ht="26.25" customHeight="1" x14ac:dyDescent="0.25">
      <c r="B317" s="4"/>
      <c r="C317" s="4"/>
      <c r="D317" s="4"/>
    </row>
    <row r="318" spans="2:4" ht="26.25" customHeight="1" x14ac:dyDescent="0.25">
      <c r="B318" s="4"/>
      <c r="C318" s="4"/>
      <c r="D318" s="4"/>
    </row>
    <row r="319" spans="2:4" ht="26.25" customHeight="1" x14ac:dyDescent="0.25">
      <c r="B319" s="4"/>
      <c r="C319" s="4"/>
      <c r="D319" s="4"/>
    </row>
    <row r="320" spans="2:4" ht="26.25" customHeight="1" x14ac:dyDescent="0.25">
      <c r="B320" s="4"/>
      <c r="C320" s="4"/>
      <c r="D320" s="4"/>
    </row>
    <row r="321" spans="2:4" ht="26.25" customHeight="1" x14ac:dyDescent="0.25">
      <c r="B321" s="4"/>
      <c r="C321" s="4"/>
      <c r="D321" s="4"/>
    </row>
    <row r="322" spans="2:4" ht="26.25" customHeight="1" x14ac:dyDescent="0.25">
      <c r="B322" s="4"/>
      <c r="C322" s="4"/>
      <c r="D322" s="4"/>
    </row>
    <row r="323" spans="2:4" ht="26.25" customHeight="1" x14ac:dyDescent="0.25">
      <c r="B323" s="4"/>
      <c r="C323" s="4"/>
      <c r="D323" s="4"/>
    </row>
    <row r="324" spans="2:4" ht="26.25" customHeight="1" x14ac:dyDescent="0.25">
      <c r="B324" s="4"/>
      <c r="C324" s="4"/>
      <c r="D324" s="4"/>
    </row>
    <row r="325" spans="2:4" ht="26.25" customHeight="1" x14ac:dyDescent="0.25">
      <c r="B325" s="4"/>
      <c r="C325" s="4"/>
      <c r="D325" s="4"/>
    </row>
    <row r="326" spans="2:4" ht="26.25" customHeight="1" x14ac:dyDescent="0.25">
      <c r="B326" s="4"/>
      <c r="C326" s="4"/>
      <c r="D326" s="4"/>
    </row>
    <row r="327" spans="2:4" ht="26.25" customHeight="1" x14ac:dyDescent="0.25">
      <c r="B327" s="4"/>
      <c r="C327" s="4"/>
      <c r="D327" s="4"/>
    </row>
    <row r="328" spans="2:4" ht="26.25" customHeight="1" x14ac:dyDescent="0.25">
      <c r="B328" s="4"/>
      <c r="C328" s="4"/>
      <c r="D328" s="4"/>
    </row>
    <row r="329" spans="2:4" ht="26.25" customHeight="1" x14ac:dyDescent="0.25">
      <c r="B329" s="4"/>
      <c r="C329" s="4"/>
      <c r="D329" s="4"/>
    </row>
    <row r="330" spans="2:4" ht="26.25" customHeight="1" x14ac:dyDescent="0.25">
      <c r="B330" s="4"/>
      <c r="C330" s="4"/>
      <c r="D330" s="4"/>
    </row>
    <row r="331" spans="2:4" ht="26.25" customHeight="1" x14ac:dyDescent="0.25">
      <c r="B331" s="4"/>
      <c r="C331" s="4"/>
      <c r="D331" s="4"/>
    </row>
    <row r="332" spans="2:4" ht="26.25" customHeight="1" x14ac:dyDescent="0.25">
      <c r="B332" s="4"/>
      <c r="C332" s="4"/>
      <c r="D332" s="4"/>
    </row>
    <row r="333" spans="2:4" ht="26.25" customHeight="1" x14ac:dyDescent="0.25">
      <c r="B333" s="4"/>
      <c r="C333" s="4"/>
      <c r="D333" s="4"/>
    </row>
    <row r="334" spans="2:4" ht="26.25" customHeight="1" x14ac:dyDescent="0.25">
      <c r="B334" s="4"/>
      <c r="C334" s="4"/>
      <c r="D334" s="4"/>
    </row>
    <row r="335" spans="2:4" ht="26.25" customHeight="1" x14ac:dyDescent="0.25">
      <c r="B335" s="4"/>
      <c r="C335" s="4"/>
      <c r="D335" s="4"/>
    </row>
    <row r="336" spans="2:4" ht="26.25" customHeight="1" x14ac:dyDescent="0.25">
      <c r="B336" s="4"/>
      <c r="C336" s="4"/>
      <c r="D336" s="4"/>
    </row>
    <row r="337" spans="2:4" ht="26.25" customHeight="1" x14ac:dyDescent="0.25">
      <c r="B337" s="4"/>
      <c r="C337" s="4"/>
      <c r="D337" s="4"/>
    </row>
    <row r="338" spans="2:4" ht="26.25" customHeight="1" x14ac:dyDescent="0.25">
      <c r="B338" s="4"/>
      <c r="C338" s="4"/>
      <c r="D338" s="4"/>
    </row>
    <row r="339" spans="2:4" ht="26.25" customHeight="1" x14ac:dyDescent="0.25">
      <c r="B339" s="4"/>
      <c r="C339" s="4"/>
      <c r="D339" s="4"/>
    </row>
    <row r="340" spans="2:4" ht="26.25" customHeight="1" x14ac:dyDescent="0.25">
      <c r="B340" s="4"/>
      <c r="C340" s="4"/>
      <c r="D340" s="4"/>
    </row>
    <row r="341" spans="2:4" ht="26.25" customHeight="1" x14ac:dyDescent="0.25">
      <c r="B341" s="4"/>
      <c r="C341" s="4"/>
      <c r="D341" s="4"/>
    </row>
    <row r="342" spans="2:4" ht="26.25" customHeight="1" x14ac:dyDescent="0.25">
      <c r="B342" s="4"/>
      <c r="C342" s="4"/>
      <c r="D342" s="4"/>
    </row>
    <row r="343" spans="2:4" ht="26.25" customHeight="1" x14ac:dyDescent="0.25">
      <c r="B343" s="4"/>
      <c r="C343" s="4"/>
      <c r="D343" s="4"/>
    </row>
    <row r="344" spans="2:4" ht="26.25" customHeight="1" x14ac:dyDescent="0.25">
      <c r="B344" s="4"/>
      <c r="C344" s="4"/>
      <c r="D344" s="4"/>
    </row>
    <row r="345" spans="2:4" ht="26.25" customHeight="1" x14ac:dyDescent="0.25">
      <c r="B345" s="4"/>
      <c r="C345" s="4"/>
      <c r="D345" s="4"/>
    </row>
    <row r="346" spans="2:4" ht="26.25" customHeight="1" x14ac:dyDescent="0.25">
      <c r="B346" s="4"/>
      <c r="C346" s="4"/>
      <c r="D346" s="4"/>
    </row>
    <row r="347" spans="2:4" ht="26.25" customHeight="1" x14ac:dyDescent="0.25">
      <c r="B347" s="4"/>
      <c r="C347" s="4"/>
      <c r="D347" s="4"/>
    </row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1">
    <mergeCell ref="E1:N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3306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11</vt:i4>
      </vt:variant>
    </vt:vector>
  </HeadingPairs>
  <TitlesOfParts>
    <vt:vector size="26" baseType="lpstr">
      <vt:lpstr>1 - RESUMO</vt:lpstr>
      <vt:lpstr>OK 2 - ADM LOCAL - RSD</vt:lpstr>
      <vt:lpstr>OK 2.1 - COLETA RSD</vt:lpstr>
      <vt:lpstr>OK 3 - ADM LOCAL - CONTEIN.</vt:lpstr>
      <vt:lpstr>OK 3.1 - COLETA CONTEIN.</vt:lpstr>
      <vt:lpstr>OK 4 - ADM LOCAL - SELETIVA</vt:lpstr>
      <vt:lpstr>OK 4.1 - COLETA SELETIVA</vt:lpstr>
      <vt:lpstr>OK 5 - ADM LOCAL - ÓLEOS</vt:lpstr>
      <vt:lpstr>OK 5.1 - COLETA ÓLEOS</vt:lpstr>
      <vt:lpstr>6 - DADOS CC MO</vt:lpstr>
      <vt:lpstr>7 - ENCARGOS SOCIAIS</vt:lpstr>
      <vt:lpstr>8 - CAGED</vt:lpstr>
      <vt:lpstr>9 - BDI</vt:lpstr>
      <vt:lpstr>10 - CUSTOS UN</vt:lpstr>
      <vt:lpstr>IPCA</vt:lpstr>
      <vt:lpstr>'1 - RESUMO'!Area_de_impressao</vt:lpstr>
      <vt:lpstr>'10 - CUSTOS UN'!Area_de_impressao</vt:lpstr>
      <vt:lpstr>'6 - DADOS CC MO'!Area_de_impressao</vt:lpstr>
      <vt:lpstr>'7 - ENCARGOS SOCIAIS'!Area_de_impressao</vt:lpstr>
      <vt:lpstr>'8 - CAGED'!Area_de_impressao</vt:lpstr>
      <vt:lpstr>'9 - BDI'!Area_de_impressao</vt:lpstr>
      <vt:lpstr>'OK 2 - ADM LOCAL - RSD'!Area_de_impressao</vt:lpstr>
      <vt:lpstr>'OK 2.1 - COLETA RSD'!Area_de_impressao</vt:lpstr>
      <vt:lpstr>'OK 3.1 - COLETA CONTEIN.'!Area_de_impressao</vt:lpstr>
      <vt:lpstr>'OK 4.1 - COLETA SELETIVA'!Area_de_impressao</vt:lpstr>
      <vt:lpstr>'OK 5.1 - COLETA ÓLEOS'!Area_de_impressao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SANEP DRC</dc:creator>
  <cp:lastModifiedBy>Sanep Compras</cp:lastModifiedBy>
  <cp:revision>530</cp:revision>
  <cp:lastPrinted>2025-06-02T13:47:57Z</cp:lastPrinted>
  <dcterms:created xsi:type="dcterms:W3CDTF">2025-03-11T13:53:46Z</dcterms:created>
  <dcterms:modified xsi:type="dcterms:W3CDTF">2026-10-22T16:45:30Z</dcterms:modified>
  <dc:language>pt-BR</dc:language>
</cp:coreProperties>
</file>